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DE55E54-83F0-4C09-9011-54BFE6E83F96}" xr6:coauthVersionLast="47" xr6:coauthVersionMax="47" xr10:uidLastSave="{00000000-0000-0000-0000-000000000000}"/>
  <workbookProtection workbookAlgorithmName="SHA-512" workbookHashValue="MSH4U5fzx5CB5cUDak8xlPZT4Nd390hjWq5A0iX4uPRUDZitlrbr0GfdcqkPV2QfRv3UCz68kE1fOzOOPgoS1w==" workbookSaltValue="7BxpeiBP0XdWUbEj6r18C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Sheet'!$A$2:$Z$2992</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9" i="57" l="1"/>
  <c r="F25" i="75"/>
  <c r="F24" i="75"/>
  <c r="F23" i="75"/>
  <c r="F22" i="75"/>
  <c r="F21" i="75"/>
  <c r="F20" i="75"/>
  <c r="F19" i="75"/>
  <c r="F18" i="75"/>
  <c r="F17" i="75"/>
  <c r="F16" i="75"/>
  <c r="F15" i="75"/>
  <c r="F14" i="75"/>
  <c r="F13" i="75"/>
  <c r="F12" i="75"/>
  <c r="F11" i="75"/>
  <c r="F10" i="75"/>
  <c r="F9" i="75"/>
  <c r="F8" i="75"/>
  <c r="F7" i="75"/>
  <c r="F6" i="75"/>
  <c r="P4" i="75"/>
  <c r="P3" i="75"/>
  <c r="G30" i="74"/>
  <c r="S2" i="57"/>
  <c r="W4" i="75"/>
  <c r="G18" i="89"/>
  <c r="F13" i="57"/>
  <c r="E427" i="94"/>
  <c r="E416" i="94"/>
  <c r="E405" i="94"/>
  <c r="E394" i="94"/>
  <c r="E383" i="94"/>
  <c r="E372" i="94"/>
  <c r="E361" i="94"/>
  <c r="E350" i="94"/>
  <c r="E339" i="94"/>
  <c r="E328" i="94"/>
  <c r="E317" i="94"/>
  <c r="E306" i="94"/>
  <c r="E295" i="94"/>
  <c r="E284" i="94"/>
  <c r="E273" i="94"/>
  <c r="E262" i="94"/>
  <c r="E251" i="94"/>
  <c r="E240" i="94"/>
  <c r="E229" i="94"/>
  <c r="I21" i="90"/>
  <c r="G21" i="90"/>
  <c r="I13" i="90"/>
  <c r="G13" i="90"/>
  <c r="C3" i="69"/>
  <c r="C8" i="69"/>
  <c r="F5" i="94"/>
  <c r="F4" i="94"/>
  <c r="I29" i="90"/>
  <c r="I28" i="90"/>
  <c r="I27" i="90"/>
  <c r="I26" i="90"/>
  <c r="I25" i="90"/>
  <c r="I24" i="90"/>
  <c r="I23" i="90"/>
  <c r="I22" i="90"/>
  <c r="I20" i="90"/>
  <c r="I19" i="90"/>
  <c r="I18" i="90"/>
  <c r="I17" i="90"/>
  <c r="I16" i="90"/>
  <c r="I15" i="90"/>
  <c r="I14" i="90"/>
  <c r="I12" i="90"/>
  <c r="I11" i="90"/>
  <c r="U4" i="90"/>
  <c r="U2" i="90" s="1"/>
  <c r="U5" i="90"/>
  <c r="U3" i="90" s="1"/>
  <c r="F10" i="89"/>
  <c r="E10" i="89"/>
  <c r="C164" i="100"/>
  <c r="B164" i="100"/>
  <c r="AV18" i="61"/>
  <c r="R18" i="61"/>
  <c r="R14" i="61"/>
  <c r="B2947" i="100"/>
  <c r="C2947" i="100"/>
  <c r="C2946" i="100"/>
  <c r="B2946"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4" i="90"/>
  <c r="G15" i="90"/>
  <c r="G16" i="90"/>
  <c r="G17" i="90"/>
  <c r="G18" i="90"/>
  <c r="G19" i="90"/>
  <c r="G20"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I431" i="94" l="1"/>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B24" i="75"/>
  <c r="D113" i="61" s="1"/>
  <c r="AP23" i="75"/>
  <c r="AN23" i="75"/>
  <c r="AL23" i="75"/>
  <c r="AK23" i="75"/>
  <c r="AD23" i="75"/>
  <c r="X23" i="75"/>
  <c r="B23" i="75"/>
  <c r="D112" i="61" s="1"/>
  <c r="AP22" i="75"/>
  <c r="AN22" i="75"/>
  <c r="AL22" i="75"/>
  <c r="AK22" i="75"/>
  <c r="AD22" i="75"/>
  <c r="X22" i="75"/>
  <c r="B22" i="75"/>
  <c r="D111" i="61" s="1"/>
  <c r="AP21" i="75"/>
  <c r="AN21" i="75"/>
  <c r="AL21" i="75"/>
  <c r="AK21" i="75"/>
  <c r="AD21" i="75"/>
  <c r="X21" i="75"/>
  <c r="B21" i="75"/>
  <c r="D110" i="61" s="1"/>
  <c r="AP20" i="75"/>
  <c r="AN20" i="75"/>
  <c r="AL20" i="75"/>
  <c r="AK20" i="75"/>
  <c r="AD20" i="75"/>
  <c r="X20" i="75"/>
  <c r="B20" i="75"/>
  <c r="D109" i="61" s="1"/>
  <c r="AP19" i="75"/>
  <c r="AN19" i="75"/>
  <c r="AL19" i="75"/>
  <c r="AK19" i="75"/>
  <c r="AD19" i="75"/>
  <c r="X19" i="75"/>
  <c r="B19" i="75"/>
  <c r="D108" i="61" s="1"/>
  <c r="AP18" i="75"/>
  <c r="AN18" i="75"/>
  <c r="AL18" i="75"/>
  <c r="AK18" i="75"/>
  <c r="AD18" i="75"/>
  <c r="X18" i="75"/>
  <c r="B18" i="75"/>
  <c r="D107" i="61" s="1"/>
  <c r="AP17" i="75"/>
  <c r="AN17" i="75"/>
  <c r="AL17" i="75"/>
  <c r="AK17" i="75"/>
  <c r="AD17" i="75"/>
  <c r="X17" i="75"/>
  <c r="B17" i="75"/>
  <c r="D106" i="61" s="1"/>
  <c r="AP16" i="75"/>
  <c r="AN16" i="75"/>
  <c r="AL16" i="75"/>
  <c r="AK16" i="75"/>
  <c r="AD16" i="75"/>
  <c r="X16" i="75"/>
  <c r="B16" i="75"/>
  <c r="D105" i="61" s="1"/>
  <c r="AP15" i="75"/>
  <c r="AN15" i="75"/>
  <c r="AL15" i="75"/>
  <c r="AK15" i="75"/>
  <c r="AD15" i="75"/>
  <c r="X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QL45" i="72" l="1"/>
  <c r="EY48" i="72"/>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AB15" i="75" s="1"/>
  <c r="L15" i="75"/>
  <c r="Y15" i="75" s="1"/>
  <c r="K24" i="36" s="1"/>
  <c r="J24" i="36"/>
  <c r="AG24" i="36"/>
  <c r="AE24" i="36" s="1"/>
  <c r="BD23" i="75"/>
  <c r="O23" i="75"/>
  <c r="AB23" i="75" s="1"/>
  <c r="L23" i="75"/>
  <c r="Y23" i="75" s="1"/>
  <c r="AG32" i="36"/>
  <c r="J32" i="36"/>
  <c r="PO5" i="72"/>
  <c r="CH41" i="72"/>
  <c r="FV44" i="72"/>
  <c r="IM46" i="72"/>
  <c r="MA40" i="72"/>
  <c r="PO46" i="72"/>
  <c r="BD22" i="75"/>
  <c r="O22" i="75"/>
  <c r="AB22" i="75" s="1"/>
  <c r="L22" i="75"/>
  <c r="Y22" i="75" s="1"/>
  <c r="K31" i="36" s="1"/>
  <c r="AG31" i="36"/>
  <c r="J31" i="36"/>
  <c r="FV7" i="72"/>
  <c r="PO7" i="72"/>
  <c r="CH42" i="72"/>
  <c r="FV45" i="72"/>
  <c r="JJ39" i="72"/>
  <c r="MA41" i="72"/>
  <c r="PO47" i="72"/>
  <c r="IM48" i="72"/>
  <c r="BD21" i="75"/>
  <c r="O21" i="75"/>
  <c r="L21" i="75"/>
  <c r="J30" i="36"/>
  <c r="AG30" i="36"/>
  <c r="BD20" i="75"/>
  <c r="L20" i="75"/>
  <c r="O20" i="75"/>
  <c r="AB20" i="75" s="1"/>
  <c r="AG29" i="36"/>
  <c r="X29" i="36" s="1"/>
  <c r="J29" i="36"/>
  <c r="BC19" i="75"/>
  <c r="O19" i="75"/>
  <c r="AB19" i="75" s="1"/>
  <c r="L19" i="75"/>
  <c r="Y19" i="75" s="1"/>
  <c r="J28" i="36"/>
  <c r="AG28" i="36"/>
  <c r="BD18" i="75"/>
  <c r="L18" i="75"/>
  <c r="Y18" i="75" s="1"/>
  <c r="K27" i="36" s="1"/>
  <c r="O18" i="75"/>
  <c r="AB18" i="75" s="1"/>
  <c r="AG27" i="36"/>
  <c r="J27" i="36"/>
  <c r="BB17" i="75"/>
  <c r="L17" i="75"/>
  <c r="Y17" i="75" s="1"/>
  <c r="K26" i="36" s="1"/>
  <c r="O17" i="75"/>
  <c r="AB17" i="75" s="1"/>
  <c r="AG26" i="36"/>
  <c r="J26" i="36"/>
  <c r="BD16" i="75"/>
  <c r="L16" i="75"/>
  <c r="Y16" i="75" s="1"/>
  <c r="K25" i="36" s="1"/>
  <c r="O16" i="75"/>
  <c r="AB16" i="75" s="1"/>
  <c r="AG25" i="36"/>
  <c r="X25" i="36" s="1"/>
  <c r="J25" i="36"/>
  <c r="BD24" i="75"/>
  <c r="L24" i="75"/>
  <c r="Y24" i="75" s="1"/>
  <c r="K33" i="36" s="1"/>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AV24" i="75"/>
  <c r="M23" i="75"/>
  <c r="AW23" i="75"/>
  <c r="AW22" i="75"/>
  <c r="AQ23" i="75"/>
  <c r="AY23" i="75"/>
  <c r="AR23" i="75"/>
  <c r="AZ23" i="75"/>
  <c r="M22" i="75"/>
  <c r="AS23" i="75"/>
  <c r="BA23" i="75"/>
  <c r="AT23" i="75"/>
  <c r="BB23" i="75"/>
  <c r="AU23" i="75"/>
  <c r="BC23" i="75"/>
  <c r="AV23" i="75"/>
  <c r="AZ21" i="75"/>
  <c r="AX22" i="75"/>
  <c r="BA21" i="75"/>
  <c r="AQ22" i="75"/>
  <c r="AY22" i="75"/>
  <c r="AR22" i="75"/>
  <c r="AZ22" i="75"/>
  <c r="AX19" i="75"/>
  <c r="AS22" i="75"/>
  <c r="BA22" i="75"/>
  <c r="AR21" i="75"/>
  <c r="AT22" i="75"/>
  <c r="BB22" i="75"/>
  <c r="M21" i="75"/>
  <c r="AS21" i="75"/>
  <c r="AU22" i="75"/>
  <c r="BC22" i="75"/>
  <c r="AW21" i="75"/>
  <c r="AV22" i="75"/>
  <c r="AW20" i="75"/>
  <c r="AB21" i="75"/>
  <c r="AQ21" i="75"/>
  <c r="AY21" i="75"/>
  <c r="M20" i="75"/>
  <c r="AT21" i="75"/>
  <c r="BB21" i="75"/>
  <c r="AU21" i="75"/>
  <c r="BC21" i="75"/>
  <c r="Y21" i="75"/>
  <c r="K30" i="36" s="1"/>
  <c r="AV21" i="75"/>
  <c r="AV17" i="75"/>
  <c r="AY19" i="75"/>
  <c r="AX20" i="75"/>
  <c r="AY17" i="75"/>
  <c r="BD19" i="75"/>
  <c r="AQ20" i="75"/>
  <c r="AY20" i="75"/>
  <c r="BC17" i="75"/>
  <c r="AX18" i="75"/>
  <c r="AR20" i="75"/>
  <c r="AZ20" i="75"/>
  <c r="AS20" i="75"/>
  <c r="BA20" i="75"/>
  <c r="AT20" i="75"/>
  <c r="BB20" i="75"/>
  <c r="AQ19" i="75"/>
  <c r="AU20" i="75"/>
  <c r="BC20" i="75"/>
  <c r="AV19" i="75"/>
  <c r="Y20" i="75"/>
  <c r="K29" i="36" s="1"/>
  <c r="AV20"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AV16"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B38" i="72" l="1"/>
  <c r="Z38" i="72" s="1"/>
  <c r="AE25" i="36"/>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NU49" i="72"/>
  <c r="NU51" i="72"/>
  <c r="D29" i="36" s="1"/>
  <c r="T29" i="36" s="1"/>
  <c r="EY52" i="72"/>
  <c r="E19" i="36" s="1"/>
  <c r="EY49" i="72"/>
  <c r="EY51" i="72"/>
  <c r="D19" i="36" s="1"/>
  <c r="BK52" i="72"/>
  <c r="E15" i="36" s="1"/>
  <c r="BK49" i="72"/>
  <c r="BK51" i="72"/>
  <c r="GS52" i="72"/>
  <c r="E21" i="36" s="1"/>
  <c r="GS49" i="72"/>
  <c r="GS51" i="72"/>
  <c r="D21" i="36" s="1"/>
  <c r="QL52" i="72"/>
  <c r="E32" i="36" s="1"/>
  <c r="QL49" i="72"/>
  <c r="QL51" i="72"/>
  <c r="D32" i="36" s="1"/>
  <c r="MX52" i="72"/>
  <c r="E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R32" i="36" l="1"/>
  <c r="Z32" i="36" s="1"/>
  <c r="R29" i="36"/>
  <c r="Z29" i="36" s="1"/>
  <c r="R28" i="36"/>
  <c r="Z28" i="36" s="1"/>
  <c r="E37" i="98"/>
  <c r="U29" i="36"/>
  <c r="AB37" i="72"/>
  <c r="D15"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AB40" i="97" l="1"/>
  <c r="D805" i="97" s="1"/>
  <c r="AB42" i="97"/>
  <c r="D833" i="97" s="1"/>
  <c r="D789" i="97"/>
  <c r="AB39" i="97"/>
  <c r="D791" i="97" s="1"/>
  <c r="D819" i="97"/>
  <c r="D817" i="97"/>
  <c r="D803" i="97"/>
  <c r="D831" i="97"/>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M57" i="98" l="1"/>
  <c r="M416" i="94"/>
  <c r="M427" i="94"/>
  <c r="M394" i="94"/>
  <c r="M405" i="94"/>
  <c r="M372" i="94"/>
  <c r="M383" i="94"/>
  <c r="M350" i="94"/>
  <c r="M361" i="94"/>
  <c r="M328" i="94"/>
  <c r="M339" i="94"/>
  <c r="AA38" i="97"/>
  <c r="D775" i="97" s="1"/>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B2532" i="100"/>
  <c r="B391" i="100"/>
  <c r="C520" i="100"/>
  <c r="C2976" i="100"/>
  <c r="C250" i="100"/>
  <c r="C2813" i="100"/>
  <c r="B186" i="100"/>
  <c r="C2901" i="100"/>
  <c r="C513" i="100"/>
  <c r="B284" i="100"/>
  <c r="C273" i="100"/>
  <c r="B325" i="100"/>
  <c r="C2500" i="100"/>
  <c r="B2872" i="100"/>
  <c r="B2304" i="100"/>
  <c r="B2568" i="100"/>
  <c r="B2792" i="100"/>
  <c r="C2543" i="100"/>
  <c r="B2973" i="100"/>
  <c r="C175" i="100"/>
  <c r="B196" i="100"/>
  <c r="B2226" i="100"/>
  <c r="C2303" i="100"/>
  <c r="B2236" i="100"/>
  <c r="B2578" i="100"/>
  <c r="B2255" i="100"/>
  <c r="C272" i="100"/>
  <c r="C185" i="100"/>
  <c r="C2929" i="100"/>
  <c r="B307" i="100"/>
  <c r="C1605" i="100"/>
  <c r="C501" i="100"/>
  <c r="C2465" i="100"/>
  <c r="B503" i="100"/>
  <c r="B195" i="100"/>
  <c r="B2870" i="100"/>
  <c r="B2620" i="100"/>
  <c r="B2534" i="100"/>
  <c r="B250" i="100"/>
  <c r="B2852" i="100"/>
  <c r="C2539" i="100"/>
  <c r="B2941" i="100"/>
  <c r="C410" i="100"/>
  <c r="C416" i="100"/>
  <c r="B308" i="100"/>
  <c r="B187" i="100"/>
  <c r="C423" i="100"/>
  <c r="C421" i="100"/>
  <c r="C2607" i="100"/>
  <c r="B490" i="100"/>
  <c r="C2810" i="100"/>
  <c r="C2385" i="100"/>
  <c r="C469" i="100"/>
  <c r="C285" i="100"/>
  <c r="C2906" i="100"/>
  <c r="C2603" i="100"/>
  <c r="C2637" i="100"/>
  <c r="C255" i="100"/>
  <c r="B2554" i="100"/>
  <c r="B328" i="100"/>
  <c r="B2469" i="100"/>
  <c r="B2413" i="100"/>
  <c r="B2581" i="100"/>
  <c r="C295" i="100"/>
  <c r="C2981" i="100"/>
  <c r="C2229" i="100"/>
  <c r="B2719" i="100"/>
  <c r="C2869" i="100"/>
  <c r="B2536" i="100"/>
  <c r="C2694" i="100"/>
  <c r="C2284" i="100"/>
  <c r="C11" i="100"/>
  <c r="B2612" i="100"/>
  <c r="B383" i="100"/>
  <c r="C514" i="100"/>
  <c r="C2628" i="100"/>
  <c r="B2475" i="100"/>
  <c r="B370" i="100"/>
  <c r="B2621" i="100"/>
  <c r="F8" i="102"/>
  <c r="C2820" i="100"/>
  <c r="B2696" i="100"/>
  <c r="B2220" i="100"/>
  <c r="B2782" i="100"/>
  <c r="C2720" i="100"/>
  <c r="C425" i="100"/>
  <c r="C2508" i="100"/>
  <c r="B481" i="100"/>
  <c r="B2471" i="100"/>
  <c r="B2780" i="100"/>
  <c r="C136" i="100"/>
  <c r="B479" i="100"/>
  <c r="B2884" i="100"/>
  <c r="C2780" i="100"/>
  <c r="C231" i="100"/>
  <c r="C2362" i="100"/>
  <c r="C254" i="100"/>
  <c r="B2899" i="100"/>
  <c r="C184" i="100"/>
  <c r="C264" i="100"/>
  <c r="C507" i="100"/>
  <c r="C1989" i="100"/>
  <c r="B2262" i="100"/>
  <c r="C2823" i="100"/>
  <c r="B10" i="100"/>
  <c r="B2813" i="100"/>
  <c r="C260" i="100"/>
  <c r="B2438" i="100"/>
  <c r="B315" i="100"/>
  <c r="C368" i="100"/>
  <c r="B2254" i="100"/>
  <c r="C2563" i="100"/>
  <c r="C430" i="100"/>
  <c r="B2794" i="100"/>
  <c r="B2345" i="100"/>
  <c r="B192" i="100"/>
  <c r="C2496" i="100"/>
  <c r="B2903" i="100"/>
  <c r="C2231" i="100"/>
  <c r="C221" i="100"/>
  <c r="C2839" i="100"/>
  <c r="B2691" i="100"/>
  <c r="C2410" i="100"/>
  <c r="B2605" i="100"/>
  <c r="C2509" i="100"/>
  <c r="B2382" i="100"/>
  <c r="B2776" i="100"/>
  <c r="B218" i="100"/>
  <c r="B2303" i="100"/>
  <c r="B319" i="100"/>
  <c r="C364" i="100"/>
  <c r="B2260" i="100"/>
  <c r="C11" i="102"/>
  <c r="C2732" i="100"/>
  <c r="B2914" i="100"/>
  <c r="B458" i="100"/>
  <c r="C2416" i="100"/>
  <c r="C188" i="100"/>
  <c r="C2902" i="100"/>
  <c r="B2971" i="100"/>
  <c r="C2728" i="100"/>
  <c r="C2962" i="100"/>
  <c r="B2470" i="100"/>
  <c r="C2277" i="100"/>
  <c r="B2926" i="100"/>
  <c r="B2564" i="100"/>
  <c r="B172" i="100"/>
  <c r="C2819" i="100"/>
  <c r="C2300" i="100"/>
  <c r="B409" i="100"/>
  <c r="C439" i="100"/>
  <c r="C1" i="102"/>
  <c r="C2391" i="100"/>
  <c r="B494" i="100"/>
  <c r="C2278" i="100"/>
  <c r="C2982" i="100"/>
  <c r="C434" i="100"/>
  <c r="B2529" i="100"/>
  <c r="B2624" i="100"/>
  <c r="C2865" i="100"/>
  <c r="C215" i="100"/>
  <c r="B2385" i="100"/>
  <c r="B2992" i="100"/>
  <c r="B327" i="100"/>
  <c r="B2442" i="100"/>
  <c r="B2327" i="100"/>
  <c r="C2267" i="100"/>
  <c r="B2490" i="100"/>
  <c r="C2972" i="100"/>
  <c r="C2616" i="100"/>
  <c r="C2235" i="100"/>
  <c r="B2522" i="100"/>
  <c r="C2266" i="100"/>
  <c r="C2824" i="100"/>
  <c r="C2296" i="100"/>
  <c r="C332" i="100"/>
  <c r="C2256" i="100"/>
  <c r="B2836" i="100"/>
  <c r="B2305" i="100"/>
  <c r="B2697" i="100"/>
  <c r="C454" i="100"/>
  <c r="C2749" i="100"/>
  <c r="B2727" i="100"/>
  <c r="B2871" i="100"/>
  <c r="B184" i="100"/>
  <c r="C2483" i="100"/>
  <c r="C2388" i="100"/>
  <c r="C284" i="100"/>
  <c r="C482" i="100"/>
  <c r="C180" i="100"/>
  <c r="B2428" i="100"/>
  <c r="C2639" i="100"/>
  <c r="B453" i="100"/>
  <c r="C2590" i="100"/>
  <c r="B473" i="100"/>
  <c r="C446" i="100"/>
  <c r="B2749" i="100"/>
  <c r="B2495" i="100"/>
  <c r="C182" i="100"/>
  <c r="B273" i="100"/>
  <c r="B2819" i="100"/>
  <c r="C2242" i="100"/>
  <c r="C2700" i="100"/>
  <c r="C2762" i="100"/>
  <c r="B372" i="100"/>
  <c r="C2961" i="100"/>
  <c r="B2851" i="100"/>
  <c r="C319" i="100"/>
  <c r="B265" i="100"/>
  <c r="B2575" i="100"/>
  <c r="B343" i="100"/>
  <c r="B2818" i="100"/>
  <c r="B2930" i="100"/>
  <c r="B360" i="100"/>
  <c r="B2970" i="100"/>
  <c r="B508" i="100"/>
  <c r="B345" i="100"/>
  <c r="B300" i="100"/>
  <c r="C2817" i="100"/>
  <c r="B222" i="100"/>
  <c r="C488" i="100"/>
  <c r="C2220" i="100"/>
  <c r="C192" i="100"/>
  <c r="C375" i="100"/>
  <c r="B321" i="100"/>
  <c r="C210" i="100"/>
  <c r="C2302" i="100"/>
  <c r="B2849" i="100"/>
  <c r="C2434" i="100"/>
  <c r="C2253" i="100"/>
  <c r="C347" i="100"/>
  <c r="C253" i="100"/>
  <c r="C2486" i="100"/>
  <c r="C2751" i="100"/>
  <c r="B290" i="100"/>
  <c r="B297" i="100"/>
  <c r="C436" i="100"/>
  <c r="B517" i="100"/>
  <c r="B2388" i="100"/>
  <c r="C2866" i="100"/>
  <c r="C2877" i="100"/>
  <c r="C2595" i="100"/>
  <c r="C2611" i="100"/>
  <c r="C2541" i="100"/>
  <c r="B2609" i="100"/>
  <c r="B329" i="100"/>
  <c r="C2257" i="100"/>
  <c r="B421" i="100"/>
  <c r="C2963" i="100"/>
  <c r="C274" i="100"/>
  <c r="C2575" i="100"/>
  <c r="C263" i="100"/>
  <c r="C2782" i="100"/>
  <c r="C519" i="100"/>
  <c r="C454" i="94" a="1"/>
  <c r="C2703" i="100"/>
  <c r="C444" i="100"/>
  <c r="C389" i="100"/>
  <c r="C363" i="100"/>
  <c r="B2976" i="100"/>
  <c r="C2557" i="100"/>
  <c r="B492" i="100"/>
  <c r="B2779" i="100"/>
  <c r="B2371" i="100"/>
  <c r="B403" i="100"/>
  <c r="C1564" i="100"/>
  <c r="B2280" i="100"/>
  <c r="C2443" i="100"/>
  <c r="B2694" i="100"/>
  <c r="C2392" i="100"/>
  <c r="C2761" i="100"/>
  <c r="C1560" i="100"/>
  <c r="B2897" i="100"/>
  <c r="C228" i="100"/>
  <c r="B316" i="100"/>
  <c r="C365" i="100"/>
  <c r="B396" i="100"/>
  <c r="B2640" i="100"/>
  <c r="C216" i="100"/>
  <c r="C305" i="100"/>
  <c r="C2697" i="100"/>
  <c r="B2745" i="100"/>
  <c r="C409" i="100"/>
  <c r="C2610" i="100"/>
  <c r="C2578" i="100"/>
  <c r="C2594" i="100"/>
  <c r="C346" i="100"/>
  <c r="B397" i="100"/>
  <c r="C312" i="100"/>
  <c r="B2958" i="100"/>
  <c r="C2269" i="100"/>
  <c r="B190" i="100"/>
  <c r="C2983" i="100"/>
  <c r="C360" i="100"/>
  <c r="B2238" i="100"/>
  <c r="B2805" i="100"/>
  <c r="B216" i="100"/>
  <c r="B2549" i="100"/>
  <c r="B2987" i="100"/>
  <c r="C2482" i="100"/>
  <c r="C2716" i="100"/>
  <c r="B2516" i="100"/>
  <c r="B2659" i="100"/>
  <c r="C2517" i="100"/>
  <c r="C213" i="100"/>
  <c r="C2588" i="100"/>
  <c r="B214" i="100"/>
  <c r="C2659" i="100"/>
  <c r="B2276" i="100"/>
  <c r="B2326" i="100"/>
  <c r="C2809" i="100"/>
  <c r="B2425" i="100"/>
  <c r="B2601" i="100"/>
  <c r="C2532" i="100"/>
  <c r="C2565" i="100"/>
  <c r="C286" i="100"/>
  <c r="C2583" i="100"/>
  <c r="C2522" i="100"/>
  <c r="C2520" i="100"/>
  <c r="B2585" i="100"/>
  <c r="B2565" i="100"/>
  <c r="C2370" i="100"/>
  <c r="C2960" i="100"/>
  <c r="B2365" i="100"/>
  <c r="B2722" i="100"/>
  <c r="C2367" i="100"/>
  <c r="B358" i="100"/>
  <c r="C2450" i="100"/>
  <c r="B2503" i="100"/>
  <c r="C2840" i="100"/>
  <c r="C2614" i="100"/>
  <c r="C2459" i="100"/>
  <c r="B399" i="100"/>
  <c r="B487" i="100"/>
  <c r="B311" i="100"/>
  <c r="C2424" i="100"/>
  <c r="B2729" i="100"/>
  <c r="B355" i="100"/>
  <c r="B2822" i="100"/>
  <c r="C2366" i="100"/>
  <c r="C2427" i="100"/>
  <c r="C326" i="100"/>
  <c r="C461" i="100"/>
  <c r="B2574" i="100"/>
  <c r="B2748" i="100"/>
  <c r="B2436" i="100"/>
  <c r="B2427" i="100"/>
  <c r="C2282" i="100"/>
  <c r="C2437" i="100"/>
  <c r="B2758" i="100"/>
  <c r="C2596" i="100"/>
  <c r="B2369" i="100"/>
  <c r="C2580" i="100"/>
  <c r="C333" i="100"/>
  <c r="C217" i="100"/>
  <c r="C211" i="100"/>
  <c r="B2957" i="100"/>
  <c r="B2853" i="100"/>
  <c r="B2233" i="100"/>
  <c r="B2523" i="100"/>
  <c r="B2538" i="100"/>
  <c r="C2294" i="100"/>
  <c r="B412" i="100"/>
  <c r="C2423" i="100"/>
  <c r="C412" i="100"/>
  <c r="B2589" i="100"/>
  <c r="B447" i="100"/>
  <c r="B139" i="100"/>
  <c r="B245" i="100"/>
  <c r="B2528" i="100"/>
  <c r="B2501" i="100"/>
  <c r="C473" i="100"/>
  <c r="B275" i="100"/>
  <c r="B2426" i="100"/>
  <c r="C288" i="100"/>
  <c r="B2421" i="100"/>
  <c r="B2346" i="100"/>
  <c r="C406" i="100"/>
  <c r="C2422" i="100"/>
  <c r="C196" i="100"/>
  <c r="B2386" i="100"/>
  <c r="B2695" i="100"/>
  <c r="B230" i="100"/>
  <c r="C2453" i="100"/>
  <c r="C170" i="100"/>
  <c r="B2422" i="100"/>
  <c r="B476" i="100"/>
  <c r="B2435" i="100"/>
  <c r="C2930" i="100"/>
  <c r="B2604" i="100"/>
  <c r="C352" i="100"/>
  <c r="B2641" i="100"/>
  <c r="B2580" i="100"/>
  <c r="B2692" i="100"/>
  <c r="B410" i="100"/>
  <c r="B2432" i="100"/>
  <c r="C2531" i="100"/>
  <c r="B2835" i="100"/>
  <c r="B2671" i="100"/>
  <c r="B2548" i="100"/>
  <c r="C2642" i="100"/>
  <c r="B2348" i="100"/>
  <c r="B258" i="100"/>
  <c r="C2254" i="100"/>
  <c r="C2814" i="100"/>
  <c r="B2643" i="100"/>
  <c r="B2551" i="100"/>
  <c r="B2247" i="100"/>
  <c r="C8" i="100"/>
  <c r="C2980" i="100"/>
  <c r="B2721" i="100"/>
  <c r="C348" i="100"/>
  <c r="C2764" i="100"/>
  <c r="B2637" i="100"/>
  <c r="B2466" i="100"/>
  <c r="C2664" i="100"/>
  <c r="B2594" i="100"/>
  <c r="B205" i="100"/>
  <c r="C373" i="100"/>
  <c r="C2806" i="100"/>
  <c r="C2411" i="100"/>
  <c r="C2635" i="100"/>
  <c r="B2935" i="100"/>
  <c r="C2573" i="100"/>
  <c r="B340" i="100"/>
  <c r="C2297" i="100"/>
  <c r="B2824" i="100"/>
  <c r="C270" i="100"/>
  <c r="B221" i="100"/>
  <c r="B2685" i="100"/>
  <c r="B2275" i="100"/>
  <c r="C2326" i="100"/>
  <c r="C432" i="100"/>
  <c r="B2942" i="100"/>
  <c r="C204" i="100"/>
  <c r="B1558" i="100"/>
  <c r="C2937" i="100"/>
  <c r="B411" i="100"/>
  <c r="C1602" i="100"/>
  <c r="B401" i="100"/>
  <c r="C2576" i="100"/>
  <c r="B309" i="100"/>
  <c r="B529" i="100"/>
  <c r="C529" i="100"/>
  <c r="B2616" i="100"/>
  <c r="C2238" i="100"/>
  <c r="B2823" i="100"/>
  <c r="C187" i="100"/>
  <c r="C2382" i="100"/>
  <c r="B210" i="100"/>
  <c r="C235" i="100"/>
  <c r="B2268" i="100"/>
  <c r="C2528" i="100"/>
  <c r="C511" i="100"/>
  <c r="B302" i="100"/>
  <c r="C2555" i="100"/>
  <c r="C2779" i="100"/>
  <c r="C2785" i="100"/>
  <c r="B346" i="100"/>
  <c r="C2985" i="100"/>
  <c r="B2227" i="100"/>
  <c r="C2872" i="100"/>
  <c r="C356" i="100"/>
  <c r="C344" i="100"/>
  <c r="C238" i="100"/>
  <c r="B387" i="100"/>
  <c r="C337" i="100"/>
  <c r="B2263" i="100"/>
  <c r="B2986" i="100"/>
  <c r="C2435" i="100"/>
  <c r="C485" i="100"/>
  <c r="C2404" i="100"/>
  <c r="B2688" i="100"/>
  <c r="C2912" i="100"/>
  <c r="B2988" i="100"/>
  <c r="B228" i="100"/>
  <c r="C2468" i="100"/>
  <c r="B208" i="100"/>
  <c r="C384" i="100"/>
  <c r="B2550" i="100"/>
  <c r="B2689" i="100"/>
  <c r="B2556" i="100"/>
  <c r="C2940" i="100"/>
  <c r="C139" i="100"/>
  <c r="C2601" i="100"/>
  <c r="B2271" i="100"/>
  <c r="C2369" i="100"/>
  <c r="B344" i="100"/>
  <c r="B2963" i="100"/>
  <c r="C2662" i="100"/>
  <c r="B2270" i="100"/>
  <c r="B2839" i="100"/>
  <c r="B2820" i="100"/>
  <c r="C449" i="100"/>
  <c r="C2852" i="100"/>
  <c r="C2273" i="100"/>
  <c r="C262" i="100"/>
  <c r="B2443" i="100"/>
  <c r="B1606" i="100"/>
  <c r="B2567" i="100"/>
  <c r="C2213" i="100"/>
  <c r="C478" i="100"/>
  <c r="C2340" i="100"/>
  <c r="C2884" i="100"/>
  <c r="C2943" i="100"/>
  <c r="B2783" i="100"/>
  <c r="C2368" i="100"/>
  <c r="B281" i="100"/>
  <c r="B2984" i="100"/>
  <c r="B2808" i="100"/>
  <c r="B2429" i="100"/>
  <c r="B2319" i="100"/>
  <c r="C178" i="100"/>
  <c r="B2447" i="100"/>
  <c r="C2454" i="100"/>
  <c r="B270" i="100"/>
  <c r="B2301" i="100"/>
  <c r="C2484" i="100"/>
  <c r="C2691" i="100"/>
  <c r="C2347" i="100"/>
  <c r="B501" i="100"/>
  <c r="B380" i="100"/>
  <c r="C243" i="100"/>
  <c r="B478" i="100"/>
  <c r="B336" i="100"/>
  <c r="C2788" i="100"/>
  <c r="C2879" i="100"/>
  <c r="B2456" i="100"/>
  <c r="C2390" i="100"/>
  <c r="C399" i="100"/>
  <c r="B2508" i="100"/>
  <c r="B499" i="100"/>
  <c r="C431" i="100"/>
  <c r="B2595" i="100"/>
  <c r="B2954" i="100"/>
  <c r="B313" i="100"/>
  <c r="C2908" i="100"/>
  <c r="B2264" i="100"/>
  <c r="B2232" i="100"/>
  <c r="B2349" i="100"/>
  <c r="B169" i="100"/>
  <c r="B2464" i="100"/>
  <c r="B2900" i="100"/>
  <c r="C2841" i="100"/>
  <c r="C2581" i="100"/>
  <c r="B2730" i="100"/>
  <c r="B2746" i="100"/>
  <c r="C471" i="100"/>
  <c r="C2734" i="100"/>
  <c r="C5" i="100"/>
  <c r="C489" i="100"/>
  <c r="C2807" i="100"/>
  <c r="B2445" i="100"/>
  <c r="C2540" i="100"/>
  <c r="B2297" i="100"/>
  <c r="B422" i="100"/>
  <c r="C2263" i="100"/>
  <c r="C2838" i="100"/>
  <c r="B2630" i="100"/>
  <c r="C229" i="100"/>
  <c r="B386" i="100"/>
  <c r="B2477" i="100"/>
  <c r="B2584" i="100"/>
  <c r="B171" i="100"/>
  <c r="B519" i="100"/>
  <c r="C239" i="100"/>
  <c r="C2836" i="100"/>
  <c r="C2606" i="100"/>
  <c r="B2433" i="100"/>
  <c r="C515" i="100"/>
  <c r="C2428" i="100"/>
  <c r="C2986" i="100"/>
  <c r="B461" i="100"/>
  <c r="B527" i="100"/>
  <c r="B2733" i="100"/>
  <c r="B442" i="100"/>
  <c r="B2925" i="100"/>
  <c r="B468" i="100"/>
  <c r="B454" i="100"/>
  <c r="B524" i="100"/>
  <c r="C199" i="100"/>
  <c r="B2672" i="100"/>
  <c r="C385" i="100"/>
  <c r="C472" i="100"/>
  <c r="C2572" i="100"/>
  <c r="C2685" i="100"/>
  <c r="B283" i="100"/>
  <c r="C7" i="102"/>
  <c r="B2927" i="100"/>
  <c r="B2754" i="100"/>
  <c r="B2510" i="100"/>
  <c r="B353" i="100"/>
  <c r="C452" i="100"/>
  <c r="F14" i="102"/>
  <c r="C376" i="100"/>
  <c r="C2342" i="100"/>
  <c r="C2695" i="100"/>
  <c r="C195" i="100"/>
  <c r="C362" i="100"/>
  <c r="C481" i="100"/>
  <c r="C2545" i="100"/>
  <c r="B176" i="100"/>
  <c r="C2821" i="100"/>
  <c r="B191" i="100"/>
  <c r="C1603" i="100"/>
  <c r="C222" i="100"/>
  <c r="C2805" i="100"/>
  <c r="C2965" i="100"/>
  <c r="B198" i="100"/>
  <c r="C2417" i="100"/>
  <c r="B2431" i="100"/>
  <c r="B2932" i="100"/>
  <c r="C2786" i="100"/>
  <c r="B2625" i="100"/>
  <c r="C2463" i="100"/>
  <c r="B2668" i="100"/>
  <c r="B2216" i="100"/>
  <c r="B413" i="100"/>
  <c r="C2345" i="100"/>
  <c r="C2724" i="100"/>
  <c r="C2493" i="100"/>
  <c r="C2660" i="100"/>
  <c r="C351" i="100"/>
  <c r="C2844" i="100"/>
  <c r="B2368" i="100"/>
  <c r="C457" i="100"/>
  <c r="B2985" i="100"/>
  <c r="B2543" i="100"/>
  <c r="B480" i="100"/>
  <c r="C2598" i="100"/>
  <c r="C2301" i="100"/>
  <c r="C527" i="100"/>
  <c r="B341" i="100"/>
  <c r="C179" i="100"/>
  <c r="B2665" i="100"/>
  <c r="C172" i="100"/>
  <c r="B2968" i="100"/>
  <c r="B2412" i="100"/>
  <c r="B2948" i="100"/>
  <c r="B2666" i="100"/>
  <c r="B2222" i="100"/>
  <c r="C2673" i="100"/>
  <c r="C209" i="100"/>
  <c r="B2468" i="100"/>
  <c r="C3" i="102"/>
  <c r="C428" i="100"/>
  <c r="C246" i="100"/>
  <c r="B2940" i="100"/>
  <c r="F7" i="102"/>
  <c r="C315" i="100"/>
  <c r="C2363" i="100"/>
  <c r="C2584" i="100"/>
  <c r="B174" i="100"/>
  <c r="B2494" i="100"/>
  <c r="C2447" i="100"/>
  <c r="C2899" i="100"/>
  <c r="B2505" i="100"/>
  <c r="B423" i="100"/>
  <c r="B2732" i="100"/>
  <c r="B2347" i="100"/>
  <c r="C2514" i="100"/>
  <c r="C2346" i="100"/>
  <c r="B2324" i="100"/>
  <c r="C2617" i="100"/>
  <c r="B2600" i="100"/>
  <c r="B2451" i="100"/>
  <c r="C309" i="100"/>
  <c r="C2222" i="100"/>
  <c r="C2608" i="100"/>
  <c r="B446" i="100"/>
  <c r="C2959" i="100"/>
  <c r="C374" i="100"/>
  <c r="B431" i="100"/>
  <c r="C205" i="100"/>
  <c r="C2730" i="100"/>
  <c r="B2662" i="100"/>
  <c r="C525" i="100"/>
  <c r="C2726" i="100"/>
  <c r="C447" i="100"/>
  <c r="B2587" i="100"/>
  <c r="B2513" i="100"/>
  <c r="C2634" i="100"/>
  <c r="F12" i="102"/>
  <c r="C2604" i="100"/>
  <c r="C2950" i="100"/>
  <c r="C137" i="100"/>
  <c r="B2698" i="100"/>
  <c r="C2495" i="100"/>
  <c r="C2793" i="100"/>
  <c r="C382" i="100"/>
  <c r="B506" i="100"/>
  <c r="B2557" i="100"/>
  <c r="B417" i="100"/>
  <c r="B2521" i="100"/>
  <c r="C2753" i="100"/>
  <c r="B193" i="100"/>
  <c r="B2360" i="100"/>
  <c r="C2938" i="100"/>
  <c r="C512" i="100"/>
  <c r="C345" i="100"/>
  <c r="B504" i="100"/>
  <c r="C2298" i="100"/>
  <c r="C2868" i="100"/>
  <c r="C2698" i="100"/>
  <c r="C453" i="100"/>
  <c r="C463" i="100"/>
  <c r="C2497" i="100"/>
  <c r="C2387" i="100"/>
  <c r="B2634" i="100"/>
  <c r="B2982" i="100"/>
  <c r="B362" i="100"/>
  <c r="B2273" i="100"/>
  <c r="B359" i="100"/>
  <c r="F1" i="102"/>
  <c r="B2461" i="100"/>
  <c r="B2446" i="100"/>
  <c r="C2283" i="100"/>
  <c r="B2586" i="100"/>
  <c r="B2453" i="100"/>
  <c r="B2898" i="100"/>
  <c r="C2412" i="100"/>
  <c r="B2700" i="100"/>
  <c r="C311" i="100"/>
  <c r="C2567" i="100"/>
  <c r="B2224" i="100"/>
  <c r="B2881" i="100"/>
  <c r="C470" i="100"/>
  <c r="B2296" i="100"/>
  <c r="C2953" i="100"/>
  <c r="B243" i="100"/>
  <c r="B2246" i="100"/>
  <c r="B326" i="100"/>
  <c r="F9" i="102"/>
  <c r="C2970" i="100"/>
  <c r="C2571" i="100"/>
  <c r="C2225" i="100"/>
  <c r="B2764" i="100"/>
  <c r="B2752" i="100"/>
  <c r="B1566" i="100"/>
  <c r="B502" i="100"/>
  <c r="C2216" i="100"/>
  <c r="C2670" i="100"/>
  <c r="C303" i="100"/>
  <c r="C338" i="100"/>
  <c r="B2267" i="100"/>
  <c r="B352" i="100"/>
  <c r="C219" i="100"/>
  <c r="C2988" i="100"/>
  <c r="B7" i="100"/>
  <c r="B2440" i="100"/>
  <c r="C2219" i="100"/>
  <c r="B2512" i="100"/>
  <c r="B2865" i="100"/>
  <c r="B229" i="100"/>
  <c r="C396" i="100"/>
  <c r="C2992" i="100"/>
  <c r="C2559" i="100"/>
  <c r="C2421" i="100"/>
  <c r="C372" i="100"/>
  <c r="C2586" i="100"/>
  <c r="B2943" i="100"/>
  <c r="C518" i="100"/>
  <c r="B2414" i="100"/>
  <c r="C2719" i="100"/>
  <c r="C2733" i="100"/>
  <c r="B2611" i="100"/>
  <c r="B317" i="100"/>
  <c r="B188" i="100"/>
  <c r="B2791" i="100"/>
  <c r="C232" i="100"/>
  <c r="C10" i="100"/>
  <c r="C2570" i="100"/>
  <c r="C2579" i="100"/>
  <c r="C1607" i="100"/>
  <c r="B2217" i="100"/>
  <c r="B286" i="100"/>
  <c r="B285" i="100"/>
  <c r="B2883" i="100"/>
  <c r="B367" i="100"/>
  <c r="C2783" i="100"/>
  <c r="C334" i="100"/>
  <c r="B2514" i="100"/>
  <c r="C397" i="100"/>
  <c r="B2497" i="100"/>
  <c r="B8" i="100"/>
  <c r="C2618" i="100"/>
  <c r="C2757" i="100"/>
  <c r="C2577" i="100"/>
  <c r="B5" i="100"/>
  <c r="B338" i="100"/>
  <c r="C2407" i="100"/>
  <c r="B457" i="100"/>
  <c r="B2928" i="100"/>
  <c r="B323" i="100"/>
  <c r="C2506" i="100"/>
  <c r="B185" i="100"/>
  <c r="C2696" i="100"/>
  <c r="C268" i="100"/>
  <c r="B381" i="100"/>
  <c r="C2602" i="100"/>
  <c r="B2901" i="100"/>
  <c r="B304" i="100"/>
  <c r="B2847" i="100"/>
  <c r="C291" i="100"/>
  <c r="B2384" i="100"/>
  <c r="B2344" i="100"/>
  <c r="B201" i="100"/>
  <c r="B2747" i="100"/>
  <c r="C1604" i="100"/>
  <c r="C4" i="102"/>
  <c r="C174" i="100"/>
  <c r="C2534" i="100"/>
  <c r="C2457" i="100"/>
  <c r="B211" i="100"/>
  <c r="C6" i="100"/>
  <c r="B2241" i="100"/>
  <c r="B385" i="100"/>
  <c r="C435" i="100"/>
  <c r="B2363" i="100"/>
  <c r="B2526" i="100"/>
  <c r="C190" i="100"/>
  <c r="C2274" i="100"/>
  <c r="C2481" i="100"/>
  <c r="B2896" i="100"/>
  <c r="C2466" i="100"/>
  <c r="C183" i="100"/>
  <c r="B2763" i="100"/>
  <c r="B419" i="100"/>
  <c r="C201" i="100"/>
  <c r="B2657" i="100"/>
  <c r="C2991" i="100"/>
  <c r="B2228" i="100"/>
  <c r="B2316" i="100"/>
  <c r="C2874" i="100"/>
  <c r="C2665" i="100"/>
  <c r="C296" i="100"/>
  <c r="C502" i="100"/>
  <c r="C2666" i="100"/>
  <c r="B2806" i="100"/>
  <c r="B2572" i="100"/>
  <c r="B488" i="100"/>
  <c r="B2485" i="100"/>
  <c r="B310" i="100"/>
  <c r="B2815" i="100"/>
  <c r="C2672" i="100"/>
  <c r="C387" i="100"/>
  <c r="C278" i="100"/>
  <c r="B2960" i="100"/>
  <c r="B2964" i="100"/>
  <c r="B225" i="100"/>
  <c r="B2242" i="100"/>
  <c r="C214" i="100"/>
  <c r="C370" i="100"/>
  <c r="B2658" i="100"/>
  <c r="B407" i="100"/>
  <c r="C2849" i="100"/>
  <c r="B420" i="100"/>
  <c r="B2434" i="100"/>
  <c r="B249" i="100"/>
  <c r="B2751" i="100"/>
  <c r="B2962" i="100"/>
  <c r="C2686" i="100"/>
  <c r="C2270" i="100"/>
  <c r="B2452" i="100"/>
  <c r="C2582" i="100"/>
  <c r="B2343" i="100"/>
  <c r="C386" i="100"/>
  <c r="C2717" i="100"/>
  <c r="B2540" i="100"/>
  <c r="B2284" i="100"/>
  <c r="B2566" i="100"/>
  <c r="B2229" i="100"/>
  <c r="C413" i="100"/>
  <c r="B246" i="100"/>
  <c r="C2625" i="100"/>
  <c r="B301" i="100"/>
  <c r="C2507" i="100"/>
  <c r="C324" i="100"/>
  <c r="C321" i="100"/>
  <c r="C465" i="100"/>
  <c r="C2511" i="100"/>
  <c r="B2775" i="100"/>
  <c r="B2243" i="100"/>
  <c r="B2530" i="100"/>
  <c r="B298" i="100"/>
  <c r="C2264" i="100"/>
  <c r="B427" i="100"/>
  <c r="B2486" i="100"/>
  <c r="C2633" i="100"/>
  <c r="B398" i="100"/>
  <c r="B2577" i="100"/>
  <c r="B2449" i="100"/>
  <c r="C2518" i="100"/>
  <c r="B2981" i="100"/>
  <c r="C2880" i="100"/>
  <c r="C331" i="100"/>
  <c r="B175" i="100"/>
  <c r="B429" i="100"/>
  <c r="C2754" i="100"/>
  <c r="C2613" i="100"/>
  <c r="C2939" i="100"/>
  <c r="C316" i="100"/>
  <c r="C2247" i="100"/>
  <c r="C2661" i="100"/>
  <c r="C2944" i="100"/>
  <c r="B2936" i="100"/>
  <c r="B280" i="100"/>
  <c r="B206" i="100"/>
  <c r="C2790" i="100"/>
  <c r="C2967" i="100"/>
  <c r="B2507" i="100"/>
  <c r="C289" i="100"/>
  <c r="B392" i="100"/>
  <c r="C212" i="100"/>
  <c r="B2576" i="100"/>
  <c r="C2873" i="100"/>
  <c r="B2423" i="100"/>
  <c r="C2492" i="100"/>
  <c r="C1559" i="100"/>
  <c r="B2882" i="100"/>
  <c r="B2821" i="100"/>
  <c r="B251" i="100"/>
  <c r="B1562" i="100"/>
  <c r="B430" i="100"/>
  <c r="B2563" i="100"/>
  <c r="C7" i="100"/>
  <c r="B2638" i="100"/>
  <c r="C468" i="100"/>
  <c r="C2551" i="100"/>
  <c r="C308" i="100"/>
  <c r="B526" i="100"/>
  <c r="B373" i="100"/>
  <c r="C442" i="100"/>
  <c r="B2816" i="100"/>
  <c r="C249" i="100"/>
  <c r="B2493" i="100"/>
  <c r="B291" i="100"/>
  <c r="B287" i="100"/>
  <c r="B1560" i="100"/>
  <c r="B455" i="100"/>
  <c r="C2521" i="100"/>
  <c r="B2934" i="100"/>
  <c r="B400" i="100"/>
  <c r="C2436" i="100"/>
  <c r="C2748" i="100"/>
  <c r="C2853" i="100"/>
  <c r="C500" i="100"/>
  <c r="B436" i="100"/>
  <c r="C171" i="100"/>
  <c r="C2905" i="100"/>
  <c r="C2550" i="100"/>
  <c r="B2489" i="100"/>
  <c r="C381" i="100"/>
  <c r="B2642" i="100"/>
  <c r="C8" i="102"/>
  <c r="C2871" i="100"/>
  <c r="C2245" i="100"/>
  <c r="B371" i="100"/>
  <c r="C2252" i="100"/>
  <c r="B500" i="100"/>
  <c r="C2674" i="100"/>
  <c r="C2755" i="100"/>
  <c r="C287" i="100"/>
  <c r="C2669" i="100"/>
  <c r="B2473" i="100"/>
  <c r="C2519" i="100"/>
  <c r="B523" i="100"/>
  <c r="C2524" i="100"/>
  <c r="C2234" i="100"/>
  <c r="B224" i="100"/>
  <c r="C2592" i="100"/>
  <c r="C304" i="100"/>
  <c r="C2348" i="100"/>
  <c r="B244" i="100"/>
  <c r="C2931" i="100"/>
  <c r="B2537" i="100"/>
  <c r="B2515" i="100"/>
  <c r="B2814" i="100"/>
  <c r="C2536" i="100"/>
  <c r="C2327" i="100"/>
  <c r="B2555" i="100"/>
  <c r="C517" i="100"/>
  <c r="B248" i="100"/>
  <c r="C2502" i="100"/>
  <c r="B2299" i="100"/>
  <c r="C2622" i="100"/>
  <c r="B194" i="100"/>
  <c r="C380" i="100"/>
  <c r="B2459" i="100"/>
  <c r="B2906" i="100"/>
  <c r="C462" i="94" a="1"/>
  <c r="B2596" i="100"/>
  <c r="B2938" i="100"/>
  <c r="C2591" i="100"/>
  <c r="B235" i="100"/>
  <c r="C2505" i="100"/>
  <c r="C440" i="100"/>
  <c r="B347" i="100"/>
  <c r="C2255" i="100"/>
  <c r="B2959" i="100"/>
  <c r="B2704" i="100"/>
  <c r="B406" i="100"/>
  <c r="C2446" i="100"/>
  <c r="C2425" i="100"/>
  <c r="C2729" i="100"/>
  <c r="C2658" i="100"/>
  <c r="C424" i="100"/>
  <c r="C2655" i="100"/>
  <c r="C2693" i="100"/>
  <c r="B2342" i="100"/>
  <c r="C2558" i="100"/>
  <c r="C2488" i="100"/>
  <c r="B2492" i="100"/>
  <c r="C497" i="100"/>
  <c r="B466" i="100"/>
  <c r="B495" i="100"/>
  <c r="B441" i="100"/>
  <c r="B2907" i="100"/>
  <c r="B167" i="100"/>
  <c r="C2945" i="100"/>
  <c r="B2239" i="100"/>
  <c r="B2619" i="100"/>
  <c r="B334" i="100"/>
  <c r="C2438" i="100"/>
  <c r="C2426" i="100"/>
  <c r="C2752" i="100"/>
  <c r="B2465" i="100"/>
  <c r="C2246" i="100"/>
  <c r="C487" i="100"/>
  <c r="C173" i="100"/>
  <c r="B489" i="100"/>
  <c r="B2274" i="100"/>
  <c r="B2717" i="100"/>
  <c r="B2570" i="100"/>
  <c r="C281" i="100"/>
  <c r="C329" i="100"/>
  <c r="B2725" i="100"/>
  <c r="B2597" i="100"/>
  <c r="C2419" i="100"/>
  <c r="B368" i="100"/>
  <c r="C2476" i="100"/>
  <c r="C2322" i="100"/>
  <c r="C299" i="100"/>
  <c r="B349" i="100"/>
  <c r="C2881" i="100"/>
  <c r="C2444" i="100"/>
  <c r="C2360" i="100"/>
  <c r="C2723" i="100"/>
  <c r="C2430" i="100"/>
  <c r="B2593" i="100"/>
  <c r="C2371" i="100"/>
  <c r="B2483" i="100"/>
  <c r="B482" i="100"/>
  <c r="B2506" i="100"/>
  <c r="C2221" i="100"/>
  <c r="C2883" i="100"/>
  <c r="B2278" i="100"/>
  <c r="C391" i="100"/>
  <c r="C218" i="100"/>
  <c r="B295" i="100"/>
  <c r="B2463" i="100"/>
  <c r="C503" i="100"/>
  <c r="C2957" i="100"/>
  <c r="B2955" i="100"/>
  <c r="B1605" i="100"/>
  <c r="B2546" i="100"/>
  <c r="C2562" i="100"/>
  <c r="C2756" i="100"/>
  <c r="B199" i="100"/>
  <c r="B2656" i="100"/>
  <c r="B393" i="100"/>
  <c r="C2249" i="100"/>
  <c r="C2925" i="100"/>
  <c r="C176" i="100"/>
  <c r="C167" i="100"/>
  <c r="B2539" i="100"/>
  <c r="B137" i="100"/>
  <c r="C2624" i="100"/>
  <c r="C341" i="100"/>
  <c r="B2298" i="100"/>
  <c r="B424" i="100"/>
  <c r="B2912" i="100"/>
  <c r="B189" i="100"/>
  <c r="C2414" i="100"/>
  <c r="B2615" i="100"/>
  <c r="B513" i="100"/>
  <c r="B2362" i="100"/>
  <c r="C361" i="100"/>
  <c r="B440" i="100"/>
  <c r="C267" i="100"/>
  <c r="B2622" i="100"/>
  <c r="B168" i="100"/>
  <c r="B443" i="100"/>
  <c r="C2409" i="100"/>
  <c r="B2760" i="100"/>
  <c r="C2478" i="100"/>
  <c r="C13" i="102"/>
  <c r="C349" i="100"/>
  <c r="B2518" i="100"/>
  <c r="B252" i="100"/>
  <c r="C2544" i="100"/>
  <c r="C335" i="100"/>
  <c r="C227" i="100"/>
  <c r="C2527" i="100"/>
  <c r="C2808" i="100"/>
  <c r="B432" i="100"/>
  <c r="B433" i="100"/>
  <c r="B518" i="100"/>
  <c r="B2877" i="100"/>
  <c r="C2605" i="100"/>
  <c r="B2983" i="100"/>
  <c r="B2545" i="100"/>
  <c r="B2702" i="100"/>
  <c r="B2253" i="100"/>
  <c r="B303" i="100"/>
  <c r="B2627" i="100"/>
  <c r="B2320" i="100"/>
  <c r="B2699" i="100"/>
  <c r="B2252" i="100"/>
  <c r="C2217" i="100"/>
  <c r="B2504" i="100"/>
  <c r="B463" i="100"/>
  <c r="B2411" i="100"/>
  <c r="C437" i="100"/>
  <c r="C470" i="94" a="1"/>
  <c r="C2977" i="100"/>
  <c r="B2757" i="100"/>
  <c r="C325" i="100"/>
  <c r="C2843" i="100"/>
  <c r="C2702" i="100"/>
  <c r="C226" i="100"/>
  <c r="B296" i="100"/>
  <c r="B202" i="100"/>
  <c r="C1561" i="100"/>
  <c r="B261" i="100"/>
  <c r="B520" i="100"/>
  <c r="C2475" i="100"/>
  <c r="B2561" i="100"/>
  <c r="B2837" i="100"/>
  <c r="C2473" i="100"/>
  <c r="B2715" i="100"/>
  <c r="C2932" i="100"/>
  <c r="C258" i="100"/>
  <c r="C301" i="100"/>
  <c r="B445" i="100"/>
  <c r="B212" i="100"/>
  <c r="B260" i="100"/>
  <c r="C293" i="100"/>
  <c r="C2318" i="100"/>
  <c r="B339" i="100"/>
  <c r="C492" i="100"/>
  <c r="C1566" i="100"/>
  <c r="C302" i="100"/>
  <c r="B364" i="100"/>
  <c r="C2406" i="100"/>
  <c r="B2393" i="100"/>
  <c r="C2471" i="100"/>
  <c r="B2408" i="100"/>
  <c r="C2501" i="100"/>
  <c r="C2262" i="100"/>
  <c r="C269" i="100"/>
  <c r="B2965" i="100"/>
  <c r="B2874" i="100"/>
  <c r="C415" i="100"/>
  <c r="B2787" i="100"/>
  <c r="C2854" i="100"/>
  <c r="C2449" i="100"/>
  <c r="B439" i="100"/>
  <c r="B507" i="100"/>
  <c r="B242" i="100"/>
  <c r="B299" i="100"/>
  <c r="B2734" i="100"/>
  <c r="C2846" i="100"/>
  <c r="B404" i="100"/>
  <c r="C2621" i="100"/>
  <c r="C2429" i="100"/>
  <c r="C2845" i="100"/>
  <c r="B2879" i="100"/>
  <c r="C1601" i="100"/>
  <c r="C2934" i="100"/>
  <c r="B511" i="100"/>
  <c r="C2364" i="100"/>
  <c r="C1558" i="100"/>
  <c r="B268" i="100"/>
  <c r="B217" i="100"/>
  <c r="C298" i="100"/>
  <c r="C2989" i="100"/>
  <c r="C2464" i="100"/>
  <c r="C189" i="100"/>
  <c r="C2701" i="100"/>
  <c r="C476" i="100"/>
  <c r="C2936" i="100"/>
  <c r="F13" i="102"/>
  <c r="C2" i="102"/>
  <c r="C300" i="100"/>
  <c r="B395" i="100"/>
  <c r="C443" i="100"/>
  <c r="B241" i="100"/>
  <c r="B2786" i="100"/>
  <c r="C2731" i="100"/>
  <c r="B2322" i="100"/>
  <c r="C456" i="100"/>
  <c r="B6" i="100"/>
  <c r="B2416" i="100"/>
  <c r="C505" i="100"/>
  <c r="B179" i="100"/>
  <c r="C2503" i="100"/>
  <c r="B2282" i="100"/>
  <c r="B2519" i="100"/>
  <c r="B2482" i="100"/>
  <c r="B467" i="100"/>
  <c r="C2276" i="100"/>
  <c r="B2218" i="100"/>
  <c r="B2690" i="100"/>
  <c r="B2448" i="100"/>
  <c r="B2219" i="100"/>
  <c r="B2953" i="100"/>
  <c r="B2911" i="100"/>
  <c r="C2668" i="100"/>
  <c r="B209" i="100"/>
  <c r="B2660" i="100"/>
  <c r="B2484" i="100"/>
  <c r="C2236" i="100"/>
  <c r="B2406" i="100"/>
  <c r="B521" i="100"/>
  <c r="C455" i="100"/>
  <c r="B2256" i="100"/>
  <c r="B514" i="100"/>
  <c r="C2609" i="100"/>
  <c r="C2316" i="100"/>
  <c r="B2670" i="100"/>
  <c r="B2759" i="100"/>
  <c r="C2547" i="100"/>
  <c r="B2323" i="100"/>
  <c r="C2745" i="100"/>
  <c r="B231" i="100"/>
  <c r="C2228" i="100"/>
  <c r="B136" i="100"/>
  <c r="B2777" i="100"/>
  <c r="B389" i="100"/>
  <c r="C2448" i="100"/>
  <c r="C2644" i="100"/>
  <c r="B2542" i="100"/>
  <c r="C2949" i="100"/>
  <c r="C314" i="100"/>
  <c r="B2325" i="100"/>
  <c r="B2788" i="100"/>
  <c r="B234" i="100"/>
  <c r="B2867" i="100"/>
  <c r="B2817" i="100"/>
  <c r="B2480" i="100"/>
  <c r="C2875" i="100"/>
  <c r="C2498" i="100"/>
  <c r="B388" i="100"/>
  <c r="C2898" i="100"/>
  <c r="C256" i="100"/>
  <c r="C2529" i="100"/>
  <c r="B2460" i="100"/>
  <c r="B2281" i="100"/>
  <c r="C2952" i="100"/>
  <c r="C408" i="100"/>
  <c r="C2433" i="100"/>
  <c r="C10" i="102"/>
  <c r="C441" i="100"/>
  <c r="C2775" i="100"/>
  <c r="B170" i="100"/>
  <c r="C2389" i="100"/>
  <c r="B2215" i="100"/>
  <c r="C2504" i="100"/>
  <c r="C459" i="100"/>
  <c r="B2569" i="100"/>
  <c r="B2687" i="100"/>
  <c r="C2750" i="100"/>
  <c r="C2641" i="100"/>
  <c r="B2491" i="100"/>
  <c r="C2458" i="100"/>
  <c r="C523" i="100"/>
  <c r="C2271" i="100"/>
  <c r="B255" i="100"/>
  <c r="B2525" i="100"/>
  <c r="C2689" i="100"/>
  <c r="B2479" i="100"/>
  <c r="B2417" i="100"/>
  <c r="C230" i="100"/>
  <c r="C322" i="100"/>
  <c r="B2631" i="100"/>
  <c r="C2469" i="100"/>
  <c r="B497" i="100"/>
  <c r="B405" i="100"/>
  <c r="C388" i="100"/>
  <c r="B2524" i="100"/>
  <c r="C2789" i="100"/>
  <c r="B470" i="100"/>
  <c r="B2234" i="100"/>
  <c r="B2579" i="100"/>
  <c r="C2623" i="100"/>
  <c r="C2460" i="100"/>
  <c r="B2249" i="100"/>
  <c r="C464" i="100"/>
  <c r="B512" i="100"/>
  <c r="B2843" i="100"/>
  <c r="B2458" i="100"/>
  <c r="B356" i="100"/>
  <c r="C1562" i="100"/>
  <c r="B320" i="100"/>
  <c r="B2967" i="100"/>
  <c r="C234" i="100"/>
  <c r="B2979" i="100"/>
  <c r="B2573" i="100"/>
  <c r="B2703" i="100"/>
  <c r="C2968" i="100"/>
  <c r="B2878" i="100"/>
  <c r="C2215" i="100"/>
  <c r="B288" i="100"/>
  <c r="C2552" i="100"/>
  <c r="B1604" i="100"/>
  <c r="C2942" i="100"/>
  <c r="C2971" i="100"/>
  <c r="B2731" i="100"/>
  <c r="C417" i="100"/>
  <c r="B254" i="100"/>
  <c r="B2407" i="100"/>
  <c r="B2571" i="100"/>
  <c r="C2878" i="100"/>
  <c r="B227" i="100"/>
  <c r="C2569" i="100"/>
  <c r="C2747" i="100"/>
  <c r="C2232" i="100"/>
  <c r="B357" i="100"/>
  <c r="F3" i="102"/>
  <c r="C2384" i="100"/>
  <c r="B2778" i="100"/>
  <c r="C2538" i="100"/>
  <c r="C2763" i="100"/>
  <c r="B2629" i="100"/>
  <c r="C357" i="100"/>
  <c r="C2587" i="100"/>
  <c r="B477" i="100"/>
  <c r="C2837" i="100"/>
  <c r="C2955" i="100"/>
  <c r="B272" i="100"/>
  <c r="C2715" i="100"/>
  <c r="B2410" i="100"/>
  <c r="B233" i="100"/>
  <c r="B274" i="100"/>
  <c r="C438" i="94" a="1"/>
  <c r="C2904" i="100"/>
  <c r="C2897" i="100"/>
  <c r="B2455" i="100"/>
  <c r="C2386" i="100"/>
  <c r="C358" i="100"/>
  <c r="B2905" i="100"/>
  <c r="B428" i="100"/>
  <c r="C521" i="100"/>
  <c r="B459" i="100"/>
  <c r="C2870" i="100"/>
  <c r="B2221" i="100"/>
  <c r="B451" i="100"/>
  <c r="B2300" i="100"/>
  <c r="C418" i="100"/>
  <c r="B456" i="100"/>
  <c r="B2415" i="100"/>
  <c r="B2728" i="100"/>
  <c r="C2629" i="100"/>
  <c r="B11" i="100"/>
  <c r="B1609" i="100"/>
  <c r="C2759" i="100"/>
  <c r="C2523" i="100"/>
  <c r="C2787" i="100"/>
  <c r="B2807" i="100"/>
  <c r="B2876" i="100"/>
  <c r="C411" i="100"/>
  <c r="B448" i="100"/>
  <c r="C475" i="100"/>
  <c r="C2299" i="100"/>
  <c r="B2392" i="100"/>
  <c r="C266" i="100"/>
  <c r="C433" i="100"/>
  <c r="C2487" i="100"/>
  <c r="B2632" i="100"/>
  <c r="B183" i="100"/>
  <c r="C2261" i="100"/>
  <c r="B2716" i="100"/>
  <c r="B2661" i="100"/>
  <c r="B2978" i="100"/>
  <c r="F10" i="102"/>
  <c r="C490" i="100"/>
  <c r="C252" i="100"/>
  <c r="B2535" i="100"/>
  <c r="C2440" i="100"/>
  <c r="B496" i="100"/>
  <c r="B2880" i="100"/>
  <c r="C429" i="100"/>
  <c r="C524" i="100"/>
  <c r="B377" i="100"/>
  <c r="C466" i="100"/>
  <c r="C379" i="100"/>
  <c r="C2973" i="100"/>
  <c r="C2935" i="100"/>
  <c r="B2909" i="100"/>
  <c r="B2613" i="100"/>
  <c r="B2544" i="100"/>
  <c r="C367" i="100"/>
  <c r="B292" i="100"/>
  <c r="C251" i="100"/>
  <c r="B2718" i="100"/>
  <c r="B2603" i="100"/>
  <c r="C2323" i="100"/>
  <c r="C427" i="100"/>
  <c r="C2442" i="100"/>
  <c r="C2542" i="100"/>
  <c r="B2902" i="100"/>
  <c r="B240" i="100"/>
  <c r="C2241" i="100"/>
  <c r="B2633" i="100"/>
  <c r="C2343" i="100"/>
  <c r="B2583" i="100"/>
  <c r="B2693" i="100"/>
  <c r="C225" i="100"/>
  <c r="B2553" i="100"/>
  <c r="B491" i="100"/>
  <c r="C2948" i="100"/>
  <c r="B2496" i="100"/>
  <c r="C2248" i="100"/>
  <c r="B2454" i="100"/>
  <c r="B444" i="100"/>
  <c r="C2341" i="100"/>
  <c r="B2931" i="100"/>
  <c r="C2574" i="100"/>
  <c r="B2977" i="100"/>
  <c r="C220" i="100"/>
  <c r="C359" i="100"/>
  <c r="B416" i="100"/>
  <c r="C2667" i="100"/>
  <c r="C495" i="100"/>
  <c r="B515" i="100"/>
  <c r="C2627" i="100"/>
  <c r="B2598" i="100"/>
  <c r="B2321" i="100"/>
  <c r="C2954" i="100"/>
  <c r="B2531" i="100"/>
  <c r="B2937" i="100"/>
  <c r="B2391" i="100"/>
  <c r="C2485" i="100"/>
  <c r="C275" i="100"/>
  <c r="C2227" i="100"/>
  <c r="C317" i="100"/>
  <c r="C197" i="100"/>
  <c r="B2895" i="100"/>
  <c r="C2687" i="100"/>
  <c r="B2784" i="100"/>
  <c r="C2462" i="100"/>
  <c r="B1989" i="100"/>
  <c r="C2218" i="100"/>
  <c r="B2686" i="100"/>
  <c r="B493" i="100"/>
  <c r="C394" i="100"/>
  <c r="B2810" i="100"/>
  <c r="C2408" i="100"/>
  <c r="C290" i="100"/>
  <c r="C509" i="100"/>
  <c r="B264" i="100"/>
  <c r="C5" i="102"/>
  <c r="B394" i="100"/>
  <c r="C2958" i="100"/>
  <c r="B2838" i="100"/>
  <c r="B1603" i="100"/>
  <c r="B434" i="100"/>
  <c r="B278" i="100"/>
  <c r="B2302" i="100"/>
  <c r="B333" i="100"/>
  <c r="B2558" i="100"/>
  <c r="C307" i="100"/>
  <c r="B2793" i="100"/>
  <c r="C2548" i="100"/>
  <c r="C369" i="100"/>
  <c r="B465" i="100"/>
  <c r="B2639" i="100"/>
  <c r="C477" i="100"/>
  <c r="B2283" i="100"/>
  <c r="C2472" i="100"/>
  <c r="B203" i="100"/>
  <c r="B2617" i="100"/>
  <c r="C2781" i="100"/>
  <c r="C2349" i="100"/>
  <c r="F4" i="102"/>
  <c r="B2520" i="100"/>
  <c r="C2776" i="100"/>
  <c r="C2549" i="100"/>
  <c r="C2320" i="100"/>
  <c r="C271" i="100"/>
  <c r="B207" i="100"/>
  <c r="C2760" i="100"/>
  <c r="C241" i="100"/>
  <c r="B253" i="100"/>
  <c r="C2818" i="100"/>
  <c r="B2913" i="100"/>
  <c r="B263" i="100"/>
  <c r="B2756" i="100"/>
  <c r="C2325" i="100"/>
  <c r="C261" i="100"/>
  <c r="B2929" i="100"/>
  <c r="C2956" i="100"/>
  <c r="C484" i="100"/>
  <c r="C2643" i="100"/>
  <c r="B305" i="100"/>
  <c r="B2956" i="100"/>
  <c r="C327" i="100"/>
  <c r="B2437" i="100"/>
  <c r="C193" i="100"/>
  <c r="B408" i="100"/>
  <c r="C2978" i="100"/>
  <c r="B173" i="100"/>
  <c r="B375" i="100"/>
  <c r="C2259" i="100"/>
  <c r="B2450" i="100"/>
  <c r="C2851" i="100"/>
  <c r="B2991" i="100"/>
  <c r="B2560" i="100"/>
  <c r="B331" i="100"/>
  <c r="C2260" i="100"/>
  <c r="C377" i="100"/>
  <c r="B2980" i="100"/>
  <c r="B2669" i="100"/>
  <c r="B1602" i="100"/>
  <c r="C259" i="100"/>
  <c r="C276" i="100"/>
  <c r="C393" i="100"/>
  <c r="C493" i="100"/>
  <c r="C191" i="100"/>
  <c r="C2903" i="100"/>
  <c r="B1559" i="100"/>
  <c r="C2913" i="100"/>
  <c r="C2612" i="100"/>
  <c r="B2701" i="100"/>
  <c r="B2439" i="100"/>
  <c r="C420" i="100"/>
  <c r="C2951" i="100"/>
  <c r="C350" i="100"/>
  <c r="C2867" i="100"/>
  <c r="C233" i="100"/>
  <c r="C206" i="100"/>
  <c r="B437" i="100"/>
  <c r="B2951" i="100"/>
  <c r="B2341" i="100"/>
  <c r="C2510" i="100"/>
  <c r="B2869" i="100"/>
  <c r="B2511" i="100"/>
  <c r="B2628" i="100"/>
  <c r="C2725" i="100"/>
  <c r="C2638" i="100"/>
  <c r="B2724" i="100"/>
  <c r="C2535" i="100"/>
  <c r="C2620" i="100"/>
  <c r="B2755" i="100"/>
  <c r="B2294" i="100"/>
  <c r="B1561" i="100"/>
  <c r="C2461" i="100"/>
  <c r="B2318" i="100"/>
  <c r="B257" i="100"/>
  <c r="C392" i="100"/>
  <c r="C2926" i="100"/>
  <c r="C2515" i="100"/>
  <c r="C508" i="100"/>
  <c r="C2281" i="100"/>
  <c r="B2845" i="100"/>
  <c r="B2559" i="100"/>
  <c r="B379" i="100"/>
  <c r="C2537" i="100"/>
  <c r="C458" i="100"/>
  <c r="C496" i="100"/>
  <c r="C2512" i="100"/>
  <c r="C2690" i="100"/>
  <c r="B2405" i="100"/>
  <c r="B2250" i="100"/>
  <c r="C2964" i="100"/>
  <c r="C2432" i="100"/>
  <c r="B2366" i="100"/>
  <c r="C2474" i="100"/>
  <c r="C313" i="100"/>
  <c r="C2240" i="100"/>
  <c r="B382" i="100"/>
  <c r="C403" i="100"/>
  <c r="C516" i="100"/>
  <c r="C398" i="100"/>
  <c r="B1563" i="100"/>
  <c r="B232" i="100"/>
  <c r="C283" i="100"/>
  <c r="C2344" i="100"/>
  <c r="C2593" i="100"/>
  <c r="B471" i="100"/>
  <c r="C2850" i="100"/>
  <c r="B2430" i="100"/>
  <c r="B361" i="100"/>
  <c r="C467" i="100"/>
  <c r="C460" i="100"/>
  <c r="C340" i="100"/>
  <c r="B2338" i="100"/>
  <c r="C483" i="100"/>
  <c r="B2866" i="100"/>
  <c r="C2657" i="100"/>
  <c r="B2420" i="100"/>
  <c r="C265" i="100"/>
  <c r="C448" i="100"/>
  <c r="C2304" i="100"/>
  <c r="B2974" i="100"/>
  <c r="B2610" i="100"/>
  <c r="B2723" i="100"/>
  <c r="C1565" i="100"/>
  <c r="C186" i="100"/>
  <c r="C2615" i="100"/>
  <c r="B2623" i="100"/>
  <c r="C2792" i="100"/>
  <c r="C2452" i="100"/>
  <c r="C2626" i="100"/>
  <c r="F11" i="102"/>
  <c r="B138" i="100"/>
  <c r="B279" i="100"/>
  <c r="C371" i="100"/>
  <c r="C2895" i="100"/>
  <c r="B2225" i="100"/>
  <c r="C2600" i="100"/>
  <c r="B2667" i="100"/>
  <c r="C2233" i="100"/>
  <c r="B365" i="100"/>
  <c r="C244" i="100"/>
  <c r="B2972" i="100"/>
  <c r="C2778" i="100"/>
  <c r="B2904" i="100"/>
  <c r="C2784" i="100"/>
  <c r="C2896" i="100"/>
  <c r="C200" i="100"/>
  <c r="C240" i="100"/>
  <c r="C400" i="100"/>
  <c r="B2472" i="100"/>
  <c r="C2597" i="100"/>
  <c r="B2387" i="100"/>
  <c r="B2269" i="100"/>
  <c r="C12" i="102"/>
  <c r="C2491" i="100"/>
  <c r="B204" i="100"/>
  <c r="C2718" i="100"/>
  <c r="B2781" i="100"/>
  <c r="B2467" i="100"/>
  <c r="C2722" i="100"/>
  <c r="B472" i="100"/>
  <c r="B2478" i="100"/>
  <c r="C2847" i="100"/>
  <c r="C2969" i="100"/>
  <c r="B213" i="100"/>
  <c r="C479" i="100"/>
  <c r="C2275" i="100"/>
  <c r="B2500" i="100"/>
  <c r="B2457" i="100"/>
  <c r="B2487" i="100"/>
  <c r="B2588" i="100"/>
  <c r="B452" i="100"/>
  <c r="C2553" i="100"/>
  <c r="B2846" i="100"/>
  <c r="B2599" i="100"/>
  <c r="B259" i="100"/>
  <c r="B2673" i="100"/>
  <c r="B1601" i="100"/>
  <c r="C2214" i="100"/>
  <c r="C198" i="100"/>
  <c r="B2502" i="100"/>
  <c r="C328" i="100"/>
  <c r="C2305" i="100"/>
  <c r="C203" i="100"/>
  <c r="C2630" i="100"/>
  <c r="C2876" i="100"/>
  <c r="B2499" i="100"/>
  <c r="B2989" i="100"/>
  <c r="B180" i="100"/>
  <c r="B2367" i="100"/>
  <c r="B269" i="100"/>
  <c r="C2467" i="100"/>
  <c r="C2451" i="100"/>
  <c r="B2726" i="100"/>
  <c r="B2235" i="100"/>
  <c r="C194" i="100"/>
  <c r="B1607" i="100"/>
  <c r="C480" i="100"/>
  <c r="B2277" i="100"/>
  <c r="B2608" i="100"/>
  <c r="B2245" i="100"/>
  <c r="C2791" i="100"/>
  <c r="C2526" i="100"/>
  <c r="C2794" i="100"/>
  <c r="B2476" i="100"/>
  <c r="B2582" i="100"/>
  <c r="B2418" i="100"/>
  <c r="C336" i="100"/>
  <c r="B484" i="100"/>
  <c r="B2873" i="100"/>
  <c r="C2324" i="100"/>
  <c r="B2441" i="100"/>
  <c r="B2591" i="100"/>
  <c r="B2910" i="100"/>
  <c r="C2499" i="100"/>
  <c r="C2619" i="100"/>
  <c r="B2562" i="100"/>
  <c r="B2419" i="100"/>
  <c r="C504" i="100"/>
  <c r="C2490" i="100"/>
  <c r="B2848" i="100"/>
  <c r="B2961" i="100"/>
  <c r="C2480" i="100"/>
  <c r="B435" i="100"/>
  <c r="B2409" i="100"/>
  <c r="C422" i="100"/>
  <c r="C2568" i="100"/>
  <c r="B2875" i="100"/>
  <c r="B2618" i="100"/>
  <c r="C2671" i="100"/>
  <c r="B238" i="100"/>
  <c r="B415" i="100"/>
  <c r="C2636" i="100"/>
  <c r="B2541" i="100"/>
  <c r="B1565" i="100"/>
  <c r="B219" i="100"/>
  <c r="B2266" i="100"/>
  <c r="C2445" i="100"/>
  <c r="C2811" i="100"/>
  <c r="C168" i="100"/>
  <c r="B236" i="100"/>
  <c r="C202" i="100"/>
  <c r="C2777" i="100"/>
  <c r="C405" i="100"/>
  <c r="B2389" i="100"/>
  <c r="B181" i="100"/>
  <c r="B2952" i="100"/>
  <c r="C297" i="100"/>
  <c r="B2257" i="100"/>
  <c r="C138" i="100"/>
  <c r="B2812" i="100"/>
  <c r="C2561" i="100"/>
  <c r="B2444" i="100"/>
  <c r="B516" i="100"/>
  <c r="B351" i="100"/>
  <c r="B2481" i="100"/>
  <c r="C2631" i="100"/>
  <c r="B2975" i="100"/>
  <c r="C2632" i="100"/>
  <c r="B2945" i="100"/>
  <c r="B223" i="100"/>
  <c r="B289" i="100"/>
  <c r="C9" i="102"/>
  <c r="B2602" i="100"/>
  <c r="C2692" i="100"/>
  <c r="B2809" i="100"/>
  <c r="C242" i="100"/>
  <c r="B2261" i="100"/>
  <c r="C224" i="100"/>
  <c r="C2321" i="100"/>
  <c r="B2498" i="100"/>
  <c r="C2984" i="100"/>
  <c r="B2509" i="100"/>
  <c r="C2477" i="100"/>
  <c r="B215" i="100"/>
  <c r="C2941" i="100"/>
  <c r="B2664" i="100"/>
  <c r="C407" i="100"/>
  <c r="B2231" i="100"/>
  <c r="B2533" i="100"/>
  <c r="C2239" i="100"/>
  <c r="C2727" i="100"/>
  <c r="C248" i="100"/>
  <c r="B528" i="100"/>
  <c r="B460" i="100"/>
  <c r="C2815" i="100"/>
  <c r="C494" i="100"/>
  <c r="B2762" i="100"/>
  <c r="B332" i="100"/>
  <c r="B337" i="100"/>
  <c r="C2966" i="100"/>
  <c r="C499" i="100"/>
  <c r="C506" i="100"/>
  <c r="C2990" i="100"/>
  <c r="B276" i="100"/>
  <c r="B266" i="100"/>
  <c r="C2530" i="100"/>
  <c r="C2663" i="100"/>
  <c r="B271" i="100"/>
  <c r="C6" i="102"/>
  <c r="C280" i="100"/>
  <c r="B2674" i="100"/>
  <c r="B2950" i="100"/>
  <c r="F15" i="102"/>
  <c r="B469" i="100"/>
  <c r="B2213" i="100"/>
  <c r="B2789" i="100"/>
  <c r="C401" i="100"/>
  <c r="B2626" i="100"/>
  <c r="B369" i="100"/>
  <c r="C2907" i="100"/>
  <c r="B376" i="100"/>
  <c r="C2704" i="100"/>
  <c r="B226" i="100"/>
  <c r="C383" i="100"/>
  <c r="B525" i="100"/>
  <c r="C2909" i="100"/>
  <c r="B324" i="100"/>
  <c r="B2527" i="100"/>
  <c r="B2214" i="100"/>
  <c r="C2589" i="100"/>
  <c r="C491" i="100"/>
  <c r="C208" i="100"/>
  <c r="B2259" i="100"/>
  <c r="C2914" i="100"/>
  <c r="C526" i="100"/>
  <c r="B2340" i="100"/>
  <c r="C2721" i="100"/>
  <c r="B464" i="100"/>
  <c r="B2990" i="100"/>
  <c r="C323" i="100"/>
  <c r="B256" i="100"/>
  <c r="B449" i="100"/>
  <c r="C2848" i="100"/>
  <c r="C2656" i="100"/>
  <c r="C2933" i="100"/>
  <c r="B2635" i="100"/>
  <c r="B262" i="100"/>
  <c r="C2533" i="100"/>
  <c r="C2546" i="100"/>
  <c r="C2456" i="100"/>
  <c r="B2248" i="100"/>
  <c r="C419" i="100"/>
  <c r="B312" i="100"/>
  <c r="C2489" i="100"/>
  <c r="B2750" i="100"/>
  <c r="B2966" i="100"/>
  <c r="C2243" i="100"/>
  <c r="C2699" i="100"/>
  <c r="F5" i="102"/>
  <c r="B237" i="100"/>
  <c r="B348" i="100"/>
  <c r="B2841" i="100"/>
  <c r="B2590" i="100"/>
  <c r="B2364" i="100"/>
  <c r="B2607" i="100"/>
  <c r="C2556" i="100"/>
  <c r="C528" i="100"/>
  <c r="B322" i="100"/>
  <c r="C2280" i="100"/>
  <c r="B2761" i="100"/>
  <c r="C2250" i="100"/>
  <c r="C404" i="100"/>
  <c r="C2554" i="100"/>
  <c r="B2790" i="100"/>
  <c r="C2911" i="100"/>
  <c r="B182" i="100"/>
  <c r="C2479" i="100"/>
  <c r="C2585" i="100"/>
  <c r="B418" i="100"/>
  <c r="C169" i="100"/>
  <c r="B2517" i="100"/>
  <c r="C2816" i="100"/>
  <c r="C2405" i="100"/>
  <c r="B2552" i="100"/>
  <c r="C353" i="100"/>
  <c r="C2319" i="100"/>
  <c r="B2842" i="100"/>
  <c r="C177" i="100"/>
  <c r="C2882" i="100"/>
  <c r="C2455" i="100"/>
  <c r="C2842" i="100"/>
  <c r="C2226" i="100"/>
  <c r="B363" i="100"/>
  <c r="B2811" i="100"/>
  <c r="B2720" i="100"/>
  <c r="C343" i="100"/>
  <c r="C2441" i="100"/>
  <c r="C2974" i="100"/>
  <c r="B2614" i="100"/>
  <c r="C2470" i="100"/>
  <c r="B485" i="100"/>
  <c r="B2949" i="100"/>
  <c r="C181" i="100"/>
  <c r="C2338" i="100"/>
  <c r="C2516" i="100"/>
  <c r="C2987" i="100"/>
  <c r="C320" i="100"/>
  <c r="B374" i="100"/>
  <c r="B178" i="100"/>
  <c r="C1606" i="100"/>
  <c r="C2900" i="100"/>
  <c r="B2854" i="100"/>
  <c r="B2753" i="100"/>
  <c r="B2969" i="100"/>
  <c r="B2240" i="100"/>
  <c r="B2844" i="100"/>
  <c r="C2365" i="100"/>
  <c r="C292" i="100"/>
  <c r="B267" i="100"/>
  <c r="C279" i="100"/>
  <c r="C247" i="100"/>
  <c r="B2850" i="100"/>
  <c r="C2910" i="100"/>
  <c r="B2655" i="100"/>
  <c r="C2413" i="100"/>
  <c r="B2474" i="100"/>
  <c r="B200" i="100"/>
  <c r="B350" i="100"/>
  <c r="B335" i="100"/>
  <c r="B2908" i="100"/>
  <c r="C2393" i="100"/>
  <c r="C236" i="100"/>
  <c r="C2525" i="100"/>
  <c r="C2835" i="100"/>
  <c r="C2758" i="100"/>
  <c r="C2420" i="100"/>
  <c r="C2560" i="100"/>
  <c r="C2599" i="100"/>
  <c r="B2606" i="100"/>
  <c r="B2939" i="100"/>
  <c r="C2268" i="100"/>
  <c r="B2424" i="100"/>
  <c r="C395" i="100"/>
  <c r="C207" i="100"/>
  <c r="C2415" i="100"/>
  <c r="C2418" i="100"/>
  <c r="B2785" i="100"/>
  <c r="B2663" i="100"/>
  <c r="B2868" i="100"/>
  <c r="B475" i="100"/>
  <c r="C339" i="100"/>
  <c r="B2547" i="100"/>
  <c r="B2462" i="100"/>
  <c r="B293" i="100"/>
  <c r="C451" i="100"/>
  <c r="B247" i="100"/>
  <c r="C2431" i="100"/>
  <c r="C2975" i="100"/>
  <c r="C2494" i="100"/>
  <c r="B2644" i="100"/>
  <c r="C446" i="94" a="1"/>
  <c r="C2224" i="100"/>
  <c r="C2746" i="100"/>
  <c r="C2928" i="100"/>
  <c r="C2640" i="100"/>
  <c r="B2404" i="100"/>
  <c r="B509" i="100"/>
  <c r="B177" i="100"/>
  <c r="C2439" i="100"/>
  <c r="B197" i="100"/>
  <c r="B2488" i="100"/>
  <c r="B425" i="100"/>
  <c r="C1609" i="100"/>
  <c r="C237" i="100"/>
  <c r="C2513" i="100"/>
  <c r="C2927" i="100"/>
  <c r="C2812" i="100"/>
  <c r="B220" i="100"/>
  <c r="B2592" i="100"/>
  <c r="B1564" i="100"/>
  <c r="C445" i="100"/>
  <c r="B2636" i="100"/>
  <c r="C257" i="100"/>
  <c r="C2566" i="100"/>
  <c r="C310" i="100"/>
  <c r="B2840" i="100"/>
  <c r="C1563" i="100"/>
  <c r="B483" i="100"/>
  <c r="B2370" i="100"/>
  <c r="F2" i="102"/>
  <c r="B314" i="100"/>
  <c r="B384" i="100"/>
  <c r="C2564" i="100"/>
  <c r="B505" i="100"/>
  <c r="B2933" i="100"/>
  <c r="B2390" i="100"/>
  <c r="C223" i="100"/>
  <c r="C2688" i="100"/>
  <c r="C355" i="100"/>
  <c r="C2822" i="100"/>
  <c r="B2944" i="100"/>
  <c r="C2979" i="100"/>
  <c r="C245" i="100"/>
  <c r="B239" i="100"/>
  <c r="C446" i="94" l="1"/>
  <c r="C438" i="94"/>
  <c r="C470" i="94"/>
  <c r="C462" i="94"/>
  <c r="C454" i="94"/>
  <c r="R767" i="97" s="1"/>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P2393" i="100" a="1"/>
  <c r="Q2393" i="100" a="1"/>
  <c r="Q2327" i="100" a="1"/>
  <c r="Q2305" i="100" a="1"/>
  <c r="P2349" i="100" a="1"/>
  <c r="Q2349" i="100" a="1"/>
  <c r="P2371" i="100" a="1"/>
  <c r="P2327" i="100" a="1"/>
  <c r="Q2371" i="100" a="1"/>
  <c r="P2305" i="100" a="1"/>
  <c r="P2305" i="100" l="1"/>
  <c r="Q2371" i="100"/>
  <c r="P2327" i="100"/>
  <c r="P2371" i="100"/>
  <c r="Q2349" i="100"/>
  <c r="P2349" i="100"/>
  <c r="Q2305" i="100"/>
  <c r="Q2327" i="100"/>
  <c r="Q2393" i="100"/>
  <c r="P2393" i="100"/>
  <c r="AA39" i="72" a="1"/>
  <c r="AA39" i="72" s="1"/>
  <c r="AB39" i="72" s="1"/>
  <c r="E8" i="94" l="1"/>
  <c r="L11" i="74" l="1"/>
  <c r="L10" i="74"/>
  <c r="C20" i="69"/>
  <c r="K168" i="94"/>
  <c r="AB17" i="94" s="1"/>
  <c r="K160" i="94"/>
  <c r="AB16" i="94" s="1"/>
  <c r="K48" i="100" l="1"/>
  <c r="V1389" i="100"/>
  <c r="U1389" i="100"/>
  <c r="V1299" i="100"/>
  <c r="U1299" i="100"/>
  <c r="B1232" i="100"/>
  <c r="B1231" i="100"/>
  <c r="B1237" i="100"/>
  <c r="B1235" i="100"/>
  <c r="B1236" i="100"/>
  <c r="B1234" i="100"/>
  <c r="B1239" i="100"/>
  <c r="B1238"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9" i="99" a="1"/>
  <c r="E69" i="99" a="1"/>
  <c r="W198" i="99" a="1"/>
  <c r="F40" i="99" a="1"/>
  <c r="E194" i="99"/>
  <c r="D68" i="99" a="1"/>
  <c r="E197" i="99" a="1"/>
  <c r="E119" i="99" a="1"/>
  <c r="V199" i="99" a="1"/>
  <c r="D195" i="99" a="1"/>
  <c r="W120" i="99" a="1"/>
  <c r="X195" i="99" a="1"/>
  <c r="E64" i="99"/>
  <c r="V198" i="99" a="1"/>
  <c r="E94" i="99" a="1"/>
  <c r="E40" i="99" a="1"/>
  <c r="E66" i="99" a="1"/>
  <c r="E120" i="99" a="1"/>
  <c r="F196" i="99" a="1"/>
  <c r="E118" i="99"/>
  <c r="X170" i="99" a="1"/>
  <c r="F65" i="99" a="1"/>
  <c r="W123" i="99" a="1"/>
  <c r="F68" i="99" a="1"/>
  <c r="F66" i="99" a="1"/>
  <c r="D196" i="99" a="1"/>
  <c r="X94" i="99" a="1"/>
  <c r="E68" i="99" a="1"/>
  <c r="F94" i="99" a="1"/>
  <c r="X69" i="99" a="1"/>
  <c r="X121" i="99" a="1"/>
  <c r="D170" i="99" a="1"/>
  <c r="W197" i="99" a="1"/>
  <c r="E195" i="99" a="1"/>
  <c r="F67" i="99" a="1"/>
  <c r="D120" i="99" a="1"/>
  <c r="D121" i="99" a="1"/>
  <c r="X198" i="99" a="1"/>
  <c r="F197" i="99" a="1"/>
  <c r="X66" i="99" a="1"/>
  <c r="F122" i="99" a="1"/>
  <c r="V123" i="99" a="1"/>
  <c r="E199" i="99" a="1"/>
  <c r="D94" i="99" a="1"/>
  <c r="F120" i="99" a="1"/>
  <c r="D67" i="99" a="1"/>
  <c r="D65" i="99" a="1"/>
  <c r="E196" i="99" a="1"/>
  <c r="D198" i="99" a="1"/>
  <c r="V40" i="99" a="1"/>
  <c r="X199" i="99" a="1"/>
  <c r="W119" i="99" a="1"/>
  <c r="V196" i="99" a="1"/>
  <c r="V119" i="99" a="1"/>
  <c r="W122" i="99" a="1"/>
  <c r="V65" i="99" a="1"/>
  <c r="D66" i="99" a="1"/>
  <c r="W64" i="99"/>
  <c r="F195" i="99" a="1"/>
  <c r="W195" i="99" a="1"/>
  <c r="F199" i="99" a="1"/>
  <c r="X68" i="99" a="1"/>
  <c r="D199" i="99" a="1"/>
  <c r="W121" i="99" a="1"/>
  <c r="F119" i="99" a="1"/>
  <c r="W94" i="99" a="1"/>
  <c r="W194" i="99"/>
  <c r="E198" i="99" a="1"/>
  <c r="D119" i="99" a="1"/>
  <c r="X119" i="99" a="1"/>
  <c r="X65" i="99" a="1"/>
  <c r="F170" i="99" a="1"/>
  <c r="W67" i="99" a="1"/>
  <c r="V120" i="99" a="1"/>
  <c r="D40" i="99" a="1"/>
  <c r="X67" i="99" a="1"/>
  <c r="V94" i="99" a="1"/>
  <c r="D122" i="99" a="1"/>
  <c r="X196" i="99" a="1"/>
  <c r="W196" i="99" a="1"/>
  <c r="X40" i="99" a="1"/>
  <c r="X123" i="99" a="1"/>
  <c r="X120" i="99" a="1"/>
  <c r="V195" i="99" a="1"/>
  <c r="E170" i="99" a="1"/>
  <c r="W40" i="99" a="1"/>
  <c r="X197" i="99" a="1"/>
  <c r="E122" i="99" a="1"/>
  <c r="W118" i="99"/>
  <c r="F123" i="99" a="1"/>
  <c r="W68" i="99" a="1"/>
  <c r="E121" i="99" a="1"/>
  <c r="D69" i="99" a="1"/>
  <c r="V122" i="99" a="1"/>
  <c r="X122" i="99" a="1"/>
  <c r="F198" i="99" a="1"/>
  <c r="V121" i="99" a="1"/>
  <c r="V68" i="99" a="1"/>
  <c r="E67" i="99" a="1"/>
  <c r="V197" i="99" a="1"/>
  <c r="W66" i="99" a="1"/>
  <c r="W199" i="99" a="1"/>
  <c r="W170" i="99" a="1"/>
  <c r="V66" i="99" a="1"/>
  <c r="V67" i="99" a="1"/>
  <c r="F69" i="99" a="1"/>
  <c r="W65" i="99" a="1"/>
  <c r="V69" i="99" a="1"/>
  <c r="E65" i="99" a="1"/>
  <c r="D123" i="99" a="1"/>
  <c r="F121" i="99" a="1"/>
  <c r="E123" i="99" a="1"/>
  <c r="V170" i="99" a="1"/>
  <c r="D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4" i="99" a="1"/>
  <c r="C154" i="100"/>
  <c r="C403" i="99" a="1"/>
  <c r="C402" i="99" a="1"/>
  <c r="U403" i="99" a="1"/>
  <c r="B154" i="100"/>
  <c r="U402" i="99" a="1"/>
  <c r="U400" i="99" a="1"/>
  <c r="C401" i="99" a="1"/>
  <c r="U401" i="99" a="1"/>
  <c r="C400"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28" i="100"/>
  <c r="C2022" i="100"/>
  <c r="B2073" i="100"/>
  <c r="B2040" i="100"/>
  <c r="B2016" i="100"/>
  <c r="B2078" i="100"/>
  <c r="C2082" i="100"/>
  <c r="B2050" i="100"/>
  <c r="C2048" i="100"/>
  <c r="C2052" i="100"/>
  <c r="B1995" i="100"/>
  <c r="C2068" i="100"/>
  <c r="C2067" i="100"/>
  <c r="B2063" i="100"/>
  <c r="B2006" i="100"/>
  <c r="B2048" i="100"/>
  <c r="C2034" i="100"/>
  <c r="C2083" i="100"/>
  <c r="B2027" i="100"/>
  <c r="B2013" i="100"/>
  <c r="C2013" i="100"/>
  <c r="B2024" i="100"/>
  <c r="C2040" i="100"/>
  <c r="C2050" i="100"/>
  <c r="B2088" i="100"/>
  <c r="B2046" i="100"/>
  <c r="B2085" i="100"/>
  <c r="B2026" i="100"/>
  <c r="C2002" i="100"/>
  <c r="C2078" i="100"/>
  <c r="B1991" i="100"/>
  <c r="B2080" i="100"/>
  <c r="C2079" i="100"/>
  <c r="C2036" i="100"/>
  <c r="C2046" i="100"/>
  <c r="C2004" i="100"/>
  <c r="C2057" i="100"/>
  <c r="C2006" i="100"/>
  <c r="B2029" i="100"/>
  <c r="C2025" i="100"/>
  <c r="B2012" i="100"/>
  <c r="C2005" i="100"/>
  <c r="C2037" i="100"/>
  <c r="B1990" i="100"/>
  <c r="C2030" i="100"/>
  <c r="B2005" i="100"/>
  <c r="C2019" i="100"/>
  <c r="C2001" i="100"/>
  <c r="C2061" i="100"/>
  <c r="C1997" i="100"/>
  <c r="C2035" i="100"/>
  <c r="B2070" i="100"/>
  <c r="C2026" i="100"/>
  <c r="C2014" i="100"/>
  <c r="B2015" i="100"/>
  <c r="C2027" i="100"/>
  <c r="B2035" i="100"/>
  <c r="B2003" i="100"/>
  <c r="C2070" i="100"/>
  <c r="B2066" i="100"/>
  <c r="B2055" i="100"/>
  <c r="B2044" i="100"/>
  <c r="C1992" i="100"/>
  <c r="C2058" i="100"/>
  <c r="B1994" i="100"/>
  <c r="C2007" i="100"/>
  <c r="C2073" i="100"/>
  <c r="B2039" i="100"/>
  <c r="C2088" i="100"/>
  <c r="B2081" i="100"/>
  <c r="C2041" i="100"/>
  <c r="C2003" i="100"/>
  <c r="C2016" i="100"/>
  <c r="C2063" i="100"/>
  <c r="B1996" i="100"/>
  <c r="B2074" i="100"/>
  <c r="B1993" i="100"/>
  <c r="C1993" i="100"/>
  <c r="B2004" i="100"/>
  <c r="B1992" i="100"/>
  <c r="B2056" i="100"/>
  <c r="B2036" i="100"/>
  <c r="B2022" i="100"/>
  <c r="C2029" i="100"/>
  <c r="C2056" i="100"/>
  <c r="B2052" i="100"/>
  <c r="B2061" i="100"/>
  <c r="B2011" i="100"/>
  <c r="B2072" i="100"/>
  <c r="B2014" i="100"/>
  <c r="C2039" i="100"/>
  <c r="C2084" i="100"/>
  <c r="B2028" i="100"/>
  <c r="B2057" i="100"/>
  <c r="C2074" i="100"/>
  <c r="B2069" i="100"/>
  <c r="B2084" i="100"/>
  <c r="B2018" i="100"/>
  <c r="B2082" i="100"/>
  <c r="C2017" i="100"/>
  <c r="B2001" i="100"/>
  <c r="C2062" i="100"/>
  <c r="C1994" i="100"/>
  <c r="C2044" i="100"/>
  <c r="C2038" i="100"/>
  <c r="B2083" i="100"/>
  <c r="C1995" i="100"/>
  <c r="B2071" i="100"/>
  <c r="B2051" i="100"/>
  <c r="B2049" i="100"/>
  <c r="B2079" i="100"/>
  <c r="B2002" i="100"/>
  <c r="C2069" i="100"/>
  <c r="B2041" i="100"/>
  <c r="C2071" i="100"/>
  <c r="C2066" i="100"/>
  <c r="B2059" i="100"/>
  <c r="C2049" i="100"/>
  <c r="B2037" i="100"/>
  <c r="B2060" i="100"/>
  <c r="C1990" i="100"/>
  <c r="B2030" i="100"/>
  <c r="C1991" i="100"/>
  <c r="B2007" i="100"/>
  <c r="C2015" i="100"/>
  <c r="C2033" i="100"/>
  <c r="C2085" i="100"/>
  <c r="C2012" i="100"/>
  <c r="B2067" i="100"/>
  <c r="C2024" i="100"/>
  <c r="C2045" i="100"/>
  <c r="C2000" i="100"/>
  <c r="C2023" i="100"/>
  <c r="C2072" i="100"/>
  <c r="C2077" i="100"/>
  <c r="B2008" i="100"/>
  <c r="B2033" i="100"/>
  <c r="C2008" i="100"/>
  <c r="C2051" i="100"/>
  <c r="B1997" i="100"/>
  <c r="B2000" i="100"/>
  <c r="B2047" i="100"/>
  <c r="B2068" i="100"/>
  <c r="C2081" i="100"/>
  <c r="B2062" i="100"/>
  <c r="B2019" i="100"/>
  <c r="C1996" i="100"/>
  <c r="B2077" i="100"/>
  <c r="B2025" i="100"/>
  <c r="C2018" i="100"/>
  <c r="B2034" i="100"/>
  <c r="C2059" i="100"/>
  <c r="B2058" i="100"/>
  <c r="B2038" i="100"/>
  <c r="C2055" i="100"/>
  <c r="C2060" i="100"/>
  <c r="B2045" i="100"/>
  <c r="C2047" i="100"/>
  <c r="B2023" i="100"/>
  <c r="B2017" i="100"/>
  <c r="C2080" i="100"/>
  <c r="C2011" i="100"/>
  <c r="C226" i="94" l="1"/>
  <c r="R515" i="97" s="1"/>
  <c r="E163" i="94"/>
  <c r="E178" i="94"/>
  <c r="E162" i="94"/>
  <c r="C146" i="94" a="1"/>
  <c r="C86" i="94" a="1"/>
  <c r="C122" i="94" a="1"/>
  <c r="C16" i="94" a="1"/>
  <c r="C44" i="94" a="1"/>
  <c r="C209" i="94" a="1"/>
  <c r="C154" i="94" a="1"/>
  <c r="C114" i="94" a="1"/>
  <c r="C72" i="94" a="1"/>
  <c r="C138" i="94" a="1"/>
  <c r="C100" i="94" a="1"/>
  <c r="C130" i="94" a="1"/>
  <c r="C58" i="94" a="1"/>
  <c r="C197" i="94" a="1"/>
  <c r="C178" i="94" a="1"/>
  <c r="C30"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30" i="100"/>
  <c r="C2265" i="100"/>
  <c r="C2020" i="100"/>
  <c r="B2043" i="100"/>
  <c r="C2087" i="100"/>
  <c r="B2272" i="100"/>
  <c r="C2286" i="100"/>
  <c r="B2258" i="100"/>
  <c r="B2053" i="100"/>
  <c r="B2020" i="100"/>
  <c r="B2251" i="100"/>
  <c r="B2244" i="100"/>
  <c r="C2292" i="100"/>
  <c r="B2265" i="100"/>
  <c r="B2290" i="100"/>
  <c r="C2021" i="100"/>
  <c r="B2032" i="100"/>
  <c r="C2032" i="100"/>
  <c r="B2087" i="100"/>
  <c r="C2031" i="100"/>
  <c r="C2043" i="100"/>
  <c r="B2288" i="100"/>
  <c r="C2076" i="100"/>
  <c r="C2288" i="100"/>
  <c r="C2291" i="100"/>
  <c r="C2258" i="100"/>
  <c r="C2237" i="100"/>
  <c r="B2237" i="100"/>
  <c r="B2009" i="100"/>
  <c r="B2293" i="100"/>
  <c r="B2031" i="100"/>
  <c r="C2086" i="100"/>
  <c r="B2230" i="100"/>
  <c r="B2292" i="100"/>
  <c r="B2086" i="100"/>
  <c r="C2293" i="100"/>
  <c r="B2289" i="100"/>
  <c r="C2272" i="100"/>
  <c r="C2075" i="100"/>
  <c r="B2054" i="100"/>
  <c r="C2065" i="100"/>
  <c r="B2286" i="100"/>
  <c r="C2010" i="100"/>
  <c r="C2042" i="100"/>
  <c r="B2065" i="100"/>
  <c r="B2279" i="100"/>
  <c r="B2076" i="100"/>
  <c r="C2244" i="100"/>
  <c r="B2042" i="100"/>
  <c r="B2064" i="100"/>
  <c r="C2053" i="100"/>
  <c r="C2009" i="100"/>
  <c r="B2291" i="100"/>
  <c r="C2064" i="100"/>
  <c r="B2010" i="100"/>
  <c r="C2289" i="100"/>
  <c r="C2287" i="100"/>
  <c r="B2287" i="100"/>
  <c r="C2251" i="100"/>
  <c r="C2279" i="100"/>
  <c r="C2054" i="100"/>
  <c r="B2021" i="100"/>
  <c r="C2290" i="100"/>
  <c r="B207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2285" i="100"/>
  <c r="C2223" i="100"/>
  <c r="B1998" i="100"/>
  <c r="B2223" i="100"/>
  <c r="C2285" i="100"/>
  <c r="B199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5" i="100"/>
  <c r="B2190" i="100"/>
  <c r="B2197" i="100"/>
  <c r="C2199" i="100"/>
  <c r="C2190" i="100"/>
  <c r="B2183" i="100"/>
  <c r="B2187" i="100"/>
  <c r="B2203" i="100"/>
  <c r="B2195" i="100"/>
  <c r="B2198" i="100"/>
  <c r="C2196" i="100"/>
  <c r="C2183" i="100"/>
  <c r="B2192" i="100"/>
  <c r="C2201" i="100"/>
  <c r="B2202" i="100"/>
  <c r="C2192" i="100"/>
  <c r="C2181" i="100"/>
  <c r="B2182" i="100"/>
  <c r="B2196" i="100"/>
  <c r="C2198" i="100"/>
  <c r="C2210" i="100"/>
  <c r="B2208" i="100"/>
  <c r="B2211" i="100"/>
  <c r="B2181" i="100"/>
  <c r="C2182" i="100"/>
  <c r="C2197" i="100"/>
  <c r="C2205" i="100"/>
  <c r="B2206" i="100"/>
  <c r="B2200" i="100"/>
  <c r="C2191" i="100"/>
  <c r="B2209" i="100"/>
  <c r="B2188" i="100"/>
  <c r="B2184" i="100"/>
  <c r="B2210" i="100"/>
  <c r="B2207" i="100"/>
  <c r="C2200" i="100"/>
  <c r="B2212" i="100"/>
  <c r="C2206" i="100"/>
  <c r="C2209" i="100"/>
  <c r="B2199" i="100"/>
  <c r="C2189" i="100"/>
  <c r="C2195" i="100"/>
  <c r="C2202" i="100"/>
  <c r="C2184" i="100"/>
  <c r="C2211" i="100"/>
  <c r="B2201" i="100"/>
  <c r="C2212" i="100"/>
  <c r="C2208" i="100"/>
  <c r="B2180" i="100"/>
  <c r="C2180" i="100"/>
  <c r="B2191" i="100"/>
  <c r="C2204" i="100"/>
  <c r="C2188" i="100"/>
  <c r="C2187" i="100"/>
  <c r="B2204" i="100"/>
  <c r="C2207" i="100"/>
  <c r="B2189" i="100"/>
  <c r="C2203"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X7" i="75" l="1"/>
  <c r="X8" i="75"/>
  <c r="X9" i="75"/>
  <c r="X10" i="75"/>
  <c r="X11" i="75"/>
  <c r="X12" i="75"/>
  <c r="X13" i="75"/>
  <c r="X14" i="75"/>
  <c r="X25" i="75"/>
  <c r="F4" i="75" a="1"/>
  <c r="F4" i="75" s="1"/>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F20" i="57" s="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V64" i="99"/>
  <c r="X64" i="99"/>
  <c r="V194" i="99"/>
  <c r="D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B2350" i="100"/>
  <c r="C2350" i="100"/>
  <c r="B2372" i="100"/>
  <c r="C2372" i="100"/>
  <c r="B2328" i="100"/>
  <c r="C2328" i="100"/>
  <c r="C2394" i="100"/>
  <c r="D64" i="99"/>
  <c r="F64" i="99"/>
  <c r="B2306" i="100"/>
  <c r="B2394"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LP35" i="72" l="1"/>
  <c r="LX35" i="72"/>
  <c r="LY14" i="72" s="1"/>
  <c r="LY35" i="72" s="1"/>
  <c r="LO35" i="72"/>
  <c r="G34" i="72"/>
  <c r="G33" i="72"/>
  <c r="JV35" i="72"/>
  <c r="FK35" i="72"/>
  <c r="G21" i="72"/>
  <c r="G27" i="72"/>
  <c r="LY16" i="72"/>
  <c r="MM35" i="72"/>
  <c r="H21" i="72"/>
  <c r="GH35" i="72"/>
  <c r="EM35" i="72"/>
  <c r="G30" i="72"/>
  <c r="MU35" i="72"/>
  <c r="MV14" i="72" s="1"/>
  <c r="G18" i="72"/>
  <c r="GP35" i="72"/>
  <c r="GQ30" i="72" s="1"/>
  <c r="JG35" i="72"/>
  <c r="JH15" i="72" s="1"/>
  <c r="GG35" i="72"/>
  <c r="JU35" i="72"/>
  <c r="G19" i="72"/>
  <c r="G20" i="72"/>
  <c r="ML35" i="72"/>
  <c r="BH35" i="72"/>
  <c r="BI32" i="72" s="1"/>
  <c r="H27" i="72"/>
  <c r="BV35" i="72"/>
  <c r="G14" i="72"/>
  <c r="NJ35" i="72"/>
  <c r="DY35" i="72"/>
  <c r="DZ16" i="72" s="1"/>
  <c r="G25" i="72"/>
  <c r="SR35" i="72"/>
  <c r="PZ35" i="72"/>
  <c r="H34" i="72"/>
  <c r="H30" i="72"/>
  <c r="H20" i="72"/>
  <c r="H14" i="72"/>
  <c r="BW35" i="72"/>
  <c r="NI35" i="72"/>
  <c r="FS35" i="72"/>
  <c r="FT15" i="72" s="1"/>
  <c r="IX35" i="72"/>
  <c r="H25" i="72"/>
  <c r="DP35" i="72"/>
  <c r="HE35" i="72"/>
  <c r="CT35" i="72"/>
  <c r="H15" i="72"/>
  <c r="RF35" i="72"/>
  <c r="RG15" i="72" s="1"/>
  <c r="OO35" i="72"/>
  <c r="OP25" i="72" s="1"/>
  <c r="G24" i="72"/>
  <c r="IA35" i="72"/>
  <c r="KR35" i="72"/>
  <c r="LA35" i="72"/>
  <c r="LB20" i="72" s="1"/>
  <c r="QW35" i="72"/>
  <c r="DB35" i="72"/>
  <c r="DC24" i="72" s="1"/>
  <c r="G31" i="72"/>
  <c r="H32" i="72"/>
  <c r="G23" i="72"/>
  <c r="PL35" i="72"/>
  <c r="PM20" i="72" s="1"/>
  <c r="QX35" i="72"/>
  <c r="DQ35" i="72"/>
  <c r="HD35" i="72"/>
  <c r="SC35" i="72"/>
  <c r="SD14" i="72" s="1"/>
  <c r="H17" i="72"/>
  <c r="IY35" i="72"/>
  <c r="H22" i="72"/>
  <c r="H31" i="72"/>
  <c r="G32" i="72"/>
  <c r="H26" i="72"/>
  <c r="RU35" i="72"/>
  <c r="PC35" i="72"/>
  <c r="G29" i="72"/>
  <c r="G28" i="72"/>
  <c r="NR35" i="72"/>
  <c r="NS26" i="72" s="1"/>
  <c r="CS35" i="72"/>
  <c r="EN35" i="72"/>
  <c r="H29" i="72"/>
  <c r="HM35" i="72"/>
  <c r="HN25" i="72" s="1"/>
  <c r="QA35" i="72"/>
  <c r="QI35" i="72"/>
  <c r="QJ33" i="72" s="1"/>
  <c r="OF35" i="72"/>
  <c r="G15" i="72"/>
  <c r="FT27" i="72"/>
  <c r="PD35" i="72"/>
  <c r="H24" i="72"/>
  <c r="H16" i="72"/>
  <c r="G17" i="72"/>
  <c r="KS35" i="72"/>
  <c r="IB35" i="72"/>
  <c r="EV35" i="72"/>
  <c r="EW17" i="72" s="1"/>
  <c r="FJ35" i="72"/>
  <c r="H19" i="72"/>
  <c r="H33" i="72"/>
  <c r="OG35" i="72"/>
  <c r="H18" i="72"/>
  <c r="CE35" i="72"/>
  <c r="CF15" i="72" s="1"/>
  <c r="FT25" i="72"/>
  <c r="SQ35" i="72"/>
  <c r="G26" i="72"/>
  <c r="RT35" i="72"/>
  <c r="H23" i="72"/>
  <c r="IJ35" i="72"/>
  <c r="IK14" i="72" s="1"/>
  <c r="H28" i="72"/>
  <c r="G22" i="72"/>
  <c r="G16" i="72"/>
  <c r="FT32" i="72"/>
  <c r="LY31" i="72"/>
  <c r="KD35" i="72"/>
  <c r="KE25" i="72" s="1"/>
  <c r="Q13" i="90"/>
  <c r="Q12" i="90"/>
  <c r="Q11" i="90"/>
  <c r="BI22" i="72" l="1"/>
  <c r="LY25" i="72"/>
  <c r="LY21" i="72"/>
  <c r="LY17" i="72"/>
  <c r="LY19" i="72"/>
  <c r="LY20" i="72"/>
  <c r="LY15" i="72"/>
  <c r="LY32" i="72"/>
  <c r="LB28" i="72"/>
  <c r="OP18" i="72"/>
  <c r="FT20" i="72"/>
  <c r="LY33" i="72"/>
  <c r="LY28" i="72"/>
  <c r="LY23" i="72"/>
  <c r="OP17" i="72"/>
  <c r="LY27" i="72"/>
  <c r="LY22" i="72"/>
  <c r="FT18" i="72"/>
  <c r="FT22" i="72"/>
  <c r="OP30" i="72"/>
  <c r="OP32" i="72"/>
  <c r="LY18" i="72"/>
  <c r="FT30" i="72"/>
  <c r="FT23" i="72"/>
  <c r="FT33" i="72"/>
  <c r="LY34" i="72"/>
  <c r="LY26" i="72"/>
  <c r="BI25" i="72"/>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C2361" i="100"/>
  <c r="B2361" i="100"/>
  <c r="B2295" i="100"/>
  <c r="B2317" i="100"/>
  <c r="B2383" i="100"/>
  <c r="C2317" i="100"/>
  <c r="C2339" i="100"/>
  <c r="C2295" i="100"/>
  <c r="B2339" i="100"/>
  <c r="C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F24" i="72" l="1"/>
  <c r="AO33" i="72"/>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AI25" i="36" s="1"/>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AA14" i="72" s="1"/>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Q31" i="72"/>
  <c r="AE21" i="72"/>
  <c r="E21"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5" i="72" l="1"/>
  <c r="R15" i="72"/>
  <c r="R27" i="72"/>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690" i="100"/>
  <c r="B1891" i="100"/>
  <c r="B1978" i="100"/>
  <c r="L60" i="99" a="1"/>
  <c r="B1803" i="100"/>
  <c r="B1687" i="100"/>
  <c r="B685" i="100"/>
  <c r="C133" i="100"/>
  <c r="B955" i="100"/>
  <c r="C1105" i="100"/>
  <c r="C988" i="100"/>
  <c r="C1834" i="100"/>
  <c r="C718" i="100"/>
  <c r="C735" i="100"/>
  <c r="B1013" i="100"/>
  <c r="B719" i="100"/>
  <c r="L322" i="99" a="1"/>
  <c r="C1023" i="100"/>
  <c r="B1647" i="100"/>
  <c r="N13" i="99" a="1"/>
  <c r="B50" i="100"/>
  <c r="C1732" i="100"/>
  <c r="C1596" i="100"/>
  <c r="CA219" i="99" a="1"/>
  <c r="B747" i="100"/>
  <c r="B414" i="100"/>
  <c r="B1683" i="100"/>
  <c r="C1058" i="100"/>
  <c r="C868" i="100"/>
  <c r="B1590" i="100"/>
  <c r="C366" i="100"/>
  <c r="B1593" i="100"/>
  <c r="C1040" i="100"/>
  <c r="B1696" i="100"/>
  <c r="C554" i="100"/>
  <c r="B1937" i="100"/>
  <c r="C1252" i="100"/>
  <c r="B1822" i="100"/>
  <c r="B1856" i="100"/>
  <c r="B1911" i="100"/>
  <c r="B1941" i="100"/>
  <c r="C705" i="100"/>
  <c r="C1223" i="100"/>
  <c r="G91" i="99" a="1"/>
  <c r="Y219" i="99" a="1"/>
  <c r="B757" i="100"/>
  <c r="B616" i="100"/>
  <c r="B90" i="100"/>
  <c r="B611" i="100"/>
  <c r="B109" i="100"/>
  <c r="B953" i="100"/>
  <c r="C1731" i="100"/>
  <c r="C1798" i="100"/>
  <c r="B1133" i="100"/>
  <c r="J13" i="99" a="1"/>
  <c r="B1693" i="100"/>
  <c r="C1694" i="100"/>
  <c r="B709" i="100"/>
  <c r="B642" i="100"/>
  <c r="C1701" i="100"/>
  <c r="C1610" i="100"/>
  <c r="M377" i="99" a="1"/>
  <c r="M35" i="99" a="1"/>
  <c r="AB37" i="99" a="1"/>
  <c r="C884" i="100"/>
  <c r="B1728" i="100"/>
  <c r="B1567" i="100"/>
  <c r="C572" i="100"/>
  <c r="C53" i="100"/>
  <c r="C111" i="100"/>
  <c r="C823" i="100"/>
  <c r="C557" i="100"/>
  <c r="C790" i="100"/>
  <c r="C932" i="100"/>
  <c r="C1599" i="100"/>
  <c r="C924" i="100"/>
  <c r="N190" i="99" a="1"/>
  <c r="C589" i="100"/>
  <c r="C1253" i="100"/>
  <c r="B1162" i="100"/>
  <c r="B870" i="100"/>
  <c r="C737" i="100"/>
  <c r="B866" i="100"/>
  <c r="B1973" i="100"/>
  <c r="B1779" i="100"/>
  <c r="B1154" i="100"/>
  <c r="C696" i="100"/>
  <c r="C402" i="100"/>
  <c r="AZ219" i="99" a="1"/>
  <c r="C1191" i="100"/>
  <c r="B835" i="100"/>
  <c r="C729" i="100"/>
  <c r="B1611" i="100"/>
  <c r="B1840" i="100"/>
  <c r="C1182" i="100"/>
  <c r="C928" i="100"/>
  <c r="C1128" i="100"/>
  <c r="B1598" i="100"/>
  <c r="B772" i="100"/>
  <c r="H419" i="99" a="1"/>
  <c r="B294" i="100"/>
  <c r="C1696" i="100"/>
  <c r="C1135" i="100"/>
  <c r="H165" i="99" a="1"/>
  <c r="P5" i="99" a="1"/>
  <c r="B57" i="100"/>
  <c r="C1225" i="100"/>
  <c r="Q244" i="99" a="1"/>
  <c r="E381" i="99" a="1"/>
  <c r="B620" i="100"/>
  <c r="C153" i="100"/>
  <c r="B1276" i="100"/>
  <c r="B776" i="100"/>
  <c r="C879" i="100"/>
  <c r="C1078" i="100"/>
  <c r="B996" i="100"/>
  <c r="V116" i="99" a="1"/>
  <c r="C1896" i="100"/>
  <c r="C1782" i="100"/>
  <c r="C1763" i="100"/>
  <c r="B1011" i="100"/>
  <c r="AA398" i="99" a="1"/>
  <c r="C658" i="100"/>
  <c r="C1004" i="100"/>
  <c r="B1735" i="100"/>
  <c r="C600" i="100"/>
  <c r="C1942" i="100"/>
  <c r="B1277" i="100"/>
  <c r="B1055" i="100"/>
  <c r="C1685" i="100"/>
  <c r="C129" i="100"/>
  <c r="C1908" i="100"/>
  <c r="C776" i="100"/>
  <c r="C1695" i="100"/>
  <c r="B1146" i="100"/>
  <c r="B712" i="100"/>
  <c r="B983" i="100"/>
  <c r="B1849" i="100"/>
  <c r="B594" i="100"/>
  <c r="B1861" i="100"/>
  <c r="B805" i="100"/>
  <c r="V383" i="99" a="1"/>
  <c r="D39" i="99" a="1"/>
  <c r="C1139" i="100"/>
  <c r="C273" i="99" a="1"/>
  <c r="X62" i="99" a="1"/>
  <c r="C537" i="100"/>
  <c r="C1937" i="100"/>
  <c r="B882" i="100"/>
  <c r="C604" i="100"/>
  <c r="C1746" i="100"/>
  <c r="B120" i="100"/>
  <c r="C695" i="100"/>
  <c r="B865" i="100"/>
  <c r="C1870" i="100"/>
  <c r="B1225" i="100"/>
  <c r="AE377" i="99" a="1"/>
  <c r="CH219" i="99" a="1"/>
  <c r="B915" i="100"/>
  <c r="C1819" i="100"/>
  <c r="C708" i="100"/>
  <c r="C616" i="100"/>
  <c r="Q114" i="99" a="1"/>
  <c r="N9" i="99" a="1"/>
  <c r="B1730" i="100"/>
  <c r="C1844" i="100"/>
  <c r="C1068" i="100"/>
  <c r="G377" i="99" a="1"/>
  <c r="N143" i="99" a="1"/>
  <c r="B510" i="100"/>
  <c r="C830" i="100"/>
  <c r="B1939" i="100"/>
  <c r="C1244" i="100"/>
  <c r="B903" i="100"/>
  <c r="C664" i="100"/>
  <c r="B531" i="100"/>
  <c r="C550" i="100"/>
  <c r="B749" i="100"/>
  <c r="B626" i="100"/>
  <c r="B1695" i="100"/>
  <c r="B1034" i="100"/>
  <c r="D403" i="99" a="1"/>
  <c r="C1976" i="100"/>
  <c r="B45" i="100"/>
  <c r="C1045" i="100"/>
  <c r="B1860" i="100"/>
  <c r="C1589" i="100"/>
  <c r="H337" i="99" a="1"/>
  <c r="B1817" i="100"/>
  <c r="C1007" i="100"/>
  <c r="B782" i="100"/>
  <c r="C607" i="100"/>
  <c r="B1985" i="100"/>
  <c r="B4" i="100"/>
  <c r="C833" i="100"/>
  <c r="B910" i="100"/>
  <c r="C1024" i="100"/>
  <c r="B1763" i="100"/>
  <c r="C1986" i="100"/>
  <c r="C654" i="100"/>
  <c r="B606" i="100"/>
  <c r="B1088" i="100"/>
  <c r="C1280" i="100"/>
  <c r="C67" i="100"/>
  <c r="C1094" i="100"/>
  <c r="B706" i="100"/>
  <c r="B1902" i="100"/>
  <c r="C127" i="100"/>
  <c r="J143" i="99" a="1"/>
  <c r="B694" i="100"/>
  <c r="C686" i="100"/>
  <c r="C119" i="100"/>
  <c r="B95" i="100"/>
  <c r="B1281" i="100"/>
  <c r="B1828" i="100"/>
  <c r="B1272" i="100"/>
  <c r="B898" i="100"/>
  <c r="B673" i="100"/>
  <c r="C1106" i="100"/>
  <c r="B1040" i="100"/>
  <c r="C90" i="100"/>
  <c r="C944" i="100"/>
  <c r="C68" i="100"/>
  <c r="B1199" i="100"/>
  <c r="Y192" i="99" a="1"/>
  <c r="C1821" i="100"/>
  <c r="C1805" i="100"/>
  <c r="B766" i="100"/>
  <c r="B1270" i="100"/>
  <c r="C1903" i="100"/>
  <c r="AG35" i="99" a="1"/>
  <c r="C486" i="100"/>
  <c r="L360" i="99" a="1"/>
  <c r="B667" i="100"/>
  <c r="BH221" i="99" a="1"/>
  <c r="N341" i="99" a="1"/>
  <c r="B535" i="100"/>
  <c r="B589" i="100"/>
  <c r="K322" i="99" a="1"/>
  <c r="C1778" i="100"/>
  <c r="C1877" i="100"/>
  <c r="B1643" i="100"/>
  <c r="B1821" i="100"/>
  <c r="M341" i="99" a="1"/>
  <c r="C1843" i="100"/>
  <c r="C1815" i="100"/>
  <c r="B1207" i="100"/>
  <c r="B1140" i="100"/>
  <c r="C1686" i="100"/>
  <c r="C1965" i="100"/>
  <c r="V401" i="99" a="1"/>
  <c r="C805" i="100"/>
  <c r="C1118" i="100"/>
  <c r="B82" i="100"/>
  <c r="D382" i="99" a="1"/>
  <c r="B755" i="100"/>
  <c r="C745" i="100"/>
  <c r="B945" i="100"/>
  <c r="C794" i="100"/>
  <c r="G360" i="99" a="1"/>
  <c r="C1823" i="100"/>
  <c r="C1697" i="100"/>
  <c r="B1206" i="100"/>
  <c r="B114" i="100"/>
  <c r="B1906" i="100"/>
  <c r="C1033" i="100"/>
  <c r="C972" i="100"/>
  <c r="C796" i="100"/>
  <c r="C898" i="100"/>
  <c r="B1056" i="100"/>
  <c r="C47" i="100"/>
  <c r="C615" i="100"/>
  <c r="B1713" i="100"/>
  <c r="C1968" i="100"/>
  <c r="B1097" i="100"/>
  <c r="B534" i="100"/>
  <c r="B641" i="100"/>
  <c r="Z271" i="99" a="1"/>
  <c r="B89" i="100"/>
  <c r="C849" i="100"/>
  <c r="B1043" i="100"/>
  <c r="B1226" i="100"/>
  <c r="B958" i="100"/>
  <c r="V145" i="99" a="1"/>
  <c r="D343" i="99" a="1"/>
  <c r="B754" i="100"/>
  <c r="B691" i="100"/>
  <c r="X39" i="99" a="1"/>
  <c r="B744" i="100"/>
  <c r="AA35" i="99" a="1"/>
  <c r="B695" i="100"/>
  <c r="B1254" i="100"/>
  <c r="C1119" i="100"/>
  <c r="B1240" i="100"/>
  <c r="C1017" i="100"/>
  <c r="C1880" i="100"/>
  <c r="B565" i="100"/>
  <c r="B654" i="100"/>
  <c r="B840" i="100"/>
  <c r="J37" i="99" a="1"/>
  <c r="C1913" i="100"/>
  <c r="C1704" i="100"/>
  <c r="C1173" i="100"/>
  <c r="B774" i="100"/>
  <c r="E169" i="99" a="1"/>
  <c r="B1615" i="100"/>
  <c r="B860" i="100"/>
  <c r="AH60" i="99" a="1"/>
  <c r="B1608" i="100"/>
  <c r="B868" i="100"/>
  <c r="AA165" i="99" a="1"/>
  <c r="B1932" i="100"/>
  <c r="B1987" i="100"/>
  <c r="C1245" i="100"/>
  <c r="C1938" i="100"/>
  <c r="B450" i="100"/>
  <c r="B672" i="100"/>
  <c r="C1050" i="100"/>
  <c r="D192" i="99" a="1"/>
  <c r="B1125" i="100"/>
  <c r="B1768" i="100"/>
  <c r="B1903" i="100"/>
  <c r="C1952" i="100"/>
  <c r="C824" i="100"/>
  <c r="C1674" i="100"/>
  <c r="J60" i="99" a="1"/>
  <c r="I89" i="99" a="1"/>
  <c r="C98" i="100"/>
  <c r="CG219" i="99" a="1"/>
  <c r="B662" i="100"/>
  <c r="C1906" i="100"/>
  <c r="C958" i="100"/>
  <c r="B1112" i="100"/>
  <c r="B65" i="100"/>
  <c r="C1587" i="100"/>
  <c r="B12" i="100"/>
  <c r="AH165" i="99" a="1"/>
  <c r="B1109" i="100"/>
  <c r="G219" i="99" a="1"/>
  <c r="D383" i="99" a="1"/>
  <c r="C1203" i="100"/>
  <c r="C781" i="100"/>
  <c r="B18" i="100"/>
  <c r="C574" i="100"/>
  <c r="C632" i="100"/>
  <c r="C20" i="100"/>
  <c r="B850" i="100"/>
  <c r="B750" i="100"/>
  <c r="AI35" i="99" a="1"/>
  <c r="B1012" i="100"/>
  <c r="U381" i="99" a="1"/>
  <c r="C594" i="100"/>
  <c r="B1205" i="100"/>
  <c r="B1770" i="100"/>
  <c r="B125" i="100"/>
  <c r="B569" i="100"/>
  <c r="B1080" i="100"/>
  <c r="BY221" i="99" a="1"/>
  <c r="B855" i="100"/>
  <c r="B1786" i="100"/>
  <c r="C564" i="100"/>
  <c r="C562" i="100"/>
  <c r="C1134" i="100"/>
  <c r="B543" i="100"/>
  <c r="AE398" i="99" a="1"/>
  <c r="C16" i="100"/>
  <c r="AG219" i="99" a="1"/>
  <c r="B1887" i="100"/>
  <c r="B1690" i="100"/>
  <c r="B924" i="100"/>
  <c r="B786" i="100"/>
  <c r="B1200" i="100"/>
  <c r="C109" i="100"/>
  <c r="C1928" i="100"/>
  <c r="C1817" i="100"/>
  <c r="B1981" i="100"/>
  <c r="B462" i="100"/>
  <c r="J398" i="99" a="1"/>
  <c r="C1702" i="100"/>
  <c r="C48" i="100"/>
  <c r="B1583" i="100"/>
  <c r="AB60" i="99" a="1"/>
  <c r="D145" i="99" a="1"/>
  <c r="B1711" i="100"/>
  <c r="C697" i="100"/>
  <c r="B1209" i="100"/>
  <c r="C1259" i="100"/>
  <c r="K341" i="99" a="1"/>
  <c r="Y37" i="99" a="1"/>
  <c r="C29" i="100"/>
  <c r="C135" i="100"/>
  <c r="C1950" i="100"/>
  <c r="B1227" i="100"/>
  <c r="C1013" i="100"/>
  <c r="C1212" i="100"/>
  <c r="B725" i="100"/>
  <c r="C1897" i="100"/>
  <c r="C649" i="100"/>
  <c r="AG13" i="99" a="1"/>
  <c r="B1928" i="100"/>
  <c r="C651" i="100"/>
  <c r="C1677" i="100"/>
  <c r="Y114" i="99" a="1"/>
  <c r="D290" i="99" a="1"/>
  <c r="C949" i="100"/>
  <c r="B576" i="100"/>
  <c r="B59" i="100"/>
  <c r="C1825" i="100"/>
  <c r="V93" i="99" a="1"/>
  <c r="B648" i="100"/>
  <c r="B607" i="100"/>
  <c r="C966" i="100"/>
  <c r="C548" i="100"/>
  <c r="C1125" i="100"/>
  <c r="AB377" i="99" a="1"/>
  <c r="B1030" i="100"/>
  <c r="W377" i="99" a="1"/>
  <c r="C1818" i="100"/>
  <c r="C1132" i="100"/>
  <c r="B1147" i="100"/>
  <c r="B33" i="100"/>
  <c r="C1015" i="100"/>
  <c r="C116" i="100"/>
  <c r="B556" i="100"/>
  <c r="B813" i="100"/>
  <c r="B1910" i="100"/>
  <c r="B1135" i="100"/>
  <c r="C862" i="100"/>
  <c r="C555" i="100"/>
  <c r="B739" i="100"/>
  <c r="B592" i="100"/>
  <c r="C462" i="100"/>
  <c r="C722" i="100"/>
  <c r="B106" i="100"/>
  <c r="B884" i="100"/>
  <c r="J271" i="99" a="1"/>
  <c r="B682" i="100"/>
  <c r="C1095" i="100"/>
  <c r="B1893" i="100"/>
  <c r="C1851" i="100"/>
  <c r="B1691" i="100"/>
  <c r="B966" i="100"/>
  <c r="C306" i="100"/>
  <c r="B668" i="100"/>
  <c r="C675" i="100"/>
  <c r="B1747" i="100"/>
  <c r="C644" i="100"/>
  <c r="B1190" i="100"/>
  <c r="B94" i="100"/>
  <c r="C931" i="100"/>
  <c r="K165" i="99" a="1"/>
  <c r="J35" i="99" a="1"/>
  <c r="C1005" i="100"/>
  <c r="B1751" i="100"/>
  <c r="C591" i="100"/>
  <c r="B1760" i="100"/>
  <c r="AC60" i="99" a="1"/>
  <c r="J244" i="99" a="1"/>
  <c r="C569" i="100"/>
  <c r="I377" i="99" a="1"/>
  <c r="Z13" i="99" a="1"/>
  <c r="E223" i="99" a="1"/>
  <c r="V380" i="99" a="1"/>
  <c r="C905" i="100"/>
  <c r="B764" i="100"/>
  <c r="C948" i="100"/>
  <c r="D167" i="99" a="1"/>
  <c r="C1126" i="100"/>
  <c r="BV224" i="99" a="1"/>
  <c r="C754" i="100"/>
  <c r="C1016" i="100"/>
  <c r="B1774" i="100"/>
  <c r="B586" i="100"/>
  <c r="B572" i="100"/>
  <c r="AC89" i="99" a="1"/>
  <c r="BN219" i="99" a="1"/>
  <c r="B1709" i="100"/>
  <c r="E290" i="99" a="1"/>
  <c r="C1037" i="100"/>
  <c r="C927" i="100"/>
  <c r="C426" i="100"/>
  <c r="B708" i="100"/>
  <c r="V91" i="99" a="1"/>
  <c r="C1210" i="100"/>
  <c r="B1850" i="100"/>
  <c r="C1272" i="100"/>
  <c r="C837" i="100"/>
  <c r="B1130" i="100"/>
  <c r="B869" i="100"/>
  <c r="AR219" i="99" a="1"/>
  <c r="C1200" i="100"/>
  <c r="C693" i="100"/>
  <c r="B557" i="100"/>
  <c r="AA190" i="99" a="1"/>
  <c r="C1953" i="100"/>
  <c r="C1207" i="100"/>
  <c r="C1961" i="100"/>
  <c r="AD165" i="99" a="1"/>
  <c r="AF89" i="99" a="1"/>
  <c r="V223" i="99" a="1"/>
  <c r="C1147" i="100"/>
  <c r="B1971" i="100"/>
  <c r="B133" i="100"/>
  <c r="B920" i="100"/>
  <c r="B1749" i="100"/>
  <c r="C918" i="100"/>
  <c r="B652" i="100"/>
  <c r="Y13" i="99" a="1"/>
  <c r="K35" i="99" a="1"/>
  <c r="B1245" i="100"/>
  <c r="B486" i="100"/>
  <c r="C694" i="100"/>
  <c r="B816" i="100"/>
  <c r="C1052" i="100"/>
  <c r="C952" i="100"/>
  <c r="C1948" i="100"/>
  <c r="C989" i="100"/>
  <c r="B656" i="100"/>
  <c r="B1919" i="100"/>
  <c r="B833" i="100"/>
  <c r="C941" i="100"/>
  <c r="C909" i="100"/>
  <c r="L398" i="99" a="1"/>
  <c r="C1076" i="100"/>
  <c r="C1107" i="100"/>
  <c r="B1118" i="100"/>
  <c r="B714" i="100"/>
  <c r="C26" i="100"/>
  <c r="B561" i="100"/>
  <c r="C710" i="100"/>
  <c r="B588" i="100"/>
  <c r="C1018" i="100"/>
  <c r="B1004" i="100"/>
  <c r="C1922" i="100"/>
  <c r="C1554" i="100"/>
  <c r="C1273" i="100"/>
  <c r="C1026" i="100"/>
  <c r="B1054" i="100"/>
  <c r="C789" i="100"/>
  <c r="B965" i="100"/>
  <c r="B1720" i="100"/>
  <c r="B976" i="100"/>
  <c r="B992" i="100"/>
  <c r="C83" i="100"/>
  <c r="Y190" i="99" a="1"/>
  <c r="C536" i="100"/>
  <c r="O244" i="99" a="1"/>
  <c r="C1684" i="100"/>
  <c r="C886" i="100"/>
  <c r="B1036" i="100"/>
  <c r="C1202" i="100"/>
  <c r="B686" i="100"/>
  <c r="B1259" i="100"/>
  <c r="C913" i="100"/>
  <c r="C1927" i="100"/>
  <c r="C609" i="100"/>
  <c r="B540" i="100"/>
  <c r="AV219" i="99" a="1"/>
  <c r="C746" i="100"/>
  <c r="C1749" i="100"/>
  <c r="B1734" i="100"/>
  <c r="B1087" i="100"/>
  <c r="C113" i="100"/>
  <c r="W224" i="99" a="1"/>
  <c r="B1677" i="100"/>
  <c r="C1185" i="100"/>
  <c r="H244" i="99" a="1"/>
  <c r="C953" i="100"/>
  <c r="I190" i="99" a="1"/>
  <c r="C143" i="100"/>
  <c r="B815" i="100"/>
  <c r="C678" i="100"/>
  <c r="H221" i="99" a="1"/>
  <c r="C1261" i="100"/>
  <c r="C1856" i="100"/>
  <c r="B43" i="100"/>
  <c r="B964" i="100"/>
  <c r="B891" i="100"/>
  <c r="B1163" i="100"/>
  <c r="B957" i="100"/>
  <c r="B1252" i="100"/>
  <c r="B25" i="100"/>
  <c r="AB271" i="99" a="1"/>
  <c r="B651" i="100"/>
  <c r="B1222" i="100"/>
  <c r="C535" i="100"/>
  <c r="B632" i="100"/>
  <c r="B1698" i="100"/>
  <c r="C1133" i="100"/>
  <c r="C1758" i="100"/>
  <c r="C1923" i="100"/>
  <c r="B1879" i="100"/>
  <c r="C959" i="100"/>
  <c r="P219" i="99" a="1"/>
  <c r="C1001" i="100"/>
  <c r="C1893" i="100"/>
  <c r="C1741" i="100"/>
  <c r="C1257" i="100"/>
  <c r="C1647" i="100"/>
  <c r="B1731" i="100"/>
  <c r="B1885" i="100"/>
  <c r="B1568" i="100"/>
  <c r="C362" i="99" a="1"/>
  <c r="C534" i="100"/>
  <c r="C1584" i="100"/>
  <c r="B1772" i="100"/>
  <c r="B758" i="100"/>
  <c r="C1840" i="100"/>
  <c r="C1206" i="100"/>
  <c r="B21" i="100"/>
  <c r="B1126" i="100"/>
  <c r="L219" i="99" a="1"/>
  <c r="L244" i="99" a="1"/>
  <c r="C605" i="100"/>
  <c r="B566" i="100"/>
  <c r="B1897" i="100"/>
  <c r="B1740" i="100"/>
  <c r="C657" i="100"/>
  <c r="B778" i="100"/>
  <c r="C570" i="100"/>
  <c r="C1167" i="100"/>
  <c r="C981" i="100"/>
  <c r="B849" i="100"/>
  <c r="B669" i="100"/>
  <c r="I244" i="99" a="1"/>
  <c r="C1848" i="100"/>
  <c r="C380" i="99" a="1"/>
  <c r="C1110" i="100"/>
  <c r="C1084" i="100"/>
  <c r="C749" i="100"/>
  <c r="F93" i="99" a="1"/>
  <c r="C839" i="100"/>
  <c r="AC13" i="99" a="1"/>
  <c r="C114" i="100"/>
  <c r="C378" i="100"/>
  <c r="AI89" i="99" a="1"/>
  <c r="C701" i="100"/>
  <c r="B978" i="100"/>
  <c r="B1666" i="100"/>
  <c r="C1760" i="100"/>
  <c r="B1124" i="100"/>
  <c r="C354" i="100"/>
  <c r="C117" i="100"/>
  <c r="C1047" i="100"/>
  <c r="C993" i="100"/>
  <c r="H305" i="99" a="1"/>
  <c r="B1025" i="100"/>
  <c r="C1199" i="100"/>
  <c r="C784" i="100"/>
  <c r="B37" i="100"/>
  <c r="C1208" i="100"/>
  <c r="C1593" i="100"/>
  <c r="C1230" i="100"/>
  <c r="B1843" i="100"/>
  <c r="C1895" i="100"/>
  <c r="K13" i="99" a="1"/>
  <c r="C648" i="100"/>
  <c r="C703" i="100"/>
  <c r="B1855" i="100"/>
  <c r="B1092" i="100"/>
  <c r="C744" i="100"/>
  <c r="B1181" i="100"/>
  <c r="B1837" i="100"/>
  <c r="B859" i="100"/>
  <c r="G165" i="99" a="1"/>
  <c r="C61" i="100"/>
  <c r="B1156" i="100"/>
  <c r="B110" i="100"/>
  <c r="C1875" i="100"/>
  <c r="H288" i="99" a="1"/>
  <c r="B929" i="100"/>
  <c r="D249" i="99" a="1"/>
  <c r="B1825" i="100"/>
  <c r="C1688" i="100"/>
  <c r="C1810" i="100"/>
  <c r="M322" i="99" a="1"/>
  <c r="B1884" i="100"/>
  <c r="D223" i="99" a="1"/>
  <c r="C1211" i="100"/>
  <c r="C751" i="100"/>
  <c r="C742" i="100"/>
  <c r="C1770" i="100"/>
  <c r="AC398" i="99" a="1"/>
  <c r="B621" i="100"/>
  <c r="AA143" i="99" a="1"/>
  <c r="B1096" i="100"/>
  <c r="B999" i="100"/>
  <c r="C1233" i="100"/>
  <c r="C996" i="100"/>
  <c r="C1869" i="100"/>
  <c r="B803" i="100"/>
  <c r="C724" i="100"/>
  <c r="B1733" i="100"/>
  <c r="C1847" i="100"/>
  <c r="B85" i="100"/>
  <c r="C32" i="100"/>
  <c r="B102" i="100"/>
  <c r="C733" i="100"/>
  <c r="C44" i="100"/>
  <c r="B577" i="100"/>
  <c r="B91" i="100"/>
  <c r="C101" i="100"/>
  <c r="B1159" i="100"/>
  <c r="C1945" i="100"/>
  <c r="AC271" i="99" a="1"/>
  <c r="G305" i="99" a="1"/>
  <c r="B1753" i="100"/>
  <c r="B973" i="100"/>
  <c r="B93" i="100"/>
  <c r="B848" i="100"/>
  <c r="C863" i="100"/>
  <c r="B768" i="100"/>
  <c r="C725" i="100"/>
  <c r="C1065" i="100"/>
  <c r="N271" i="99" a="1"/>
  <c r="C1258" i="100"/>
  <c r="C1926" i="100"/>
  <c r="B1833" i="100"/>
  <c r="B581" i="100"/>
  <c r="B1782" i="100"/>
  <c r="C978" i="100"/>
  <c r="C91" i="99" a="1"/>
  <c r="B1076" i="100"/>
  <c r="C1752" i="100"/>
  <c r="B1676" i="100"/>
  <c r="B1881" i="100"/>
  <c r="B1038" i="100"/>
  <c r="C845" i="100"/>
  <c r="B751" i="100"/>
  <c r="J114" i="99" a="1"/>
  <c r="B901" i="100"/>
  <c r="B101" i="100"/>
  <c r="B1151" i="100"/>
  <c r="B1585" i="100"/>
  <c r="C1153" i="100"/>
  <c r="B117" i="100"/>
  <c r="B574" i="100"/>
  <c r="B1953" i="100"/>
  <c r="E343" i="99" a="1"/>
  <c r="B982" i="100"/>
  <c r="AE271" i="99" a="1"/>
  <c r="AR221" i="99" a="1"/>
  <c r="C688" i="100"/>
  <c r="F337" i="99" a="1"/>
  <c r="B1671" i="100"/>
  <c r="C547" i="100"/>
  <c r="B1846" i="100"/>
  <c r="BR219" i="99" a="1"/>
  <c r="C24" i="100"/>
  <c r="C1190" i="100"/>
  <c r="B696" i="100"/>
  <c r="C647" i="100"/>
  <c r="B615" i="100"/>
  <c r="C553" i="100"/>
  <c r="B1732" i="100"/>
  <c r="B1282" i="100"/>
  <c r="B633" i="100"/>
  <c r="B787" i="100"/>
  <c r="C795" i="100"/>
  <c r="C1706" i="100"/>
  <c r="B1799" i="100"/>
  <c r="B1923" i="100"/>
  <c r="D324" i="99" a="1"/>
  <c r="B737" i="100"/>
  <c r="C660" i="100"/>
  <c r="C1861" i="100"/>
  <c r="C337" i="99" a="1"/>
  <c r="B741" i="100"/>
  <c r="W379" i="99" a="1"/>
  <c r="V62" i="99" a="1"/>
  <c r="B119" i="100"/>
  <c r="B1956" i="100"/>
  <c r="B684" i="100"/>
  <c r="C1891" i="100"/>
  <c r="C92" i="100"/>
  <c r="B52" i="100"/>
  <c r="C791" i="100"/>
  <c r="B1005" i="100"/>
  <c r="C712" i="100"/>
  <c r="C1000" i="100"/>
  <c r="AD89" i="99" a="1"/>
  <c r="C1777" i="100"/>
  <c r="B1819" i="100"/>
  <c r="B1793" i="100"/>
  <c r="B954" i="100"/>
  <c r="C1250" i="100"/>
  <c r="C1816" i="100"/>
  <c r="C671" i="100"/>
  <c r="B1681" i="100"/>
  <c r="C739" i="100"/>
  <c r="C1796" i="100"/>
  <c r="B1916" i="100"/>
  <c r="AI219" i="99" a="1"/>
  <c r="B1913" i="100"/>
  <c r="B9" i="100"/>
  <c r="D273" i="99" a="1"/>
  <c r="C1277" i="100"/>
  <c r="AC114" i="99" a="1"/>
  <c r="B1198" i="100"/>
  <c r="C1097" i="100"/>
  <c r="AN224" i="99" a="1"/>
  <c r="B1804" i="100"/>
  <c r="C567" i="100"/>
  <c r="C847" i="100"/>
  <c r="B619" i="100"/>
  <c r="B948" i="100"/>
  <c r="C71" i="100"/>
  <c r="AG89" i="99" a="1"/>
  <c r="B1808" i="100"/>
  <c r="B826" i="100"/>
  <c r="B677" i="100"/>
  <c r="B129" i="100"/>
  <c r="B1022" i="100"/>
  <c r="C544" i="100"/>
  <c r="L114" i="99" a="1"/>
  <c r="B736" i="100"/>
  <c r="C1767" i="100"/>
  <c r="C1217" i="100"/>
  <c r="C1941" i="100"/>
  <c r="B558" i="100"/>
  <c r="W398" i="99" a="1"/>
  <c r="B1158" i="100"/>
  <c r="B645" i="100"/>
  <c r="C1262" i="100"/>
  <c r="B912" i="100"/>
  <c r="C588" i="100"/>
  <c r="B584" i="100"/>
  <c r="C549" i="100"/>
  <c r="K305" i="99" a="1"/>
  <c r="B1119" i="100"/>
  <c r="B116" i="100"/>
  <c r="C1229" i="100"/>
  <c r="B1957" i="100"/>
  <c r="G398" i="99" a="1"/>
  <c r="C1224" i="100"/>
  <c r="P89" i="99" a="1"/>
  <c r="H143" i="99" a="1"/>
  <c r="C1951" i="100"/>
  <c r="D91" i="99" a="1"/>
  <c r="AD377" i="99" a="1"/>
  <c r="B1108" i="100"/>
  <c r="C1080" i="100"/>
  <c r="C25" i="100"/>
  <c r="E337" i="99" a="1"/>
  <c r="B1078" i="100"/>
  <c r="B728" i="100"/>
  <c r="C14" i="100"/>
  <c r="B1820" i="100"/>
  <c r="W91" i="99" a="1"/>
  <c r="B1699" i="100"/>
  <c r="C1690" i="100"/>
  <c r="C960" i="100"/>
  <c r="C12" i="100"/>
  <c r="B1926" i="100"/>
  <c r="AC190" i="99" a="1"/>
  <c r="C522" i="100"/>
  <c r="B659" i="100"/>
  <c r="N114" i="99" a="1"/>
  <c r="B968" i="100"/>
  <c r="C1748" i="100"/>
  <c r="BX221" i="99" a="1"/>
  <c r="Q190" i="99" a="1"/>
  <c r="C1947" i="100"/>
  <c r="C1788" i="100"/>
  <c r="B970" i="100"/>
  <c r="B72" i="100"/>
  <c r="J377" i="99" a="1"/>
  <c r="C1036" i="100"/>
  <c r="B1035" i="100"/>
  <c r="B127" i="100"/>
  <c r="C1279" i="100"/>
  <c r="B655" i="100"/>
  <c r="B1707" i="100"/>
  <c r="E379" i="99" a="1"/>
  <c r="C917" i="100"/>
  <c r="B997" i="100"/>
  <c r="B697" i="100"/>
  <c r="C1792" i="100"/>
  <c r="AX219" i="99" a="1"/>
  <c r="C748" i="100"/>
  <c r="B631" i="100"/>
  <c r="B678" i="100"/>
  <c r="B897" i="100"/>
  <c r="BK219" i="99" a="1"/>
  <c r="C842" i="100"/>
  <c r="B950" i="100"/>
  <c r="AH114" i="99" a="1"/>
  <c r="B1047" i="100"/>
  <c r="B1783" i="100"/>
  <c r="B58" i="100"/>
  <c r="AH35" i="99" a="1"/>
  <c r="L35" i="99" a="1"/>
  <c r="B899" i="100"/>
  <c r="C1666" i="100"/>
  <c r="B660" i="100"/>
  <c r="B1086" i="100"/>
  <c r="B593" i="100"/>
  <c r="C1099" i="100"/>
  <c r="B14" i="100"/>
  <c r="B1907" i="100"/>
  <c r="AB398" i="99" a="1"/>
  <c r="C637" i="100"/>
  <c r="C1104" i="100"/>
  <c r="C757" i="100"/>
  <c r="AF190" i="99" a="1"/>
  <c r="B1265" i="100"/>
  <c r="C1678" i="100"/>
  <c r="B1759" i="100"/>
  <c r="B1117" i="100"/>
  <c r="C586" i="100"/>
  <c r="C1184" i="100"/>
  <c r="C606" i="100"/>
  <c r="B916" i="100"/>
  <c r="U380" i="99" a="1"/>
  <c r="C1855" i="100"/>
  <c r="N377" i="99" a="1"/>
  <c r="AF219" i="99" a="1"/>
  <c r="B67" i="100"/>
  <c r="C1715" i="100"/>
  <c r="B1070" i="100"/>
  <c r="B1880" i="100"/>
  <c r="B1944" i="100"/>
  <c r="I398" i="99" a="1"/>
  <c r="U383" i="99" a="1"/>
  <c r="C706" i="100"/>
  <c r="C1966" i="100"/>
  <c r="C30" i="100"/>
  <c r="B330" i="100"/>
  <c r="L165" i="99" a="1"/>
  <c r="B1268" i="100"/>
  <c r="C1032" i="100"/>
  <c r="B28" i="100"/>
  <c r="C1737" i="100"/>
  <c r="C1069" i="100"/>
  <c r="W381" i="99" a="1"/>
  <c r="B836" i="100"/>
  <c r="B1708" i="100"/>
  <c r="C945" i="100"/>
  <c r="C474" i="100"/>
  <c r="B1068" i="100"/>
  <c r="B1003" i="100"/>
  <c r="B629" i="100"/>
  <c r="C1801" i="100"/>
  <c r="B1557" i="100"/>
  <c r="X167" i="99" a="1"/>
  <c r="B1682" i="100"/>
  <c r="C1281" i="100"/>
  <c r="P190" i="99" a="1"/>
  <c r="C1728" i="100"/>
  <c r="C698" i="100"/>
  <c r="D404" i="99" a="1"/>
  <c r="C33" i="100"/>
  <c r="C50" i="100"/>
  <c r="B1191" i="100"/>
  <c r="C1826" i="100"/>
  <c r="B1176" i="100"/>
  <c r="B1129" i="100"/>
  <c r="K288" i="99" a="1"/>
  <c r="C1940" i="100"/>
  <c r="B1694" i="100"/>
  <c r="B1962" i="100"/>
  <c r="F223" i="99" a="1"/>
  <c r="B1041" i="100"/>
  <c r="C1006" i="100"/>
  <c r="B53" i="100"/>
  <c r="C1169" i="100"/>
  <c r="C1079" i="100"/>
  <c r="B707" i="100"/>
  <c r="C1680" i="100"/>
  <c r="B103" i="100"/>
  <c r="C797" i="100"/>
  <c r="B688" i="100"/>
  <c r="G60" i="99" a="1"/>
  <c r="B923" i="100"/>
  <c r="E116" i="99"/>
  <c r="BP219" i="99" a="1"/>
  <c r="V224" i="99" a="1"/>
  <c r="C578" i="100"/>
  <c r="W223" i="99" a="1"/>
  <c r="C1031" i="100"/>
  <c r="C1171" i="100"/>
  <c r="C54" i="100"/>
  <c r="K398" i="99" a="1"/>
  <c r="B842" i="100"/>
  <c r="B1221" i="100"/>
  <c r="C1113" i="100"/>
  <c r="B92" i="100"/>
  <c r="C986" i="100"/>
  <c r="B952" i="100"/>
  <c r="B783" i="100"/>
  <c r="C831" i="100"/>
  <c r="C1797" i="100"/>
  <c r="H13" i="99" a="1"/>
  <c r="C1611" i="100"/>
  <c r="C915" i="100"/>
  <c r="B1877" i="100"/>
  <c r="B1000" i="100"/>
  <c r="C43" i="100"/>
  <c r="B819" i="100"/>
  <c r="C1987" i="100"/>
  <c r="G190" i="99" a="1"/>
  <c r="E356" i="99" a="1"/>
  <c r="BV221" i="99" a="1"/>
  <c r="B111" i="100"/>
  <c r="B1249" i="100"/>
  <c r="B1278" i="100"/>
  <c r="C1239" i="100"/>
  <c r="C1756" i="100"/>
  <c r="B687" i="100"/>
  <c r="C668" i="100"/>
  <c r="C1014" i="100"/>
  <c r="F169" i="99" a="1"/>
  <c r="C1585" i="100"/>
  <c r="G356" i="99" a="1"/>
  <c r="C885" i="100"/>
  <c r="E93" i="99" a="1"/>
  <c r="B711" i="100"/>
  <c r="B738" i="100"/>
  <c r="C27" i="100"/>
  <c r="B1230" i="100"/>
  <c r="C58" i="100"/>
  <c r="C887" i="100"/>
  <c r="B698" i="100"/>
  <c r="C599" i="100"/>
  <c r="C1808" i="100"/>
  <c r="C835" i="100"/>
  <c r="N6" i="99" a="1"/>
  <c r="I114" i="99" a="1"/>
  <c r="B23" i="100"/>
  <c r="B1936" i="100"/>
  <c r="B781" i="100"/>
  <c r="B1765" i="100"/>
  <c r="B718" i="100"/>
  <c r="C818" i="100"/>
  <c r="B1250" i="100"/>
  <c r="C1591" i="100"/>
  <c r="B1157" i="100"/>
  <c r="B1085" i="100"/>
  <c r="Z219" i="99" a="1"/>
  <c r="AP223" i="99" a="1"/>
  <c r="B60" i="100"/>
  <c r="B863" i="100"/>
  <c r="B15" i="100"/>
  <c r="C1198" i="100"/>
  <c r="B83" i="100"/>
  <c r="C900" i="100"/>
  <c r="B907" i="100"/>
  <c r="C282" i="100"/>
  <c r="C4" i="100"/>
  <c r="B1834" i="100"/>
  <c r="B1769" i="100"/>
  <c r="C713" i="100"/>
  <c r="E167" i="99" a="1"/>
  <c r="B1915" i="100"/>
  <c r="B841" i="100"/>
  <c r="B1886" i="100"/>
  <c r="C1608" i="100"/>
  <c r="C633" i="100"/>
  <c r="E362" i="99" a="1"/>
  <c r="B1042" i="100"/>
  <c r="C1736" i="100"/>
  <c r="C356" i="99" a="1"/>
  <c r="B1685" i="100"/>
  <c r="B1081" i="100"/>
  <c r="B1243" i="100"/>
  <c r="B1767" i="100"/>
  <c r="C856" i="100"/>
  <c r="B1155" i="100"/>
  <c r="B1816" i="100"/>
  <c r="B969" i="100"/>
  <c r="C1051" i="100"/>
  <c r="C934" i="100"/>
  <c r="C740" i="100"/>
  <c r="C1761" i="100"/>
  <c r="B135" i="100"/>
  <c r="C854" i="100"/>
  <c r="B1969" i="100"/>
  <c r="AF143" i="99" a="1"/>
  <c r="AF271" i="99" a="1"/>
  <c r="O271" i="99" a="1"/>
  <c r="B1781" i="100"/>
  <c r="B1083" i="100"/>
  <c r="B1069" i="100"/>
  <c r="C792" i="100"/>
  <c r="B1094" i="100"/>
  <c r="B1766" i="100"/>
  <c r="C1146" i="100"/>
  <c r="C1714" i="100"/>
  <c r="B1051" i="100"/>
  <c r="C1275" i="100"/>
  <c r="B105" i="100"/>
  <c r="G192" i="99" a="1"/>
  <c r="C613" i="100"/>
  <c r="B61" i="100"/>
  <c r="C1030" i="100"/>
  <c r="C450" i="100"/>
  <c r="B1889" i="100"/>
  <c r="C871" i="100"/>
  <c r="F221" i="99" a="1"/>
  <c r="B29" i="100"/>
  <c r="B426" i="100"/>
  <c r="C1846" i="100"/>
  <c r="B880" i="100"/>
  <c r="B748" i="100"/>
  <c r="C715" i="100"/>
  <c r="C1102" i="100"/>
  <c r="B1927" i="100"/>
  <c r="B1556" i="100"/>
  <c r="B1217" i="100"/>
  <c r="C1011" i="100"/>
  <c r="B46" i="100"/>
  <c r="C743" i="100"/>
  <c r="B1613" i="100"/>
  <c r="C1733" i="100"/>
  <c r="B1827" i="100"/>
  <c r="C22" i="100"/>
  <c r="V37" i="99" a="1"/>
  <c r="C1594" i="100"/>
  <c r="B1917" i="100"/>
  <c r="B1058" i="100"/>
  <c r="C1123" i="100"/>
  <c r="C1085" i="100"/>
  <c r="B810" i="100"/>
  <c r="C673" i="100"/>
  <c r="B1921" i="100"/>
  <c r="B1943" i="100"/>
  <c r="C1779" i="100"/>
  <c r="C149" i="100"/>
  <c r="C1931" i="100"/>
  <c r="C144" i="100"/>
  <c r="B1888" i="100"/>
  <c r="C1670" i="100"/>
  <c r="C846" i="100"/>
  <c r="BI221" i="99" a="1"/>
  <c r="C150" i="100"/>
  <c r="B853" i="100"/>
  <c r="C969" i="100"/>
  <c r="C84" i="100"/>
  <c r="B770" i="100"/>
  <c r="N219" i="99" a="1"/>
  <c r="C645" i="100"/>
  <c r="AE360" i="99" a="1"/>
  <c r="B1829" i="100"/>
  <c r="C1981" i="100"/>
  <c r="B670" i="100"/>
  <c r="C1177" i="100"/>
  <c r="B951" i="100"/>
  <c r="Y60" i="99" a="1"/>
  <c r="E324" i="99" a="1"/>
  <c r="B942" i="100"/>
  <c r="AB190" i="99" a="1"/>
  <c r="C1168" i="100"/>
  <c r="C1074" i="100"/>
  <c r="AG190" i="99" a="1"/>
  <c r="B617" i="100"/>
  <c r="G116" i="99" a="1"/>
  <c r="C1867" i="100"/>
  <c r="C1919" i="100"/>
  <c r="B150" i="100"/>
  <c r="C878" i="100"/>
  <c r="C1700" i="100"/>
  <c r="B818" i="100"/>
  <c r="D380" i="99" a="1"/>
  <c r="B1065" i="100"/>
  <c r="P165" i="99" a="1"/>
  <c r="C765" i="100"/>
  <c r="C702" i="100"/>
  <c r="B36" i="100"/>
  <c r="C1710" i="100"/>
  <c r="C1161" i="100"/>
  <c r="E224" i="99" a="1"/>
  <c r="AG60" i="99" a="1"/>
  <c r="C717" i="100"/>
  <c r="B98" i="100"/>
  <c r="AA271" i="99" a="1"/>
  <c r="B564" i="100"/>
  <c r="B1600" i="100"/>
  <c r="C919" i="100"/>
  <c r="B597" i="100"/>
  <c r="B1826" i="100"/>
  <c r="C1764" i="100"/>
  <c r="B1045" i="100"/>
  <c r="K143" i="99" a="1"/>
  <c r="C970" i="100"/>
  <c r="B829" i="100"/>
  <c r="AQ221" i="99" a="1"/>
  <c r="C1180" i="100"/>
  <c r="B146" i="100"/>
  <c r="B1794" i="100"/>
  <c r="B1672" i="100"/>
  <c r="B96" i="100"/>
  <c r="B1066" i="100"/>
  <c r="V404" i="99" a="1"/>
  <c r="B1093" i="100"/>
  <c r="C983" i="100"/>
  <c r="C1854" i="100"/>
  <c r="B935" i="100"/>
  <c r="C104" i="100"/>
  <c r="C1830" i="100"/>
  <c r="B1024" i="100"/>
  <c r="B1680" i="100"/>
  <c r="F398" i="99" a="1"/>
  <c r="B802" i="100"/>
  <c r="C1873" i="100"/>
  <c r="C608" i="100"/>
  <c r="C78" i="100"/>
  <c r="C1791" i="100"/>
  <c r="B1717" i="100"/>
  <c r="B730" i="100"/>
  <c r="B887" i="100"/>
  <c r="M13" i="99" a="1"/>
  <c r="B1842" i="100"/>
  <c r="C142" i="100"/>
  <c r="B1775" i="100"/>
  <c r="AF165" i="99" a="1"/>
  <c r="C1679" i="100"/>
  <c r="B1689" i="100"/>
  <c r="G246" i="99" a="1"/>
  <c r="Z165" i="99" a="1"/>
  <c r="J62" i="99" a="1"/>
  <c r="O219" i="99" a="1"/>
  <c r="B1202" i="100"/>
  <c r="B579" i="100"/>
  <c r="C585" i="100"/>
  <c r="B1079" i="100"/>
  <c r="B790" i="100"/>
  <c r="B122" i="100"/>
  <c r="F356" i="99" a="1"/>
  <c r="B1121" i="100"/>
  <c r="B1263" i="100"/>
  <c r="B1183" i="100"/>
  <c r="C46" i="100"/>
  <c r="B81" i="100"/>
  <c r="C802" i="100"/>
  <c r="B539" i="100"/>
  <c r="B1743" i="100"/>
  <c r="C74" i="100"/>
  <c r="B1264" i="100"/>
  <c r="B733" i="100"/>
  <c r="D224" i="99" a="1"/>
  <c r="C1588" i="100"/>
  <c r="B1835" i="100"/>
  <c r="C19" i="100"/>
  <c r="C968" i="100"/>
  <c r="B878" i="100"/>
  <c r="B1950" i="100"/>
  <c r="C1800" i="100"/>
  <c r="B1588" i="100"/>
  <c r="B282" i="100"/>
  <c r="AW219" i="99" a="1"/>
  <c r="B538" i="100"/>
  <c r="C1008" i="100"/>
  <c r="F62" i="99" a="1"/>
  <c r="B806" i="100"/>
  <c r="C1865" i="100"/>
  <c r="B1716" i="100"/>
  <c r="C1088" i="100"/>
  <c r="B1870" i="100"/>
  <c r="B914" i="100"/>
  <c r="C3" i="100"/>
  <c r="B1111" i="100"/>
  <c r="C1769" i="100"/>
  <c r="O288" i="99" a="1"/>
  <c r="C539" i="100"/>
  <c r="W62" i="99" a="1"/>
  <c r="C882" i="100"/>
  <c r="C940" i="100"/>
  <c r="C1274" i="100"/>
  <c r="X169" i="99" a="1"/>
  <c r="C961" i="100"/>
  <c r="E419" i="99" a="1"/>
  <c r="B769" i="100"/>
  <c r="C1766" i="100"/>
  <c r="C543" i="100"/>
  <c r="AE35" i="99" a="1"/>
  <c r="C734" i="100"/>
  <c r="B1178" i="100"/>
  <c r="B1701" i="100"/>
  <c r="F249" i="99" a="1"/>
  <c r="B1895" i="100"/>
  <c r="B1015" i="100"/>
  <c r="B908" i="100"/>
  <c r="C720" i="100"/>
  <c r="B715" i="100"/>
  <c r="F377" i="99" a="1"/>
  <c r="B960" i="100"/>
  <c r="O305" i="99" a="1"/>
  <c r="B3" i="100"/>
  <c r="B140" i="100"/>
  <c r="C659" i="100"/>
  <c r="M305" i="99" a="1"/>
  <c r="B1858" i="100"/>
  <c r="C563" i="100"/>
  <c r="B1780" i="100"/>
  <c r="B661" i="100"/>
  <c r="C590" i="100"/>
  <c r="C954" i="100"/>
  <c r="C1692" i="100"/>
  <c r="C1042" i="100"/>
  <c r="B791" i="100"/>
  <c r="C684" i="100"/>
  <c r="B1824" i="100"/>
  <c r="B761" i="100"/>
  <c r="B1958" i="100"/>
  <c r="B902" i="100"/>
  <c r="C1595" i="100"/>
  <c r="H219" i="99" a="1"/>
  <c r="B1208" i="100"/>
  <c r="B811" i="100"/>
  <c r="J89" i="99" a="1"/>
  <c r="C1209" i="100"/>
  <c r="B956" i="100"/>
  <c r="P35" i="99" a="1"/>
  <c r="BV223" i="99" a="1"/>
  <c r="B1754" i="100"/>
  <c r="C533" i="100"/>
  <c r="B560" i="100"/>
  <c r="AF35" i="99" a="1"/>
  <c r="B100" i="100"/>
  <c r="B595" i="100"/>
  <c r="C1022" i="100"/>
  <c r="B1179" i="100"/>
  <c r="C330" i="100"/>
  <c r="B646" i="100"/>
  <c r="B974" i="100"/>
  <c r="C89" i="100"/>
  <c r="V273" i="99" a="1"/>
  <c r="C1590" i="100"/>
  <c r="C785" i="100"/>
  <c r="B784" i="100"/>
  <c r="B48" i="100"/>
  <c r="B591" i="100"/>
  <c r="Z60" i="99" a="1"/>
  <c r="B905" i="100"/>
  <c r="C711" i="100"/>
  <c r="C1831" i="100"/>
  <c r="B1811" i="100"/>
  <c r="C1878" i="100"/>
  <c r="C894" i="100"/>
  <c r="B76" i="100"/>
  <c r="C799" i="100"/>
  <c r="C123" i="100"/>
  <c r="C999" i="100"/>
  <c r="B1830" i="100"/>
  <c r="B846" i="100"/>
  <c r="B554" i="100"/>
  <c r="C532" i="100"/>
  <c r="B732" i="100"/>
  <c r="B1141" i="100"/>
  <c r="C37" i="100"/>
  <c r="AB165" i="99" a="1"/>
  <c r="B1715" i="100"/>
  <c r="C1775" i="100"/>
  <c r="C1020" i="100"/>
  <c r="B1961" i="100"/>
  <c r="C1774" i="100"/>
  <c r="C23" i="100"/>
  <c r="C861" i="100"/>
  <c r="C290" i="99" a="1"/>
  <c r="C736" i="100"/>
  <c r="C1035" i="100"/>
  <c r="C911" i="100"/>
  <c r="B1029" i="100"/>
  <c r="B1805" i="100"/>
  <c r="B918" i="100"/>
  <c r="W383" i="99" a="1"/>
  <c r="L305" i="99" a="1"/>
  <c r="C1757" i="100"/>
  <c r="C955" i="100"/>
  <c r="V167" i="99" a="1"/>
  <c r="C793" i="100"/>
  <c r="M271" i="99" a="1"/>
  <c r="C1712" i="100"/>
  <c r="L190" i="99" a="1"/>
  <c r="B959" i="100"/>
  <c r="C1860" i="100"/>
  <c r="C1812" i="100"/>
  <c r="B998" i="100"/>
  <c r="C76" i="100"/>
  <c r="B740" i="100"/>
  <c r="C1003" i="100"/>
  <c r="C110" i="100"/>
  <c r="B1153" i="100"/>
  <c r="B1949" i="100"/>
  <c r="B1569" i="100"/>
  <c r="B1773" i="100"/>
  <c r="C65" i="100"/>
  <c r="B1954" i="100"/>
  <c r="C763" i="100"/>
  <c r="B68" i="100"/>
  <c r="C1982" i="100"/>
  <c r="C832" i="100"/>
  <c r="C1852" i="100"/>
  <c r="B822" i="100"/>
  <c r="C1141" i="100"/>
  <c r="B1668" i="100"/>
  <c r="C683" i="100"/>
  <c r="B1980" i="100"/>
  <c r="B69" i="100"/>
  <c r="B1031" i="100"/>
  <c r="B1968" i="100"/>
  <c r="C1248" i="100"/>
  <c r="C971" i="100"/>
  <c r="J341" i="99" a="1"/>
  <c r="B800" i="100"/>
  <c r="B1771" i="100"/>
  <c r="B1800" i="100"/>
  <c r="C128" i="100"/>
  <c r="B113" i="100"/>
  <c r="C812" i="100"/>
  <c r="AE114" i="99" a="1"/>
  <c r="M60" i="99" a="1"/>
  <c r="B1878" i="100"/>
  <c r="B1940" i="100"/>
  <c r="BG221" i="99" a="1"/>
  <c r="L271" i="99" a="1"/>
  <c r="B1810" i="100"/>
  <c r="C870" i="100"/>
  <c r="B130" i="100"/>
  <c r="E382" i="99" a="1"/>
  <c r="B779" i="100"/>
  <c r="B1797" i="100"/>
  <c r="C155" i="100"/>
  <c r="G341" i="99" a="1"/>
  <c r="C577" i="100"/>
  <c r="C1889" i="100"/>
  <c r="Y221" i="99" a="1"/>
  <c r="C592" i="100"/>
  <c r="B801" i="100"/>
  <c r="B1144" i="100"/>
  <c r="B944" i="100"/>
  <c r="B1098" i="100"/>
  <c r="N322" i="99" a="1"/>
  <c r="B876" i="100"/>
  <c r="B1942" i="100"/>
  <c r="C1793" i="100"/>
  <c r="B1028" i="100"/>
  <c r="C1742" i="100"/>
  <c r="B112" i="100"/>
  <c r="B930" i="100"/>
  <c r="G337" i="99" a="1"/>
  <c r="C1975" i="100"/>
  <c r="C556" i="100"/>
  <c r="AE219" i="99" a="1"/>
  <c r="C728" i="100"/>
  <c r="C1148" i="100"/>
  <c r="B926" i="100"/>
  <c r="B925" i="100"/>
  <c r="C1179" i="100"/>
  <c r="B808" i="100"/>
  <c r="B917" i="100"/>
  <c r="C565" i="100"/>
  <c r="B1756" i="100"/>
  <c r="C994" i="100"/>
  <c r="E192" i="99" a="1"/>
  <c r="C152" i="100"/>
  <c r="B1908" i="100"/>
  <c r="L377" i="99" a="1"/>
  <c r="C643" i="100"/>
  <c r="B635" i="100"/>
  <c r="B1016" i="100"/>
  <c r="B147" i="100"/>
  <c r="C623" i="100"/>
  <c r="B1274" i="100"/>
  <c r="U91" i="99" a="1"/>
  <c r="C1178" i="100"/>
  <c r="Z377" i="99" a="1"/>
  <c r="B87" i="100"/>
  <c r="C1086" i="100"/>
  <c r="B1168" i="100"/>
  <c r="C843" i="100"/>
  <c r="C1096" i="100"/>
  <c r="C343" i="99" a="1"/>
  <c r="B1173" i="100"/>
  <c r="B1738" i="100"/>
  <c r="K89" i="99" a="1"/>
  <c r="C1043" i="100"/>
  <c r="AG165" i="99" a="1"/>
  <c r="K244" i="99" a="1"/>
  <c r="B1894" i="100"/>
  <c r="C1143" i="100"/>
  <c r="B1195" i="100"/>
  <c r="C653" i="100"/>
  <c r="B1261" i="100"/>
  <c r="H377" i="99" a="1"/>
  <c r="B627" i="100"/>
  <c r="B895" i="100"/>
  <c r="AS219" i="99" a="1"/>
  <c r="D337" i="99" a="1"/>
  <c r="C1240" i="100"/>
  <c r="C108" i="100"/>
  <c r="B77" i="100"/>
  <c r="C1885" i="100"/>
  <c r="B1988" i="100"/>
  <c r="C1829" i="100"/>
  <c r="B804" i="100"/>
  <c r="B1739" i="100"/>
  <c r="C45" i="100"/>
  <c r="B1021" i="100"/>
  <c r="C620" i="100"/>
  <c r="AQ219" i="99" a="1"/>
  <c r="P305" i="99" a="1"/>
  <c r="C1849" i="100"/>
  <c r="BJ219" i="99" a="1"/>
  <c r="AC165" i="99" a="1"/>
  <c r="B1965" i="100"/>
  <c r="C1214" i="100"/>
  <c r="B1815" i="100"/>
  <c r="C80" i="100"/>
  <c r="J165" i="99" a="1"/>
  <c r="P13" i="99" a="1"/>
  <c r="B1105" i="100"/>
  <c r="C834" i="100"/>
  <c r="C707" i="100"/>
  <c r="G288" i="99" a="1"/>
  <c r="C1122" i="100"/>
  <c r="B107" i="100"/>
  <c r="AG271" i="99" a="1"/>
  <c r="B1177" i="100"/>
  <c r="B636" i="100"/>
  <c r="O35" i="99" a="1"/>
  <c r="B1149" i="100"/>
  <c r="B797" i="100"/>
  <c r="C510" i="100"/>
  <c r="C1699" i="100"/>
  <c r="CC219" i="99" a="1"/>
  <c r="B985" i="100"/>
  <c r="B612" i="100"/>
  <c r="AH89" i="99" a="1"/>
  <c r="C1234" i="100"/>
  <c r="B56" i="100"/>
  <c r="C682" i="100"/>
  <c r="C974" i="100"/>
  <c r="B614" i="100"/>
  <c r="B590" i="100"/>
  <c r="C1725" i="100"/>
  <c r="C1164" i="100"/>
  <c r="C1246" i="100"/>
  <c r="B1614" i="100"/>
  <c r="C1054" i="100"/>
  <c r="C896" i="100"/>
  <c r="C1672" i="100"/>
  <c r="N8" i="99" a="1"/>
  <c r="B1107" i="100"/>
  <c r="C937" i="100"/>
  <c r="BF223" i="99" a="1"/>
  <c r="O60" i="99" a="1"/>
  <c r="B657" i="100"/>
  <c r="C1786" i="100"/>
  <c r="C1188" i="100"/>
  <c r="B548" i="100"/>
  <c r="B1262" i="100"/>
  <c r="B1242" i="100"/>
  <c r="C738" i="100"/>
  <c r="C815" i="100"/>
  <c r="B820" i="100"/>
  <c r="C1929" i="100"/>
  <c r="C650" i="100"/>
  <c r="B1175" i="100"/>
  <c r="B22" i="100"/>
  <c r="B986" i="100"/>
  <c r="D15" i="99" a="1"/>
  <c r="AB35" i="99" a="1"/>
  <c r="B1014" i="100"/>
  <c r="B1859" i="100"/>
  <c r="B1279" i="100"/>
  <c r="AA114" i="99" a="1"/>
  <c r="K221" i="99" a="1"/>
  <c r="B1143" i="100"/>
  <c r="B763" i="100"/>
  <c r="B702" i="100"/>
  <c r="BX223" i="99" a="1"/>
  <c r="B1255" i="100"/>
  <c r="C1811" i="100"/>
  <c r="B650" i="100"/>
  <c r="B75" i="100"/>
  <c r="B743" i="100"/>
  <c r="C603" i="100"/>
  <c r="C1251" i="100"/>
  <c r="C1753" i="100"/>
  <c r="C771" i="100"/>
  <c r="C1174" i="100"/>
  <c r="E249" i="99" a="1"/>
  <c r="B913" i="100"/>
  <c r="C1970" i="100"/>
  <c r="C438" i="100"/>
  <c r="B1002" i="100"/>
  <c r="C1900" i="100"/>
  <c r="C1247" i="100"/>
  <c r="C1218" i="100"/>
  <c r="C1974" i="100"/>
  <c r="H60" i="99" a="1"/>
  <c r="B1128" i="100"/>
  <c r="C674" i="100"/>
  <c r="B939" i="100"/>
  <c r="C1082" i="100"/>
  <c r="B438" i="100"/>
  <c r="G271" i="99" a="1"/>
  <c r="B1008" i="100"/>
  <c r="B1122" i="100"/>
  <c r="W192" i="99" a="1"/>
  <c r="C925" i="100"/>
  <c r="C768" i="100"/>
  <c r="C691" i="100"/>
  <c r="AU219" i="99" a="1"/>
  <c r="B124" i="100"/>
  <c r="B1688" i="100"/>
  <c r="B1642" i="100"/>
  <c r="B789" i="100"/>
  <c r="B1595" i="100"/>
  <c r="B1215" i="100"/>
  <c r="H398" i="99" a="1"/>
  <c r="B153" i="100"/>
  <c r="C1264" i="100"/>
  <c r="C52" i="100"/>
  <c r="D356" i="99" a="1"/>
  <c r="B563" i="100"/>
  <c r="BG223" i="99" a="1"/>
  <c r="C597" i="100"/>
  <c r="M89" i="99" a="1"/>
  <c r="C1787" i="100"/>
  <c r="B1930" i="100"/>
  <c r="B1165" i="100"/>
  <c r="E248" i="99" a="1"/>
  <c r="C1616" i="100"/>
  <c r="C1691" i="100"/>
  <c r="B1610" i="100"/>
  <c r="C1751" i="100"/>
  <c r="Q35" i="99" a="1"/>
  <c r="B1266" i="100"/>
  <c r="C1924" i="100"/>
  <c r="H190" i="99" a="1"/>
  <c r="C723" i="100"/>
  <c r="X37" i="99" a="1"/>
  <c r="C1765" i="100"/>
  <c r="B1095" i="100"/>
  <c r="CI219" i="99" a="1"/>
  <c r="Y398" i="99" a="1"/>
  <c r="C777" i="100"/>
  <c r="B1737" i="100"/>
  <c r="B1139" i="100"/>
  <c r="C568" i="100"/>
  <c r="B1938" i="100"/>
  <c r="B1137" i="100"/>
  <c r="C1719" i="100"/>
  <c r="C1879" i="100"/>
  <c r="B604" i="100"/>
  <c r="C851" i="100"/>
  <c r="B1904" i="100"/>
  <c r="B1823" i="100"/>
  <c r="B875" i="100"/>
  <c r="C584" i="100"/>
  <c r="B1253" i="100"/>
  <c r="C1899" i="100"/>
  <c r="B1123" i="100"/>
  <c r="C1238" i="100"/>
  <c r="B854" i="100"/>
  <c r="C587" i="100"/>
  <c r="W362" i="99" a="1"/>
  <c r="C699" i="100"/>
  <c r="B1046" i="100"/>
  <c r="B843" i="100"/>
  <c r="B603" i="100"/>
  <c r="B937" i="100"/>
  <c r="B828" i="100"/>
  <c r="B1665" i="100"/>
  <c r="B1746" i="100"/>
  <c r="C975" i="100"/>
  <c r="B1555" i="100"/>
  <c r="B104" i="100"/>
  <c r="C1943" i="100"/>
  <c r="G322" i="99" a="1"/>
  <c r="H114" i="99" a="1"/>
  <c r="C1219" i="100"/>
  <c r="D37" i="99" a="1"/>
  <c r="C1183" i="100"/>
  <c r="B498" i="100"/>
  <c r="B152" i="100"/>
  <c r="C1228" i="100"/>
  <c r="B613" i="100"/>
  <c r="B862" i="100"/>
  <c r="C1158" i="100"/>
  <c r="C700" i="100"/>
  <c r="B1909" i="100"/>
  <c r="C1009" i="100"/>
  <c r="B701" i="100"/>
  <c r="C1930" i="100"/>
  <c r="C1144" i="100"/>
  <c r="B1814" i="100"/>
  <c r="C57" i="100"/>
  <c r="B1933" i="100"/>
  <c r="C1282" i="100"/>
  <c r="B991" i="100"/>
  <c r="B666" i="100"/>
  <c r="B1169" i="100"/>
  <c r="C689" i="100"/>
  <c r="B1061" i="100"/>
  <c r="C1098" i="100"/>
  <c r="C105" i="100"/>
  <c r="C714" i="100"/>
  <c r="C621" i="100"/>
  <c r="B366" i="100"/>
  <c r="B909" i="100"/>
  <c r="B731" i="100"/>
  <c r="C1073" i="100"/>
  <c r="B932" i="100"/>
  <c r="C1890" i="100"/>
  <c r="C1070" i="100"/>
  <c r="B51" i="100"/>
  <c r="C1735" i="100"/>
  <c r="B941" i="100"/>
  <c r="C1101" i="100"/>
  <c r="B886" i="100"/>
  <c r="C122" i="100"/>
  <c r="B474" i="100"/>
  <c r="C1868" i="100"/>
  <c r="B1204" i="100"/>
  <c r="AA360" i="99" a="1"/>
  <c r="B934" i="100"/>
  <c r="B1964" i="100"/>
  <c r="B735" i="100"/>
  <c r="B549" i="100"/>
  <c r="C1759" i="100"/>
  <c r="C1243" i="100"/>
  <c r="G13" i="99" a="1"/>
  <c r="B44" i="100"/>
  <c r="E39" i="99" a="1"/>
  <c r="C1196" i="100"/>
  <c r="C1920" i="100"/>
  <c r="C1708" i="100"/>
  <c r="C857" i="100"/>
  <c r="B649" i="100"/>
  <c r="AE89" i="99" a="1"/>
  <c r="B794" i="100"/>
  <c r="AE143" i="99" a="1"/>
  <c r="AG114" i="99" a="1"/>
  <c r="B55" i="100"/>
  <c r="AC221" i="99" a="1"/>
  <c r="C1002" i="100"/>
  <c r="B762" i="100"/>
  <c r="Z89" i="99" a="1"/>
  <c r="C1152" i="100"/>
  <c r="B1032" i="100"/>
  <c r="C1962" i="100"/>
  <c r="C622" i="100"/>
  <c r="C55" i="100"/>
  <c r="C1254" i="100"/>
  <c r="B1203" i="100"/>
  <c r="D381" i="99" a="1"/>
  <c r="C1181" i="100"/>
  <c r="B1064" i="100"/>
  <c r="B798" i="100"/>
  <c r="C1077" i="100"/>
  <c r="B1127" i="100"/>
  <c r="C1665" i="100"/>
  <c r="B1275" i="100"/>
  <c r="B1186" i="100"/>
  <c r="C1236" i="100"/>
  <c r="B760" i="100"/>
  <c r="C1802" i="100"/>
  <c r="W169" i="99" a="1"/>
  <c r="C595" i="100"/>
  <c r="AD13" i="99" a="1"/>
  <c r="C1260" i="100"/>
  <c r="K219" i="99" a="1"/>
  <c r="C1949" i="100"/>
  <c r="BW221" i="99" a="1"/>
  <c r="B1948" i="100"/>
  <c r="B680" i="100"/>
  <c r="V221" i="99" a="1"/>
  <c r="C1108" i="100"/>
  <c r="N305" i="99" a="1"/>
  <c r="C929" i="100"/>
  <c r="B1084" i="100"/>
  <c r="AG143" i="99" a="1"/>
  <c r="B792" i="100"/>
  <c r="C1803" i="100"/>
  <c r="C140" i="100"/>
  <c r="C899" i="100"/>
  <c r="C1772" i="100"/>
  <c r="C838" i="100"/>
  <c r="C806" i="100"/>
  <c r="B567" i="100"/>
  <c r="C1267" i="100"/>
  <c r="C1963" i="100"/>
  <c r="B844" i="100"/>
  <c r="B1678" i="100"/>
  <c r="B883" i="100"/>
  <c r="C94" i="100"/>
  <c r="B1900" i="100"/>
  <c r="B623" i="100"/>
  <c r="B1854" i="100"/>
  <c r="C1723" i="100"/>
  <c r="B639" i="100"/>
  <c r="B580" i="100"/>
  <c r="C1957" i="100"/>
  <c r="B1755" i="100"/>
  <c r="N288" i="99" a="1"/>
  <c r="B890" i="100"/>
  <c r="B1838" i="100"/>
  <c r="AI190" i="99" a="1"/>
  <c r="X223" i="99" a="1"/>
  <c r="Q89" i="99" a="1"/>
  <c r="B624" i="100"/>
  <c r="BF221" i="99" a="1"/>
  <c r="C859" i="100"/>
  <c r="C939" i="100"/>
  <c r="D62" i="99" a="1"/>
  <c r="B547" i="100"/>
  <c r="F248" i="99" a="1"/>
  <c r="C1835" i="100"/>
  <c r="B602" i="100"/>
  <c r="B847" i="100"/>
  <c r="C1103" i="100"/>
  <c r="C1049" i="100"/>
  <c r="B1857" i="100"/>
  <c r="Z114" i="99" a="1"/>
  <c r="C840" i="100"/>
  <c r="C18" i="100"/>
  <c r="B625" i="100"/>
  <c r="C619" i="100"/>
  <c r="C873" i="100"/>
  <c r="C1911" i="100"/>
  <c r="N89" i="99" a="1"/>
  <c r="C860" i="100"/>
  <c r="B1256" i="100"/>
  <c r="AP221" i="99" a="1"/>
  <c r="C727" i="100"/>
  <c r="B643" i="100"/>
  <c r="E273" i="99" a="1"/>
  <c r="AB13" i="99" a="1"/>
  <c r="B885" i="100"/>
  <c r="B108" i="100"/>
  <c r="B1719" i="100"/>
  <c r="C125" i="100"/>
  <c r="C1703" i="100"/>
  <c r="Y89" i="99" a="1"/>
  <c r="B1984" i="100"/>
  <c r="C1235" i="100"/>
  <c r="B1103" i="100"/>
  <c r="BM219" i="99" a="1"/>
  <c r="B1741" i="100"/>
  <c r="C156" i="100"/>
  <c r="G143" i="99" a="1"/>
  <c r="C1693" i="100"/>
  <c r="B622" i="100"/>
  <c r="C1979" i="100"/>
  <c r="B1052" i="100"/>
  <c r="C1883" i="100"/>
  <c r="C1195" i="100"/>
  <c r="C977" i="100"/>
  <c r="B73" i="100"/>
  <c r="B1721" i="100"/>
  <c r="C1136" i="100"/>
  <c r="C1270" i="100"/>
  <c r="AE60" i="99" a="1"/>
  <c r="B1866" i="100"/>
  <c r="B84" i="100"/>
  <c r="C62" i="100"/>
  <c r="B155" i="100"/>
  <c r="B97" i="100"/>
  <c r="C1166" i="100"/>
  <c r="C1249" i="100"/>
  <c r="C640" i="100"/>
  <c r="B551" i="100"/>
  <c r="C1912" i="100"/>
  <c r="AI114" i="99" a="1"/>
  <c r="K4" i="99" a="1"/>
  <c r="BF224" i="99" a="1"/>
  <c r="B1251" i="100"/>
  <c r="B1020" i="100"/>
  <c r="C1713" i="100"/>
  <c r="B1972" i="100"/>
  <c r="C69" i="100"/>
  <c r="B1736" i="100"/>
  <c r="C49" i="100"/>
  <c r="B1963" i="100"/>
  <c r="C1934" i="100"/>
  <c r="C63" i="100"/>
  <c r="C631" i="100"/>
  <c r="B936" i="100"/>
  <c r="C767" i="100"/>
  <c r="C1151" i="100"/>
  <c r="B734" i="100"/>
  <c r="C1127" i="100"/>
  <c r="M165" i="99" a="1"/>
  <c r="B1102" i="100"/>
  <c r="B814" i="100"/>
  <c r="B1946" i="100"/>
  <c r="C1892" i="100"/>
  <c r="O114" i="99" a="1"/>
  <c r="Y165" i="99" a="1"/>
  <c r="N35" i="99" a="1"/>
  <c r="B541" i="100"/>
  <c r="C665" i="100"/>
  <c r="B1167" i="100"/>
  <c r="C1888" i="100"/>
  <c r="B704" i="100"/>
  <c r="B1784" i="100"/>
  <c r="C1055" i="100"/>
  <c r="B1875" i="100"/>
  <c r="B967" i="100"/>
  <c r="C1091" i="100"/>
  <c r="B562" i="100"/>
  <c r="C1266" i="100"/>
  <c r="L341" i="99" a="1"/>
  <c r="B1883" i="100"/>
  <c r="C1555" i="100"/>
  <c r="C756" i="100"/>
  <c r="B145" i="100"/>
  <c r="B1706" i="100"/>
  <c r="C936" i="100"/>
  <c r="C1754" i="100"/>
  <c r="B889" i="100"/>
  <c r="C844" i="100"/>
  <c r="C910" i="100"/>
  <c r="B1935" i="100"/>
  <c r="C560" i="100"/>
  <c r="B1136" i="100"/>
  <c r="B1053" i="100"/>
  <c r="C1747" i="100"/>
  <c r="C1972" i="100"/>
  <c r="C612" i="100"/>
  <c r="B1947" i="100"/>
  <c r="B354" i="100"/>
  <c r="C883" i="100"/>
  <c r="D116" i="99" a="1"/>
  <c r="B713" i="100"/>
  <c r="G114" i="99" a="1"/>
  <c r="C1112" i="100"/>
  <c r="C642" i="100"/>
  <c r="B1244" i="100"/>
  <c r="B71" i="100"/>
  <c r="B1587" i="100"/>
  <c r="C70" i="100"/>
  <c r="C1120" i="100"/>
  <c r="B1586" i="100"/>
  <c r="B938" i="100"/>
  <c r="C1790" i="100"/>
  <c r="C1216" i="100"/>
  <c r="B861" i="100"/>
  <c r="C1060" i="100"/>
  <c r="B149" i="100"/>
  <c r="C1242" i="100"/>
  <c r="B993" i="100"/>
  <c r="C141" i="100"/>
  <c r="B134" i="100"/>
  <c r="B722" i="100"/>
  <c r="C813" i="100"/>
  <c r="C618" i="100"/>
  <c r="B1591" i="100"/>
  <c r="B1714" i="100"/>
  <c r="C1909" i="100"/>
  <c r="I165" i="99" a="1"/>
  <c r="B780" i="100"/>
  <c r="C801" i="100"/>
  <c r="C1915" i="100"/>
  <c r="C821" i="100"/>
  <c r="C1862" i="100"/>
  <c r="C679" i="100"/>
  <c r="AP224" i="99" a="1"/>
  <c r="B1172" i="100"/>
  <c r="B530" i="100"/>
  <c r="B1873" i="100"/>
  <c r="B1679" i="100"/>
  <c r="I360" i="99" a="1"/>
  <c r="C639" i="100"/>
  <c r="C914" i="100"/>
  <c r="B765" i="100"/>
  <c r="C379" i="99" a="1"/>
  <c r="C819" i="100"/>
  <c r="B1229" i="100"/>
  <c r="C1197" i="100"/>
  <c r="C99" i="100"/>
  <c r="J360" i="99" a="1"/>
  <c r="O143" i="99" a="1"/>
  <c r="B306" i="100"/>
  <c r="B1692" i="100"/>
  <c r="B1082" i="100"/>
  <c r="C381" i="99" a="1"/>
  <c r="C1740" i="100"/>
  <c r="B817" i="100"/>
  <c r="C672" i="100"/>
  <c r="I419" i="99" a="1"/>
  <c r="B1764" i="100"/>
  <c r="B1831" i="100"/>
  <c r="B771" i="100"/>
  <c r="B123" i="100"/>
  <c r="C1063" i="100"/>
  <c r="E91" i="99" a="1"/>
  <c r="B674" i="100"/>
  <c r="C1667" i="100"/>
  <c r="C1556" i="100"/>
  <c r="C64" i="100"/>
  <c r="B812" i="100"/>
  <c r="B542" i="100"/>
  <c r="C908" i="100"/>
  <c r="C926" i="100"/>
  <c r="F224" i="99" a="1"/>
  <c r="V362" i="99" a="1"/>
  <c r="B1670" i="100"/>
  <c r="B949" i="100"/>
  <c r="B943" i="100"/>
  <c r="C985" i="100"/>
  <c r="C97" i="100"/>
  <c r="C1964" i="100"/>
  <c r="B845" i="100"/>
  <c r="C1269" i="100"/>
  <c r="C852" i="100"/>
  <c r="AI60" i="99" a="1"/>
  <c r="C1864" i="100"/>
  <c r="C1204" i="100"/>
  <c r="C576" i="100"/>
  <c r="C157" i="100"/>
  <c r="B1748" i="100"/>
  <c r="C151" i="100"/>
  <c r="B1188" i="100"/>
  <c r="B729" i="100"/>
  <c r="C947" i="100"/>
  <c r="B1612" i="100"/>
  <c r="C1034" i="100"/>
  <c r="B827" i="100"/>
  <c r="C51" i="100"/>
  <c r="B1920" i="100"/>
  <c r="C121" i="100"/>
  <c r="C901" i="100"/>
  <c r="B1674" i="100"/>
  <c r="C1724" i="100"/>
  <c r="C75" i="100"/>
  <c r="C933" i="100"/>
  <c r="B1194" i="100"/>
  <c r="AI165" i="99" a="1"/>
  <c r="B35" i="100"/>
  <c r="C124" i="100"/>
  <c r="B785" i="100"/>
  <c r="V381" i="99" a="1"/>
  <c r="X398" i="99" a="1"/>
  <c r="B922" i="100"/>
  <c r="C1176" i="100"/>
  <c r="B1865" i="100"/>
  <c r="B30" i="100"/>
  <c r="C118" i="100"/>
  <c r="B795" i="100"/>
  <c r="W380" i="99" a="1"/>
  <c r="C869" i="100"/>
  <c r="AH190" i="99" a="1"/>
  <c r="B88" i="100"/>
  <c r="C1271" i="100"/>
  <c r="B1901" i="100"/>
  <c r="C1255" i="100"/>
  <c r="B1114" i="100"/>
  <c r="C1884" i="100"/>
  <c r="C324" i="99" a="1"/>
  <c r="C1876" i="100"/>
  <c r="B537" i="100"/>
  <c r="B919" i="100"/>
  <c r="C779" i="100"/>
  <c r="C704" i="100"/>
  <c r="C1163" i="100"/>
  <c r="C687" i="100"/>
  <c r="C558" i="100"/>
  <c r="B143" i="100"/>
  <c r="C775" i="100"/>
  <c r="M244" i="99" a="1"/>
  <c r="B989" i="100"/>
  <c r="B599" i="100"/>
  <c r="I288" i="99" a="1"/>
  <c r="C1615" i="100"/>
  <c r="C1841" i="100"/>
  <c r="C783" i="100"/>
  <c r="B1975" i="100"/>
  <c r="C100" i="100"/>
  <c r="F167" i="99" a="1"/>
  <c r="G244" i="99" a="1"/>
  <c r="AD60" i="99" a="1"/>
  <c r="C1131" i="100"/>
  <c r="B638" i="100"/>
  <c r="B1196" i="100"/>
  <c r="C1983" i="100"/>
  <c r="AC360" i="99" a="1"/>
  <c r="C294" i="100"/>
  <c r="C716" i="100"/>
  <c r="C676" i="100"/>
  <c r="C907" i="100"/>
  <c r="C1061" i="100"/>
  <c r="B1725" i="100"/>
  <c r="C1822" i="100"/>
  <c r="W39" i="99" a="1"/>
  <c r="C1898" i="100"/>
  <c r="C629" i="100"/>
  <c r="C1276" i="100"/>
  <c r="C1046" i="100"/>
  <c r="B115" i="100"/>
  <c r="B80" i="100"/>
  <c r="B34" i="100"/>
  <c r="G62" i="99"/>
  <c r="C753" i="100"/>
  <c r="C646" i="100"/>
  <c r="C721" i="100"/>
  <c r="D402" i="99" a="1"/>
  <c r="B1197" i="100"/>
  <c r="B1104" i="100"/>
  <c r="B874" i="100"/>
  <c r="W93" i="99" a="1"/>
  <c r="C709" i="100"/>
  <c r="C1932" i="100"/>
  <c r="C761" i="100"/>
  <c r="AB219" i="99" a="1"/>
  <c r="C1044" i="100"/>
  <c r="C1165" i="100"/>
  <c r="M360" i="99" a="1"/>
  <c r="C1707" i="100"/>
  <c r="B1976" i="100"/>
  <c r="C1743" i="100"/>
  <c r="B716" i="100"/>
  <c r="B1596" i="100"/>
  <c r="B1048" i="100"/>
  <c r="B1966" i="100"/>
  <c r="G37" i="99" a="1"/>
  <c r="C798" i="100"/>
  <c r="B681" i="100"/>
  <c r="B1009" i="100"/>
  <c r="C876" i="100"/>
  <c r="B1924" i="100"/>
  <c r="C875" i="100"/>
  <c r="BW224" i="99" a="1"/>
  <c r="C383" i="99" a="1"/>
  <c r="Z143" i="99" a="1"/>
  <c r="C1946" i="100"/>
  <c r="C1675" i="100"/>
  <c r="B1934" i="100"/>
  <c r="C15" i="100"/>
  <c r="C1612" i="100"/>
  <c r="C414" i="100"/>
  <c r="B1951" i="100"/>
  <c r="B1589" i="100"/>
  <c r="C1138" i="100"/>
  <c r="B1722" i="100"/>
  <c r="B544" i="100"/>
  <c r="B1848" i="100"/>
  <c r="C881" i="100"/>
  <c r="B1787" i="100"/>
  <c r="B724" i="100"/>
  <c r="C102" i="100"/>
  <c r="Z398" i="99" a="1"/>
  <c r="C890" i="100"/>
  <c r="B1100" i="100"/>
  <c r="C1827" i="100"/>
  <c r="C841" i="100"/>
  <c r="C1064" i="100"/>
  <c r="B773" i="100"/>
  <c r="C79" i="100"/>
  <c r="C825" i="100"/>
  <c r="B1269" i="100"/>
  <c r="C669" i="100"/>
  <c r="D307" i="99" a="1"/>
  <c r="E380" i="99" a="1"/>
  <c r="C804" i="100"/>
  <c r="X93" i="99" a="1"/>
  <c r="W273" i="99" a="1"/>
  <c r="AT219" i="99" a="1"/>
  <c r="B1187" i="100"/>
  <c r="C1820" i="100"/>
  <c r="M398" i="99" a="1"/>
  <c r="AD219" i="99" a="1"/>
  <c r="B156" i="100"/>
  <c r="C1213" i="100"/>
  <c r="C1642" i="100"/>
  <c r="C1150" i="100"/>
  <c r="B144" i="100"/>
  <c r="AC377" i="99" a="1"/>
  <c r="B1594" i="100"/>
  <c r="B1872" i="100"/>
  <c r="B831" i="100"/>
  <c r="B570" i="100"/>
  <c r="C1750" i="100"/>
  <c r="B1110" i="100"/>
  <c r="K271" i="99" a="1"/>
  <c r="B710" i="100"/>
  <c r="B1099" i="100"/>
  <c r="C1917" i="100"/>
  <c r="C1025" i="100"/>
  <c r="BY219" i="99" a="1"/>
  <c r="C893" i="100"/>
  <c r="C1837" i="100"/>
  <c r="E383" i="99" a="1"/>
  <c r="C614" i="100"/>
  <c r="C1799" i="100"/>
  <c r="P4" i="99" a="1"/>
  <c r="V192" i="99" a="1"/>
  <c r="C758" i="100"/>
  <c r="C866" i="100"/>
  <c r="B559" i="100"/>
  <c r="C1090" i="100"/>
  <c r="C1971" i="100"/>
  <c r="C1901" i="100"/>
  <c r="C1673" i="100"/>
  <c r="B1113" i="100"/>
  <c r="V169" i="99" a="1"/>
  <c r="G419" i="99" a="1"/>
  <c r="B1742" i="100"/>
  <c r="C1568" i="100"/>
  <c r="B1839" i="100"/>
  <c r="B856" i="100"/>
  <c r="AN221" i="99" a="1"/>
  <c r="I13" i="99" a="1"/>
  <c r="C1081" i="100"/>
  <c r="C1795" i="100"/>
  <c r="C1583" i="100"/>
  <c r="B1871" i="100"/>
  <c r="C1977" i="100"/>
  <c r="C916" i="100"/>
  <c r="B26" i="100"/>
  <c r="C551" i="100"/>
  <c r="C1828" i="100"/>
  <c r="Y271" i="99" a="1"/>
  <c r="B1062" i="100"/>
  <c r="AB62" i="99" a="1"/>
  <c r="B608" i="100"/>
  <c r="B1193" i="100"/>
  <c r="B609" i="100"/>
  <c r="C1145" i="100"/>
  <c r="B723" i="100"/>
  <c r="C1613" i="100"/>
  <c r="C677" i="100"/>
  <c r="C1121" i="100"/>
  <c r="C855" i="100"/>
  <c r="C146" i="100"/>
  <c r="B610" i="100"/>
  <c r="B1554" i="100"/>
  <c r="C596" i="100"/>
  <c r="C566" i="100"/>
  <c r="B1145" i="100"/>
  <c r="C992" i="100"/>
  <c r="B121" i="100"/>
  <c r="B1213" i="100"/>
  <c r="C980" i="100"/>
  <c r="C571" i="100"/>
  <c r="C93" i="100"/>
  <c r="B1258" i="100"/>
  <c r="O13" i="99" a="1"/>
  <c r="B575" i="100"/>
  <c r="C1066" i="100"/>
  <c r="C1866" i="100"/>
  <c r="C1129" i="100"/>
  <c r="B1184" i="100"/>
  <c r="B825" i="100"/>
  <c r="C810" i="100"/>
  <c r="B692" i="100"/>
  <c r="AA219" i="99" a="1"/>
  <c r="C598" i="100"/>
  <c r="D169" i="99" a="1"/>
  <c r="C1201" i="100"/>
  <c r="C580" i="100"/>
  <c r="O165" i="99" a="1"/>
  <c r="B1812" i="100"/>
  <c r="BO219" i="99" a="1"/>
  <c r="B824" i="100"/>
  <c r="C1227" i="100"/>
  <c r="C764" i="100"/>
  <c r="B587" i="100"/>
  <c r="B788" i="100"/>
  <c r="C1871" i="100"/>
  <c r="B742" i="100"/>
  <c r="C1988" i="100"/>
  <c r="B1182" i="100"/>
  <c r="C1914" i="100"/>
  <c r="C1643" i="100"/>
  <c r="F246" i="99" a="1"/>
  <c r="C1669" i="100"/>
  <c r="C1100" i="100"/>
  <c r="B892" i="100"/>
  <c r="B1867" i="100"/>
  <c r="B1017" i="100"/>
  <c r="C1062" i="100"/>
  <c r="C759" i="100"/>
  <c r="H89" i="99" a="1"/>
  <c r="E62" i="99" a="1"/>
  <c r="C1222" i="100"/>
  <c r="C1785" i="100"/>
  <c r="V379" i="99" a="1"/>
  <c r="C1907" i="100"/>
  <c r="N4" i="99" a="1"/>
  <c r="C1954" i="100"/>
  <c r="B532" i="100"/>
  <c r="C752" i="100"/>
  <c r="C28" i="100"/>
  <c r="B1267" i="100"/>
  <c r="B1702" i="100"/>
  <c r="C864" i="100"/>
  <c r="C561" i="100"/>
  <c r="B1863" i="100"/>
  <c r="B933" i="100"/>
  <c r="U273" i="99" a="1"/>
  <c r="D93" i="99" a="1"/>
  <c r="B759" i="100"/>
  <c r="E221" i="99" a="1"/>
  <c r="C826" i="100"/>
  <c r="B1228" i="100"/>
  <c r="C1027" i="100"/>
  <c r="AC143" i="99" a="1"/>
  <c r="B1247" i="100"/>
  <c r="X192" i="99"/>
  <c r="B64" i="100"/>
  <c r="AD35" i="99" a="1"/>
  <c r="B1192" i="100"/>
  <c r="C995" i="100"/>
  <c r="C66" i="100"/>
  <c r="C921" i="100"/>
  <c r="C1804" i="100"/>
  <c r="B1077" i="100"/>
  <c r="C59" i="100"/>
  <c r="B1802" i="100"/>
  <c r="B1791" i="100"/>
  <c r="C1921" i="100"/>
  <c r="B927" i="100"/>
  <c r="B118" i="100"/>
  <c r="B963" i="100"/>
  <c r="C769" i="100"/>
  <c r="B1847" i="100"/>
  <c r="B1060" i="100"/>
  <c r="B1675" i="100"/>
  <c r="B838" i="100"/>
  <c r="Y143" i="99" a="1"/>
  <c r="C36" i="100"/>
  <c r="C808" i="100"/>
  <c r="I271" i="99" a="1"/>
  <c r="C946" i="100"/>
  <c r="B1246" i="100"/>
  <c r="C636" i="100"/>
  <c r="Y116" i="99" a="1"/>
  <c r="C984" i="100"/>
  <c r="C817" i="100"/>
  <c r="B990" i="100"/>
  <c r="B1898" i="100"/>
  <c r="C1189" i="100"/>
  <c r="K360" i="99" a="1"/>
  <c r="B1798" i="100"/>
  <c r="B653" i="100"/>
  <c r="X224" i="99" a="1"/>
  <c r="U362" i="99" a="1"/>
  <c r="B1090" i="100"/>
  <c r="B832" i="100"/>
  <c r="C1048" i="100"/>
  <c r="C1755" i="100"/>
  <c r="N5" i="99" a="1"/>
  <c r="B1669" i="100"/>
  <c r="C1881" i="100"/>
  <c r="B851" i="100"/>
  <c r="B834" i="100"/>
  <c r="C750" i="100"/>
  <c r="BX224" i="99" a="1"/>
  <c r="C1263" i="100"/>
  <c r="C610" i="100"/>
  <c r="C964" i="100"/>
  <c r="B1785" i="100"/>
  <c r="C786" i="100"/>
  <c r="B858" i="100"/>
  <c r="Z221" i="99" a="1"/>
  <c r="B637" i="100"/>
  <c r="B550" i="100"/>
  <c r="B1864" i="100"/>
  <c r="B837" i="100"/>
  <c r="B342" i="100"/>
  <c r="C755" i="100"/>
  <c r="B1726" i="100"/>
  <c r="B1057" i="100"/>
  <c r="B663" i="100"/>
  <c r="B1033" i="100"/>
  <c r="B799" i="100"/>
  <c r="B1892" i="100"/>
  <c r="C624" i="100"/>
  <c r="C1836" i="100"/>
  <c r="C1781" i="100"/>
  <c r="C1960" i="100"/>
  <c r="C920" i="100"/>
  <c r="C956" i="100"/>
  <c r="B1806" i="100"/>
  <c r="B62" i="100"/>
  <c r="H360" i="99" a="1"/>
  <c r="B980" i="100"/>
  <c r="C814" i="100"/>
  <c r="B1075" i="100"/>
  <c r="C85" i="100"/>
  <c r="B1729" i="100"/>
  <c r="C1676" i="100"/>
  <c r="B1705" i="100"/>
  <c r="B1673" i="100"/>
  <c r="B1952" i="100"/>
  <c r="B839" i="100"/>
  <c r="C1067" i="100"/>
  <c r="AF377" i="99" a="1"/>
  <c r="B596" i="100"/>
  <c r="C747" i="100"/>
  <c r="B857" i="100"/>
  <c r="C1682" i="100"/>
  <c r="I305" i="99" a="1"/>
  <c r="B1210" i="100"/>
  <c r="C498" i="100"/>
  <c r="C822" i="100"/>
  <c r="B1929" i="100"/>
  <c r="C1089" i="100"/>
  <c r="B972" i="100"/>
  <c r="C1711" i="100"/>
  <c r="C638" i="100"/>
  <c r="B793" i="100"/>
  <c r="N60" i="99" a="1"/>
  <c r="AC35" i="99" a="1"/>
  <c r="C1232" i="100"/>
  <c r="P114" i="99" a="1"/>
  <c r="B911" i="100"/>
  <c r="B318" i="100"/>
  <c r="C1850" i="100"/>
  <c r="C663" i="100"/>
  <c r="AD398" i="99" a="1"/>
  <c r="C850" i="100"/>
  <c r="C1745" i="100"/>
  <c r="C741" i="100"/>
  <c r="C34" i="100"/>
  <c r="AD190" i="99" a="1"/>
  <c r="W382" i="99" a="1"/>
  <c r="C1858" i="100"/>
  <c r="C1814" i="100"/>
  <c r="AB114" i="99" a="1"/>
  <c r="B1071" i="100"/>
  <c r="F37" i="99" a="1"/>
  <c r="B1584" i="100"/>
  <c r="BW223" i="99" a="1"/>
  <c r="C906" i="100"/>
  <c r="C1072" i="100"/>
  <c r="B522" i="100"/>
  <c r="N7" i="99" a="1"/>
  <c r="B1089" i="100"/>
  <c r="C617" i="100"/>
  <c r="C1021" i="100"/>
  <c r="C1838" i="100"/>
  <c r="C731" i="100"/>
  <c r="M288" i="99" a="1"/>
  <c r="AF13" i="99" a="1"/>
  <c r="B1795" i="100"/>
  <c r="C1056" i="100"/>
  <c r="B1152" i="100"/>
  <c r="B975" i="100"/>
  <c r="C1984" i="100"/>
  <c r="C541" i="100"/>
  <c r="W221" i="99" a="1"/>
  <c r="P244" i="99" a="1"/>
  <c r="C73" i="100"/>
  <c r="C1978" i="100"/>
  <c r="C848" i="100"/>
  <c r="B647" i="100"/>
  <c r="B1007" i="100"/>
  <c r="B1116" i="100"/>
  <c r="C1698" i="100"/>
  <c r="AE190" i="99" a="1"/>
  <c r="N165" i="99" a="1"/>
  <c r="C1268" i="100"/>
  <c r="B1789" i="100"/>
  <c r="D248" i="99" a="1"/>
  <c r="C540" i="100"/>
  <c r="C1933" i="100"/>
  <c r="B378" i="100"/>
  <c r="BQ219" i="99" a="1"/>
  <c r="B634" i="100"/>
  <c r="C581" i="100"/>
  <c r="B947" i="100"/>
  <c r="B99" i="100"/>
  <c r="AO224" i="99" a="1"/>
  <c r="B720" i="100"/>
  <c r="C967" i="100"/>
  <c r="B931" i="100"/>
  <c r="B979" i="100"/>
  <c r="U379" i="99" a="1"/>
  <c r="B777" i="100"/>
  <c r="BL219" i="99" a="1"/>
  <c r="Y62" i="99"/>
  <c r="B1214" i="100"/>
  <c r="C867" i="100"/>
  <c r="C131" i="100"/>
  <c r="C530" i="100"/>
  <c r="B705" i="100"/>
  <c r="L13" i="99" a="1"/>
  <c r="C103" i="100"/>
  <c r="B1006" i="100"/>
  <c r="C1029" i="100"/>
  <c r="W116" i="99"/>
  <c r="B1059" i="100"/>
  <c r="H322" i="99" a="1"/>
  <c r="B981" i="100"/>
  <c r="B775" i="100"/>
  <c r="B994" i="100"/>
  <c r="M114" i="99" a="1"/>
  <c r="C1969" i="100"/>
  <c r="C112" i="100"/>
  <c r="C766" i="100"/>
  <c r="B1874" i="100"/>
  <c r="B894" i="100"/>
  <c r="B988" i="100"/>
  <c r="B1131" i="100"/>
  <c r="C1130" i="100"/>
  <c r="C1597" i="100"/>
  <c r="B536" i="100"/>
  <c r="L143" i="99" a="1"/>
  <c r="B19" i="100"/>
  <c r="BZ219" i="99" a="1"/>
  <c r="B745" i="100"/>
  <c r="B1862" i="100"/>
  <c r="AA13" i="99" a="1"/>
  <c r="C1744" i="100"/>
  <c r="C1157" i="100"/>
  <c r="C1720" i="100"/>
  <c r="B1905" i="100"/>
  <c r="B546" i="100"/>
  <c r="CD219" i="99" a="1"/>
  <c r="B1801" i="100"/>
  <c r="CC221" i="99" a="1"/>
  <c r="C1038" i="100"/>
  <c r="C1221" i="100"/>
  <c r="C877" i="100"/>
  <c r="B689" i="100"/>
  <c r="U382" i="99" a="1"/>
  <c r="C1671" i="100"/>
  <c r="C1193" i="100"/>
  <c r="C962" i="100"/>
  <c r="AD360" i="99" a="1"/>
  <c r="C1722" i="100"/>
  <c r="C662" i="100"/>
  <c r="C998" i="100"/>
  <c r="CE219" i="99" a="1"/>
  <c r="C1124" i="100"/>
  <c r="B962" i="100"/>
  <c r="B871" i="100"/>
  <c r="H356" i="99" a="1"/>
  <c r="BG224" i="99" a="1"/>
  <c r="B1845" i="100"/>
  <c r="C630" i="100"/>
  <c r="C148" i="100"/>
  <c r="B32" i="100"/>
  <c r="B402" i="100"/>
  <c r="C1874" i="100"/>
  <c r="C760" i="100"/>
  <c r="C655" i="100"/>
  <c r="B796" i="100"/>
  <c r="C77" i="100"/>
  <c r="C1567" i="100"/>
  <c r="C546" i="100"/>
  <c r="B1818" i="100"/>
  <c r="C1729" i="100"/>
  <c r="C1175" i="100"/>
  <c r="B867" i="100"/>
  <c r="B1844" i="100"/>
  <c r="C1925" i="100"/>
  <c r="C1557" i="100"/>
  <c r="H271" i="99" a="1"/>
  <c r="BH219" i="99" a="1"/>
  <c r="C1241" i="100"/>
  <c r="B553" i="100"/>
  <c r="C390" i="100"/>
  <c r="B1148" i="100"/>
  <c r="B904" i="100"/>
  <c r="B585" i="100"/>
  <c r="B390" i="100"/>
  <c r="C1205" i="100"/>
  <c r="C874" i="100"/>
  <c r="I60" i="99" a="1"/>
  <c r="C656" i="100"/>
  <c r="P60" i="99" a="1"/>
  <c r="B1218" i="100"/>
  <c r="C667" i="100"/>
  <c r="C922" i="100"/>
  <c r="B995" i="100"/>
  <c r="B545" i="100"/>
  <c r="C1842" i="100"/>
  <c r="AN223" i="99" a="1"/>
  <c r="B807" i="100"/>
  <c r="C1687" i="100"/>
  <c r="B727" i="100"/>
  <c r="C1730" i="100"/>
  <c r="C545" i="100"/>
  <c r="O190" i="99" a="1"/>
  <c r="B1979" i="100"/>
  <c r="C1973" i="100"/>
  <c r="I341" i="99" a="1"/>
  <c r="V39" i="99" a="1"/>
  <c r="C1012" i="100"/>
  <c r="C666" i="100"/>
  <c r="B601" i="100"/>
  <c r="B1851" i="100"/>
  <c r="B717" i="100"/>
  <c r="B1180" i="100"/>
  <c r="B852" i="100"/>
  <c r="C888" i="100"/>
  <c r="B54" i="100"/>
  <c r="C762" i="100"/>
  <c r="C829" i="100"/>
  <c r="C1115" i="100"/>
  <c r="C81" i="100"/>
  <c r="C782" i="100"/>
  <c r="C892" i="100"/>
  <c r="B1001" i="100"/>
  <c r="C1142" i="100"/>
  <c r="AU221" i="99" a="1"/>
  <c r="C803" i="100"/>
  <c r="B142" i="100"/>
  <c r="C60" i="100"/>
  <c r="AH143" i="99" a="1"/>
  <c r="B1026" i="100"/>
  <c r="C91" i="100"/>
  <c r="B132" i="100"/>
  <c r="C573" i="100"/>
  <c r="B1223" i="100"/>
  <c r="C318" i="100"/>
  <c r="C938" i="100"/>
  <c r="B671" i="100"/>
  <c r="B1899" i="100"/>
  <c r="C957" i="100"/>
  <c r="B872" i="100"/>
  <c r="C951" i="100"/>
  <c r="B1841" i="100"/>
  <c r="C1160" i="100"/>
  <c r="B20" i="100"/>
  <c r="C807" i="100"/>
  <c r="C1904" i="100"/>
  <c r="I322" i="99" a="1"/>
  <c r="B1788" i="100"/>
  <c r="J288" i="99" a="1"/>
  <c r="AB360" i="99" a="1"/>
  <c r="B690" i="100"/>
  <c r="B1174" i="100"/>
  <c r="B1273" i="100"/>
  <c r="B16" i="100"/>
  <c r="B24" i="100"/>
  <c r="C730" i="100"/>
  <c r="C787" i="100"/>
  <c r="C1111" i="100"/>
  <c r="B78" i="100"/>
  <c r="C1916" i="100"/>
  <c r="C800" i="100"/>
  <c r="B987" i="100"/>
  <c r="B1091" i="100"/>
  <c r="C627" i="100"/>
  <c r="C1057" i="100"/>
  <c r="B1718" i="100"/>
  <c r="B1019" i="100"/>
  <c r="C602" i="100"/>
  <c r="C86" i="100"/>
  <c r="BE221" i="99" a="1"/>
  <c r="C628" i="100"/>
  <c r="C935" i="100"/>
  <c r="B767" i="100"/>
  <c r="B1922" i="100"/>
  <c r="C88" i="100"/>
  <c r="B568" i="100"/>
  <c r="C611" i="100"/>
  <c r="B721" i="100"/>
  <c r="C774" i="100"/>
  <c r="B1134" i="100"/>
  <c r="C1833" i="100"/>
  <c r="B1778" i="100"/>
  <c r="C126" i="100"/>
  <c r="E398" i="99" a="1"/>
  <c r="B679" i="100"/>
  <c r="B1189" i="100"/>
  <c r="B555" i="100"/>
  <c r="C1598" i="100"/>
  <c r="C942" i="100"/>
  <c r="B533" i="100"/>
  <c r="B1777" i="100"/>
  <c r="K190" i="99" a="1"/>
  <c r="C1709" i="100"/>
  <c r="I143" i="99" a="1"/>
  <c r="B1896" i="100"/>
  <c r="B1918" i="100"/>
  <c r="B1967" i="100"/>
  <c r="Y35" i="99" a="1"/>
  <c r="C1256" i="100"/>
  <c r="C1053" i="100"/>
  <c r="C685" i="100"/>
  <c r="G167" i="99" a="1"/>
  <c r="C773" i="100"/>
  <c r="C382" i="99" a="1"/>
  <c r="V15" i="99" a="1"/>
  <c r="C930" i="100"/>
  <c r="C991" i="100"/>
  <c r="B1599" i="100"/>
  <c r="B1727" i="100"/>
  <c r="C809" i="100"/>
  <c r="B1882" i="100"/>
  <c r="C1600" i="100"/>
  <c r="C680" i="100"/>
  <c r="F192" i="99"/>
  <c r="B141" i="100"/>
  <c r="B830" i="100"/>
  <c r="F419" i="99" a="1"/>
  <c r="BZ221" i="99" a="1"/>
  <c r="B1037" i="100"/>
  <c r="B1039" i="100"/>
  <c r="C872" i="100"/>
  <c r="C1010" i="100"/>
  <c r="B1260" i="100"/>
  <c r="C1727" i="100"/>
  <c r="C134" i="100"/>
  <c r="C1762" i="100"/>
  <c r="B693" i="100"/>
  <c r="C106" i="100"/>
  <c r="Y360" i="99" a="1"/>
  <c r="C1936" i="100"/>
  <c r="D401" i="99" a="1"/>
  <c r="C1681" i="100"/>
  <c r="B1072" i="100"/>
  <c r="C1886" i="100"/>
  <c r="C1905" i="100"/>
  <c r="C1192" i="100"/>
  <c r="AH219" i="99" a="1"/>
  <c r="B1166" i="100"/>
  <c r="B1050" i="100"/>
  <c r="C1149" i="100"/>
  <c r="B946" i="100"/>
  <c r="B1757" i="100"/>
  <c r="AB143" i="99" a="1"/>
  <c r="B1044" i="100"/>
  <c r="AC219" i="99" a="1"/>
  <c r="C1569" i="100"/>
  <c r="C1959" i="100"/>
  <c r="B573" i="100"/>
  <c r="C1154" i="100"/>
  <c r="B86" i="100"/>
  <c r="B1224" i="100"/>
  <c r="B1796" i="100"/>
  <c r="C1683" i="100"/>
  <c r="C987" i="100"/>
  <c r="B900" i="100"/>
  <c r="B63" i="100"/>
  <c r="B675" i="100"/>
  <c r="B1986" i="100"/>
  <c r="C559" i="100"/>
  <c r="B1248" i="100"/>
  <c r="B1776" i="100"/>
  <c r="C950" i="100"/>
  <c r="B157" i="100"/>
  <c r="C1794" i="100"/>
  <c r="C1721" i="100"/>
  <c r="Q219" i="99" a="1"/>
  <c r="C1958" i="100"/>
  <c r="B644" i="100"/>
  <c r="B888" i="100"/>
  <c r="B676" i="100"/>
  <c r="B877" i="100"/>
  <c r="Z360" i="99" a="1"/>
  <c r="E37" i="99" a="1"/>
  <c r="X221" i="99" a="1"/>
  <c r="Y377" i="99" a="1"/>
  <c r="C120" i="100"/>
  <c r="B665" i="100"/>
  <c r="B598" i="100"/>
  <c r="B977" i="100"/>
  <c r="B131" i="100"/>
  <c r="B1761" i="100"/>
  <c r="C772" i="100"/>
  <c r="B1597" i="100"/>
  <c r="C9" i="100"/>
  <c r="C1784" i="100"/>
  <c r="B1241" i="100"/>
  <c r="B1150" i="100"/>
  <c r="B879" i="100"/>
  <c r="C1614" i="100"/>
  <c r="B1890" i="100"/>
  <c r="B1027" i="100"/>
  <c r="Y91" i="99" a="1"/>
  <c r="C626" i="100"/>
  <c r="Z190" i="99" a="1"/>
  <c r="V402" i="99" a="1"/>
  <c r="K60" i="99" a="1"/>
  <c r="B1219" i="100"/>
  <c r="B1686" i="100"/>
  <c r="C1237" i="100"/>
  <c r="B600" i="100"/>
  <c r="B1869" i="100"/>
  <c r="K377" i="99" a="1"/>
  <c r="C1859" i="100"/>
  <c r="AB89" i="99" a="1"/>
  <c r="C1215" i="100"/>
  <c r="C1155" i="100"/>
  <c r="B1101" i="100"/>
  <c r="W167" i="99" a="1"/>
  <c r="C788" i="100"/>
  <c r="C726" i="100"/>
  <c r="AD114" i="99" a="1"/>
  <c r="C1092" i="100"/>
  <c r="B1684" i="100"/>
  <c r="C973" i="100"/>
  <c r="C1935" i="100"/>
  <c r="C1156" i="100"/>
  <c r="C1789" i="100"/>
  <c r="B1852" i="100"/>
  <c r="B1970" i="100"/>
  <c r="C87" i="100"/>
  <c r="C889" i="100"/>
  <c r="C35" i="100"/>
  <c r="B1074" i="100"/>
  <c r="B928" i="100"/>
  <c r="C780" i="100"/>
  <c r="BI219" i="99" a="1"/>
  <c r="C1734" i="100"/>
  <c r="B1792" i="100"/>
  <c r="B1807" i="100"/>
  <c r="B1710" i="100"/>
  <c r="AH13" i="99" a="1"/>
  <c r="B1171" i="100"/>
  <c r="B1073" i="100"/>
  <c r="C1918" i="100"/>
  <c r="C1039" i="100"/>
  <c r="C1768" i="100"/>
  <c r="B1010" i="100"/>
  <c r="B70" i="100"/>
  <c r="C1689" i="100"/>
  <c r="C641" i="100"/>
  <c r="C1776" i="100"/>
  <c r="C1668" i="100"/>
  <c r="B128" i="100"/>
  <c r="B605" i="100"/>
  <c r="J190" i="99" a="1"/>
  <c r="C1109" i="100"/>
  <c r="B683" i="100"/>
  <c r="C1985" i="100"/>
  <c r="B1703" i="100"/>
  <c r="C923" i="100"/>
  <c r="C1771" i="100"/>
  <c r="B1023" i="100"/>
  <c r="L288" i="99" a="1"/>
  <c r="B1982" i="100"/>
  <c r="B703" i="100"/>
  <c r="C853" i="100"/>
  <c r="B148" i="100"/>
  <c r="C827" i="100"/>
  <c r="C1137" i="100"/>
  <c r="B1164" i="100"/>
  <c r="B809" i="100"/>
  <c r="B961" i="100"/>
  <c r="B1704" i="100"/>
  <c r="B1836" i="100"/>
  <c r="C107" i="100"/>
  <c r="C601" i="100"/>
  <c r="Y167" i="99" a="1"/>
  <c r="B630" i="100"/>
  <c r="C902" i="100"/>
  <c r="B1914" i="100"/>
  <c r="B151" i="100"/>
  <c r="C1140" i="100"/>
  <c r="B1201" i="100"/>
  <c r="C1980" i="100"/>
  <c r="B1977" i="100"/>
  <c r="C1278" i="100"/>
  <c r="B664" i="100"/>
  <c r="B1945" i="100"/>
  <c r="B1912" i="100"/>
  <c r="N244" i="99" a="1"/>
  <c r="B1750" i="100"/>
  <c r="B1142" i="100"/>
  <c r="B921" i="100"/>
  <c r="B1723" i="100"/>
  <c r="C1172" i="100"/>
  <c r="C1705" i="100"/>
  <c r="C1910" i="100"/>
  <c r="B1616" i="100"/>
  <c r="C1832" i="100"/>
  <c r="C858" i="100"/>
  <c r="C95" i="100"/>
  <c r="C1824" i="100"/>
  <c r="C1872" i="100"/>
  <c r="C579" i="100"/>
  <c r="B1712" i="100"/>
  <c r="D221" i="99" a="1"/>
  <c r="C681" i="100"/>
  <c r="C1717" i="100"/>
  <c r="AA89" i="99" a="1"/>
  <c r="C1806" i="100"/>
  <c r="C145" i="100"/>
  <c r="B1813" i="100"/>
  <c r="C342" i="100"/>
  <c r="C1716" i="100"/>
  <c r="B1974" i="100"/>
  <c r="B618" i="100"/>
  <c r="C132" i="100"/>
  <c r="B1724" i="100"/>
  <c r="I35" i="99" a="1"/>
  <c r="B1216" i="100"/>
  <c r="C1738" i="100"/>
  <c r="B700" i="100"/>
  <c r="C635" i="100"/>
  <c r="B1983" i="100"/>
  <c r="O89" i="99" a="1"/>
  <c r="C1894" i="100"/>
  <c r="C1882" i="100"/>
  <c r="B864" i="100"/>
  <c r="B640" i="100"/>
  <c r="C979" i="100"/>
  <c r="B1697" i="100"/>
  <c r="C811" i="100"/>
  <c r="E246" i="99" a="1"/>
  <c r="C1887" i="100"/>
  <c r="B1271" i="100"/>
  <c r="C1902" i="100"/>
  <c r="B1745" i="100"/>
  <c r="AD271" i="99" a="1"/>
  <c r="E377" i="99" a="1"/>
  <c r="C1186" i="100"/>
  <c r="BE223" i="99" a="1"/>
  <c r="B1667" i="100"/>
  <c r="B1257" i="100"/>
  <c r="C976" i="100"/>
  <c r="C1956" i="100"/>
  <c r="B984" i="100"/>
  <c r="AF114" i="99" a="1"/>
  <c r="J322" i="99" a="1"/>
  <c r="P7" i="99" a="1"/>
  <c r="L89" i="99" a="1"/>
  <c r="B552" i="100"/>
  <c r="B1049" i="100"/>
  <c r="B1809" i="100"/>
  <c r="B1700" i="100"/>
  <c r="AA60" i="99" a="1"/>
  <c r="C1028" i="100"/>
  <c r="C903" i="100"/>
  <c r="B896" i="100"/>
  <c r="B906" i="100"/>
  <c r="CB219" i="99" a="1"/>
  <c r="B1161" i="100"/>
  <c r="D246" i="99" a="1"/>
  <c r="C661" i="100"/>
  <c r="C1019" i="100"/>
  <c r="C1586" i="100"/>
  <c r="D379" i="99" a="1"/>
  <c r="K114" i="99" a="1"/>
  <c r="B753" i="100"/>
  <c r="B821" i="100"/>
  <c r="B1832" i="100"/>
  <c r="P6" i="99" a="1"/>
  <c r="C836" i="100"/>
  <c r="C56" i="100"/>
  <c r="B1212" i="100"/>
  <c r="C1093" i="100"/>
  <c r="C1839" i="100"/>
  <c r="D362" i="99" a="1"/>
  <c r="B1160" i="100"/>
  <c r="B74" i="100"/>
  <c r="B881" i="100"/>
  <c r="C1116" i="100"/>
  <c r="C1809" i="100"/>
  <c r="C1845" i="100"/>
  <c r="B658" i="100"/>
  <c r="B1853" i="100"/>
  <c r="AF60" i="99" a="1"/>
  <c r="C891" i="100"/>
  <c r="AO221" i="99" a="1"/>
  <c r="C1117" i="100"/>
  <c r="B873" i="100"/>
  <c r="C1780" i="100"/>
  <c r="C912" i="100"/>
  <c r="C1853" i="100"/>
  <c r="Q60" i="99" a="1"/>
  <c r="G89" i="99" a="1"/>
  <c r="C652" i="100"/>
  <c r="C904" i="100"/>
  <c r="C1265" i="100"/>
  <c r="AO223" i="99" a="1"/>
  <c r="B126" i="100"/>
  <c r="C732" i="100"/>
  <c r="C1739" i="100"/>
  <c r="B1960" i="100"/>
  <c r="B1876" i="100"/>
  <c r="B746" i="100"/>
  <c r="BA219" i="99" a="1"/>
  <c r="C1718" i="100"/>
  <c r="C96" i="100"/>
  <c r="C865" i="100"/>
  <c r="BE224" i="99" a="1"/>
  <c r="C820" i="100"/>
  <c r="B1752" i="100"/>
  <c r="B1132" i="100"/>
  <c r="B1211" i="100"/>
  <c r="C1955" i="100"/>
  <c r="C1059" i="100"/>
  <c r="C593" i="100"/>
  <c r="C115" i="100"/>
  <c r="B752" i="100"/>
  <c r="B1925" i="100"/>
  <c r="C1726" i="100"/>
  <c r="B47" i="100"/>
  <c r="B79" i="100"/>
  <c r="B1120" i="100"/>
  <c r="B1959" i="100"/>
  <c r="C1071" i="100"/>
  <c r="C1231" i="100"/>
  <c r="AD143" i="99" a="1"/>
  <c r="C542" i="100"/>
  <c r="B699" i="100"/>
  <c r="C880" i="100"/>
  <c r="J305" i="99" a="1"/>
  <c r="C719" i="100"/>
  <c r="J419" i="99" a="1"/>
  <c r="M190" i="99" a="1"/>
  <c r="C625" i="100"/>
  <c r="C1857" i="100"/>
  <c r="V382" i="99" a="1"/>
  <c r="C1083" i="100"/>
  <c r="C82" i="100"/>
  <c r="X377" i="99" a="1"/>
  <c r="C1226" i="100"/>
  <c r="C1170" i="100"/>
  <c r="B27" i="100"/>
  <c r="C130" i="100"/>
  <c r="C897" i="100"/>
  <c r="CF219" i="99" a="1"/>
  <c r="AY219" i="99" a="1"/>
  <c r="M219" i="99" a="1"/>
  <c r="B823" i="100"/>
  <c r="AA377" i="99" a="1"/>
  <c r="B1744" i="100"/>
  <c r="B756" i="100"/>
  <c r="M143" i="99" a="1"/>
  <c r="C895" i="100"/>
  <c r="C1807" i="100"/>
  <c r="AE165" i="99" a="1"/>
  <c r="B1067" i="100"/>
  <c r="W37" i="99" a="1"/>
  <c r="B1762" i="100"/>
  <c r="B1955" i="100"/>
  <c r="C692" i="100"/>
  <c r="C1967" i="100"/>
  <c r="G221" i="99" a="1"/>
  <c r="C963" i="100"/>
  <c r="C1813" i="100"/>
  <c r="G35" i="99" a="1"/>
  <c r="Q165" i="99" a="1"/>
  <c r="B1115" i="100"/>
  <c r="C1159" i="100"/>
  <c r="J219" i="99" a="1"/>
  <c r="B1790" i="100"/>
  <c r="C1944" i="100"/>
  <c r="BL221" i="99" a="1"/>
  <c r="C778" i="100"/>
  <c r="B1063" i="100"/>
  <c r="C1162" i="100"/>
  <c r="B1106" i="100"/>
  <c r="B1868" i="100"/>
  <c r="C1041" i="100"/>
  <c r="C634" i="100"/>
  <c r="B940" i="100"/>
  <c r="C997" i="100"/>
  <c r="B1138" i="100"/>
  <c r="C72" i="100"/>
  <c r="B726" i="100"/>
  <c r="AE13" i="99" a="1"/>
  <c r="H35" i="99" a="1"/>
  <c r="B1170" i="100"/>
  <c r="C1773" i="100"/>
  <c r="B1280" i="100"/>
  <c r="B893" i="100"/>
  <c r="C1075" i="100"/>
  <c r="B971" i="100"/>
  <c r="C1194" i="100"/>
  <c r="B49" i="100"/>
  <c r="C1114" i="100"/>
  <c r="B571" i="100"/>
  <c r="C1187" i="100"/>
  <c r="C21" i="100"/>
  <c r="H341" i="99" a="1"/>
  <c r="C816" i="100"/>
  <c r="C1939" i="100"/>
  <c r="V403" i="99" a="1"/>
  <c r="C538" i="100"/>
  <c r="C828" i="100"/>
  <c r="B1185" i="100"/>
  <c r="P143" i="99" a="1"/>
  <c r="C147" i="100"/>
  <c r="B1018" i="100"/>
  <c r="F39" i="99" a="1"/>
  <c r="C1783" i="100"/>
  <c r="C1863" i="100"/>
  <c r="C552" i="100"/>
  <c r="C531" i="100"/>
  <c r="B1931" i="100"/>
  <c r="B1758" i="100"/>
  <c r="C965" i="100"/>
  <c r="B578" i="100"/>
  <c r="C770" i="100"/>
  <c r="C575" i="100"/>
  <c r="C990" i="100"/>
  <c r="B66" i="100"/>
  <c r="C670" i="100"/>
  <c r="Z35" i="99" a="1"/>
  <c r="C943" i="100"/>
  <c r="C1087" i="100"/>
  <c r="B628" i="100"/>
  <c r="C982" i="100"/>
  <c r="I219" i="99" a="1"/>
  <c r="I219" i="99" l="1"/>
  <c r="Z35" i="99"/>
  <c r="F39" i="99"/>
  <c r="P143" i="99"/>
  <c r="V403" i="99"/>
  <c r="W403" i="99" s="1"/>
  <c r="H341" i="99"/>
  <c r="H35" i="99"/>
  <c r="AE13" i="99"/>
  <c r="BL221" i="99"/>
  <c r="J219" i="99"/>
  <c r="Q165" i="99"/>
  <c r="G35" i="99"/>
  <c r="G221" i="99"/>
  <c r="W37" i="99"/>
  <c r="AE165" i="99"/>
  <c r="M143" i="99"/>
  <c r="AA377" i="99"/>
  <c r="M219" i="99"/>
  <c r="AY219" i="99"/>
  <c r="CF219" i="99"/>
  <c r="X377" i="99"/>
  <c r="V382" i="99"/>
  <c r="M190" i="99"/>
  <c r="J419" i="99"/>
  <c r="J305" i="99"/>
  <c r="AD143" i="99"/>
  <c r="BE224" i="99"/>
  <c r="BA219" i="99"/>
  <c r="AO223" i="99"/>
  <c r="G89" i="99"/>
  <c r="Q60" i="99"/>
  <c r="AO221" i="99"/>
  <c r="AF60" i="99"/>
  <c r="D362" i="99"/>
  <c r="P6" i="99"/>
  <c r="K114" i="99"/>
  <c r="D379" i="99"/>
  <c r="D246" i="99"/>
  <c r="CB219" i="99"/>
  <c r="AA60" i="99"/>
  <c r="L89" i="99"/>
  <c r="P7" i="99"/>
  <c r="J322" i="99"/>
  <c r="AF114" i="99"/>
  <c r="BE223" i="99"/>
  <c r="E377" i="99"/>
  <c r="AD271" i="99"/>
  <c r="E246" i="99"/>
  <c r="O89" i="99"/>
  <c r="I35" i="99"/>
  <c r="AA89" i="99"/>
  <c r="D221" i="99"/>
  <c r="N244" i="99"/>
  <c r="Y167" i="99"/>
  <c r="L288" i="99"/>
  <c r="J190" i="99"/>
  <c r="AH13" i="99"/>
  <c r="BI219" i="99"/>
  <c r="AD114" i="99"/>
  <c r="W167" i="99"/>
  <c r="AB89" i="99"/>
  <c r="K377" i="99"/>
  <c r="K60" i="99"/>
  <c r="V402" i="99"/>
  <c r="W402" i="99" s="1"/>
  <c r="Z190" i="99"/>
  <c r="Y91" i="99"/>
  <c r="Y377" i="99"/>
  <c r="X221" i="99"/>
  <c r="E37" i="99"/>
  <c r="Z360" i="99"/>
  <c r="Q219" i="99"/>
  <c r="AC219" i="99"/>
  <c r="AB143" i="99"/>
  <c r="AH219" i="99"/>
  <c r="D401" i="99"/>
  <c r="E401" i="99" s="1"/>
  <c r="Y360" i="99"/>
  <c r="BZ221" i="99"/>
  <c r="F419" i="99"/>
  <c r="V15" i="99"/>
  <c r="C382" i="99"/>
  <c r="G167" i="99"/>
  <c r="Y35" i="99"/>
  <c r="I143" i="99"/>
  <c r="K190" i="99"/>
  <c r="E398" i="99"/>
  <c r="BE221" i="99"/>
  <c r="AB360" i="99"/>
  <c r="J288" i="99"/>
  <c r="I322" i="99"/>
  <c r="AH143" i="99"/>
  <c r="AU221" i="99"/>
  <c r="V39" i="99"/>
  <c r="I341" i="99"/>
  <c r="O190" i="99"/>
  <c r="AN223" i="99"/>
  <c r="P60" i="99"/>
  <c r="I60" i="99"/>
  <c r="BH219" i="99"/>
  <c r="H271" i="99"/>
  <c r="BG224" i="99"/>
  <c r="H356" i="99"/>
  <c r="CE219" i="99"/>
  <c r="AD360" i="99"/>
  <c r="U382" i="99"/>
  <c r="CC221" i="99"/>
  <c r="CD219" i="99"/>
  <c r="AA13" i="99"/>
  <c r="BZ219" i="99"/>
  <c r="L143" i="99"/>
  <c r="M114" i="99"/>
  <c r="H322" i="99"/>
  <c r="L13" i="99"/>
  <c r="BL219" i="99"/>
  <c r="U379" i="99"/>
  <c r="AO224" i="99"/>
  <c r="BQ219" i="99"/>
  <c r="D248" i="99"/>
  <c r="N165" i="99"/>
  <c r="AE190" i="99"/>
  <c r="P244" i="99"/>
  <c r="W221" i="99"/>
  <c r="AF13" i="99"/>
  <c r="M288" i="99"/>
  <c r="N7" i="99"/>
  <c r="BW223" i="99"/>
  <c r="F37" i="99"/>
  <c r="AB114" i="99"/>
  <c r="W382" i="99"/>
  <c r="AD190" i="99"/>
  <c r="AD398" i="99"/>
  <c r="P114" i="99"/>
  <c r="AC35" i="99"/>
  <c r="N60" i="99"/>
  <c r="I305" i="99"/>
  <c r="AF377" i="99"/>
  <c r="H360" i="99"/>
  <c r="Z221" i="99"/>
  <c r="BX224" i="99"/>
  <c r="N5" i="99"/>
  <c r="U362" i="99"/>
  <c r="X224" i="99"/>
  <c r="K360" i="99"/>
  <c r="Y116" i="99"/>
  <c r="I271" i="99"/>
  <c r="Y143" i="99"/>
  <c r="AD35" i="99"/>
  <c r="AC143" i="99"/>
  <c r="E221" i="99"/>
  <c r="D93" i="99"/>
  <c r="U273" i="99"/>
  <c r="N4" i="99"/>
  <c r="V379" i="99"/>
  <c r="E62" i="99"/>
  <c r="H89" i="99"/>
  <c r="F246" i="99"/>
  <c r="BO219" i="99"/>
  <c r="O165" i="99"/>
  <c r="D169" i="99"/>
  <c r="AA219" i="99"/>
  <c r="O13" i="99"/>
  <c r="AB62" i="99"/>
  <c r="Y271" i="99"/>
  <c r="I13" i="99"/>
  <c r="AN221" i="99"/>
  <c r="G419" i="99"/>
  <c r="V169" i="99"/>
  <c r="V192" i="99"/>
  <c r="P4" i="99"/>
  <c r="E383" i="99"/>
  <c r="BY219" i="99"/>
  <c r="K271" i="99"/>
  <c r="AC377" i="99"/>
  <c r="AD219" i="99"/>
  <c r="M398" i="99"/>
  <c r="AT219" i="99"/>
  <c r="W273" i="99"/>
  <c r="X93" i="99"/>
  <c r="E380" i="99"/>
  <c r="D307" i="99"/>
  <c r="Z398" i="99"/>
  <c r="Z143" i="99"/>
  <c r="C383" i="99"/>
  <c r="BW224" i="99"/>
  <c r="G37" i="99"/>
  <c r="M360" i="99"/>
  <c r="AB219" i="99"/>
  <c r="W93" i="99"/>
  <c r="D402" i="99"/>
  <c r="E402" i="99" s="1"/>
  <c r="W39" i="99"/>
  <c r="AC360" i="99"/>
  <c r="AD60" i="99"/>
  <c r="G244" i="99"/>
  <c r="F167" i="99"/>
  <c r="I288" i="99"/>
  <c r="M244" i="99"/>
  <c r="C324" i="99"/>
  <c r="AH190" i="99"/>
  <c r="W380" i="99"/>
  <c r="X398" i="99"/>
  <c r="V381" i="99"/>
  <c r="AI165" i="99"/>
  <c r="AI60" i="99"/>
  <c r="V362" i="99"/>
  <c r="F224" i="99"/>
  <c r="E91" i="99"/>
  <c r="I419" i="99"/>
  <c r="C381" i="99"/>
  <c r="O143" i="99"/>
  <c r="J360" i="99"/>
  <c r="C379" i="99"/>
  <c r="I360" i="99"/>
  <c r="AP224" i="99"/>
  <c r="I165" i="99"/>
  <c r="G114" i="99"/>
  <c r="D116" i="99"/>
  <c r="L341" i="99"/>
  <c r="N35" i="99"/>
  <c r="Y165" i="99"/>
  <c r="O114" i="99"/>
  <c r="M165" i="99"/>
  <c r="BF224" i="99"/>
  <c r="K4" i="99"/>
  <c r="AI114" i="99"/>
  <c r="AE60" i="99"/>
  <c r="G143" i="99"/>
  <c r="BM219" i="99"/>
  <c r="Y89" i="99"/>
  <c r="AB13" i="99"/>
  <c r="E273" i="99"/>
  <c r="AP221" i="99"/>
  <c r="N89" i="99"/>
  <c r="Z114" i="99"/>
  <c r="F248" i="99"/>
  <c r="D62" i="99"/>
  <c r="BF221" i="99"/>
  <c r="Q89" i="99"/>
  <c r="X223" i="99"/>
  <c r="AI190" i="99"/>
  <c r="N288" i="99"/>
  <c r="AG143" i="99"/>
  <c r="N305" i="99"/>
  <c r="V221" i="99"/>
  <c r="BW221" i="99"/>
  <c r="K219" i="99"/>
  <c r="AD13" i="99"/>
  <c r="W169" i="99"/>
  <c r="D381" i="99"/>
  <c r="Z89" i="99"/>
  <c r="AC221" i="99"/>
  <c r="AG114" i="99"/>
  <c r="AE143" i="99"/>
  <c r="AE89" i="99"/>
  <c r="E39" i="99"/>
  <c r="G13" i="99"/>
  <c r="AA360" i="99"/>
  <c r="D37" i="99"/>
  <c r="H114" i="99"/>
  <c r="G322" i="99"/>
  <c r="W362" i="99"/>
  <c r="Y398" i="99"/>
  <c r="CI219" i="99"/>
  <c r="X37" i="99"/>
  <c r="H190" i="99"/>
  <c r="Q35" i="99"/>
  <c r="E248" i="99"/>
  <c r="M89" i="99"/>
  <c r="BG223" i="99"/>
  <c r="D356" i="99"/>
  <c r="H398" i="99"/>
  <c r="AU219" i="99"/>
  <c r="W192" i="99"/>
  <c r="G271" i="99"/>
  <c r="H60" i="99"/>
  <c r="E249" i="99"/>
  <c r="BX223" i="99"/>
  <c r="K221" i="99"/>
  <c r="AA114" i="99"/>
  <c r="AB35" i="99"/>
  <c r="D15" i="99"/>
  <c r="O60" i="99"/>
  <c r="BF223" i="99"/>
  <c r="N8" i="99"/>
  <c r="AH89" i="99"/>
  <c r="CC219" i="99"/>
  <c r="O35" i="99"/>
  <c r="AG271" i="99"/>
  <c r="G288" i="99"/>
  <c r="P13" i="99"/>
  <c r="J165" i="99"/>
  <c r="AC165" i="99"/>
  <c r="BJ219" i="99"/>
  <c r="P305" i="99"/>
  <c r="AQ219" i="99"/>
  <c r="D337" i="99"/>
  <c r="AS219" i="99"/>
  <c r="H377" i="99"/>
  <c r="K244" i="99"/>
  <c r="AG165" i="99"/>
  <c r="K89" i="99"/>
  <c r="C343" i="99"/>
  <c r="Z377" i="99"/>
  <c r="U91" i="99"/>
  <c r="L377" i="99"/>
  <c r="E192" i="99"/>
  <c r="AE219" i="99"/>
  <c r="G337" i="99"/>
  <c r="N322" i="99"/>
  <c r="Y221" i="99"/>
  <c r="G341" i="99"/>
  <c r="E382" i="99"/>
  <c r="L271" i="99"/>
  <c r="BG221" i="99"/>
  <c r="M60" i="99"/>
  <c r="AE114" i="99"/>
  <c r="J341" i="99"/>
  <c r="L190" i="99"/>
  <c r="M271" i="99"/>
  <c r="V167" i="99"/>
  <c r="L305" i="99"/>
  <c r="W383" i="99"/>
  <c r="C290" i="99"/>
  <c r="AB165" i="99"/>
  <c r="Z60" i="99"/>
  <c r="V273" i="99"/>
  <c r="AF35" i="99"/>
  <c r="BV223" i="99"/>
  <c r="P35" i="99"/>
  <c r="J89" i="99"/>
  <c r="H219" i="99"/>
  <c r="M305" i="99"/>
  <c r="O305" i="99"/>
  <c r="F377" i="99"/>
  <c r="F249" i="99"/>
  <c r="AE35" i="99"/>
  <c r="E419" i="99"/>
  <c r="X169" i="99"/>
  <c r="W62" i="99"/>
  <c r="O288" i="99"/>
  <c r="F62" i="99"/>
  <c r="AW219" i="99"/>
  <c r="D224" i="99"/>
  <c r="F356" i="99"/>
  <c r="O219" i="99"/>
  <c r="J62" i="99"/>
  <c r="Z165" i="99"/>
  <c r="G246" i="99"/>
  <c r="AF165" i="99"/>
  <c r="M13" i="99"/>
  <c r="F398" i="99"/>
  <c r="V404" i="99"/>
  <c r="W404" i="99" s="1"/>
  <c r="AQ221" i="99"/>
  <c r="K143" i="99"/>
  <c r="AA271" i="99"/>
  <c r="AG60" i="99"/>
  <c r="E224" i="99"/>
  <c r="P165" i="99"/>
  <c r="D380" i="99"/>
  <c r="G116" i="99"/>
  <c r="AG190" i="99"/>
  <c r="AB190" i="99"/>
  <c r="E324" i="99"/>
  <c r="Y60" i="99"/>
  <c r="AE360" i="99"/>
  <c r="N219" i="99"/>
  <c r="BI221" i="99"/>
  <c r="V37" i="99"/>
  <c r="F221" i="99"/>
  <c r="G192" i="99"/>
  <c r="O271" i="99"/>
  <c r="AF271" i="99"/>
  <c r="AF143" i="99"/>
  <c r="C356" i="99"/>
  <c r="E362" i="99"/>
  <c r="E167" i="99"/>
  <c r="AP223" i="99"/>
  <c r="Z219" i="99"/>
  <c r="I114" i="99"/>
  <c r="N6" i="99"/>
  <c r="E93" i="99"/>
  <c r="G356" i="99"/>
  <c r="F169" i="99"/>
  <c r="BV221" i="99"/>
  <c r="E356" i="99"/>
  <c r="G190" i="99"/>
  <c r="H13" i="99"/>
  <c r="K398" i="99"/>
  <c r="W223" i="99"/>
  <c r="V224" i="99"/>
  <c r="BP219" i="99"/>
  <c r="G60" i="99"/>
  <c r="F223" i="99"/>
  <c r="K288" i="99"/>
  <c r="D404" i="99"/>
  <c r="E404" i="99" s="1"/>
  <c r="P190" i="99"/>
  <c r="X167" i="99"/>
  <c r="W381" i="99"/>
  <c r="L165" i="99"/>
  <c r="U383" i="99"/>
  <c r="I398" i="99"/>
  <c r="AF219" i="99"/>
  <c r="N377" i="99"/>
  <c r="U380" i="99"/>
  <c r="AF190" i="99"/>
  <c r="AB398" i="99"/>
  <c r="L35" i="99"/>
  <c r="AH35" i="99"/>
  <c r="AH114" i="99"/>
  <c r="BK219" i="99"/>
  <c r="AX219" i="99"/>
  <c r="E379" i="99"/>
  <c r="J377" i="99"/>
  <c r="Q190" i="99"/>
  <c r="BX221" i="99"/>
  <c r="N114" i="99"/>
  <c r="AC190" i="99"/>
  <c r="W91" i="99"/>
  <c r="E337" i="99"/>
  <c r="AD377" i="99"/>
  <c r="D91" i="99"/>
  <c r="H143" i="99"/>
  <c r="P89" i="99"/>
  <c r="G398" i="99"/>
  <c r="K305" i="99"/>
  <c r="W398" i="99"/>
  <c r="L114" i="99"/>
  <c r="AG89" i="99"/>
  <c r="AN224" i="99"/>
  <c r="AC114" i="99"/>
  <c r="D273" i="99"/>
  <c r="AI219" i="99"/>
  <c r="AD89" i="99"/>
  <c r="V62" i="99"/>
  <c r="W379" i="99"/>
  <c r="C337" i="99"/>
  <c r="D324" i="99"/>
  <c r="BR219" i="99"/>
  <c r="F337" i="99"/>
  <c r="AR221" i="99"/>
  <c r="AE271" i="99"/>
  <c r="E343" i="99"/>
  <c r="J114" i="99"/>
  <c r="C91" i="99"/>
  <c r="N271" i="99"/>
  <c r="G305" i="99"/>
  <c r="AC271" i="99"/>
  <c r="AA143" i="99"/>
  <c r="AC398" i="99"/>
  <c r="D223" i="99"/>
  <c r="M322" i="99"/>
  <c r="D249" i="99"/>
  <c r="H288" i="99"/>
  <c r="G165" i="99"/>
  <c r="K13" i="99"/>
  <c r="H305" i="99"/>
  <c r="AI89" i="99"/>
  <c r="AC13" i="99"/>
  <c r="F93" i="99"/>
  <c r="C380" i="99"/>
  <c r="I244" i="99"/>
  <c r="L244" i="99"/>
  <c r="L219" i="99"/>
  <c r="C362" i="99"/>
  <c r="P219" i="99"/>
  <c r="AB271" i="99"/>
  <c r="H221" i="99"/>
  <c r="I190" i="99"/>
  <c r="H244" i="99"/>
  <c r="W224" i="99"/>
  <c r="AV219" i="99"/>
  <c r="O244" i="99"/>
  <c r="Y190" i="99"/>
  <c r="L398" i="99"/>
  <c r="K35" i="99"/>
  <c r="Y13" i="99"/>
  <c r="V223" i="99"/>
  <c r="AF89" i="99"/>
  <c r="AD165" i="99"/>
  <c r="AA190" i="99"/>
  <c r="AR219" i="99"/>
  <c r="V91" i="99"/>
  <c r="E290" i="99"/>
  <c r="BN219" i="99"/>
  <c r="AC89" i="99"/>
  <c r="BV224" i="99"/>
  <c r="D167" i="99"/>
  <c r="V380" i="99"/>
  <c r="E223" i="99"/>
  <c r="Z13" i="99"/>
  <c r="I377" i="99"/>
  <c r="J244" i="99"/>
  <c r="AC60" i="99"/>
  <c r="J35" i="99"/>
  <c r="K165" i="99"/>
  <c r="J271" i="99"/>
  <c r="W377" i="99"/>
  <c r="AB377" i="99"/>
  <c r="V93" i="99"/>
  <c r="D290" i="99"/>
  <c r="Y114" i="99"/>
  <c r="AG13" i="99"/>
  <c r="Y37" i="99"/>
  <c r="K341" i="99"/>
  <c r="D145" i="99"/>
  <c r="AB60" i="99"/>
  <c r="J398" i="99"/>
  <c r="AG219" i="99"/>
  <c r="AE398" i="99"/>
  <c r="BY221" i="99"/>
  <c r="U381" i="99"/>
  <c r="AI35" i="99"/>
  <c r="D383" i="99"/>
  <c r="G219" i="99"/>
  <c r="AH165" i="99"/>
  <c r="CG219" i="99"/>
  <c r="I89" i="99"/>
  <c r="J60" i="99"/>
  <c r="D192" i="99"/>
  <c r="AA165" i="99"/>
  <c r="AH60" i="99"/>
  <c r="E169" i="99"/>
  <c r="J37" i="99"/>
  <c r="AA35" i="99"/>
  <c r="X39" i="99"/>
  <c r="D343" i="99"/>
  <c r="V145" i="99"/>
  <c r="Z271" i="99"/>
  <c r="G360" i="99"/>
  <c r="D382" i="99"/>
  <c r="V401" i="99"/>
  <c r="W401" i="99" s="1"/>
  <c r="M341" i="99"/>
  <c r="K322" i="99"/>
  <c r="N341" i="99"/>
  <c r="BH221" i="99"/>
  <c r="L360" i="99"/>
  <c r="AG35" i="99"/>
  <c r="Y192" i="99"/>
  <c r="J143" i="99"/>
  <c r="H337" i="99"/>
  <c r="D403" i="99"/>
  <c r="E403" i="99" s="1"/>
  <c r="N143" i="99"/>
  <c r="G377" i="99"/>
  <c r="N9" i="99"/>
  <c r="Q114" i="99"/>
  <c r="CH219" i="99"/>
  <c r="AE377" i="99"/>
  <c r="X62" i="99"/>
  <c r="C273" i="99"/>
  <c r="D39" i="99"/>
  <c r="V383" i="99"/>
  <c r="AA398" i="99"/>
  <c r="V116" i="99"/>
  <c r="E381" i="99"/>
  <c r="Q244" i="99"/>
  <c r="P5" i="99"/>
  <c r="H165" i="99"/>
  <c r="H419" i="99"/>
  <c r="AZ219" i="99"/>
  <c r="N190" i="99"/>
  <c r="AB37" i="99"/>
  <c r="M35" i="99"/>
  <c r="M377" i="99"/>
  <c r="J13" i="99"/>
  <c r="Y219" i="99"/>
  <c r="G91" i="99"/>
  <c r="CA219" i="99"/>
  <c r="N13" i="99"/>
  <c r="L322" i="99"/>
  <c r="L60" i="99"/>
  <c r="Q1075" i="100" a="1"/>
  <c r="P600" i="100" a="1"/>
  <c r="P717" i="100" a="1"/>
  <c r="P1218" i="100" a="1"/>
  <c r="Q998" i="100" a="1"/>
  <c r="Q581" i="100" a="1"/>
  <c r="P825" i="100" a="1"/>
  <c r="P941" i="100" a="1"/>
  <c r="Q777" i="100" a="1"/>
  <c r="Q650" i="100" a="1"/>
  <c r="P960" i="100" a="1"/>
  <c r="Q792" i="100" a="1"/>
  <c r="P566" i="100" a="1"/>
  <c r="P747" i="100" a="1"/>
  <c r="P998" i="100" a="1"/>
  <c r="P1091" i="100" a="1"/>
  <c r="Q1012" i="100" a="1"/>
  <c r="P1169" i="100" a="1"/>
  <c r="P650" i="100" a="1"/>
  <c r="Q960" i="100" a="1"/>
  <c r="Q1023" i="100" a="1"/>
  <c r="Q825" i="100" a="1"/>
  <c r="Q1169" i="100" a="1"/>
  <c r="Q681" i="100" a="1"/>
  <c r="Q566" i="100" a="1"/>
  <c r="P1194" i="100" a="1"/>
  <c r="Q1143" i="100" a="1"/>
  <c r="P1034" i="100" a="1"/>
  <c r="Q600" i="100" a="1"/>
  <c r="P873" i="100" a="1"/>
  <c r="Q1048" i="100" a="1"/>
  <c r="P1114" i="100" a="1"/>
  <c r="Q1034" i="100" a="1"/>
  <c r="Q1091" i="100" a="1"/>
  <c r="P551" i="100" a="1"/>
  <c r="P1143" i="100" a="1"/>
  <c r="Q717" i="100" a="1"/>
  <c r="P699" i="100" a="1"/>
  <c r="Q903" i="100" a="1"/>
  <c r="P777" i="100" a="1"/>
  <c r="Q747" i="100" a="1"/>
  <c r="P681" i="100" a="1"/>
  <c r="Q873" i="100" a="1"/>
  <c r="P1058" i="100" a="1"/>
  <c r="P1012" i="100" a="1"/>
  <c r="P903" i="100" a="1"/>
  <c r="Q922" i="100" a="1"/>
  <c r="Q1218" i="100" a="1"/>
  <c r="P1101" i="100" a="1"/>
  <c r="Q807" i="100" a="1"/>
  <c r="P807" i="100" a="1"/>
  <c r="Q551" i="100" a="1"/>
  <c r="Q619" i="100" a="1"/>
  <c r="P843" i="100" a="1"/>
  <c r="P619" i="100" a="1"/>
  <c r="P1023" i="100" a="1"/>
  <c r="Q1101" i="100" a="1"/>
  <c r="Q1114" i="100" a="1"/>
  <c r="Q979" i="100" a="1"/>
  <c r="P979" i="100" a="1"/>
  <c r="P1075" i="100" a="1"/>
  <c r="P1048" i="100" a="1"/>
  <c r="P922" i="100" a="1"/>
  <c r="P792" i="100" a="1"/>
  <c r="Q699" i="100" a="1"/>
  <c r="P581" i="100" a="1"/>
  <c r="Q941" i="100" a="1"/>
  <c r="Q1194" i="100" a="1"/>
  <c r="Q843" i="100" a="1"/>
  <c r="Q1058" i="100" a="1"/>
  <c r="Q1058" i="100" l="1"/>
  <c r="Q843" i="100"/>
  <c r="Q1194" i="100"/>
  <c r="Q941" i="100"/>
  <c r="P581" i="100"/>
  <c r="Q699" i="100"/>
  <c r="P792" i="100"/>
  <c r="P922" i="100"/>
  <c r="P1048" i="100"/>
  <c r="P1075" i="100"/>
  <c r="P979" i="100"/>
  <c r="Q979" i="100"/>
  <c r="Q1114" i="100"/>
  <c r="Q1101" i="100"/>
  <c r="P1023" i="100"/>
  <c r="P619" i="100"/>
  <c r="P843" i="100"/>
  <c r="Q619" i="100"/>
  <c r="Q551" i="100"/>
  <c r="P807" i="100"/>
  <c r="Q807" i="100"/>
  <c r="P1101" i="100"/>
  <c r="Q1218" i="100"/>
  <c r="Q922" i="100"/>
  <c r="P903" i="100"/>
  <c r="P1012" i="100"/>
  <c r="P1058" i="100"/>
  <c r="Q873" i="100"/>
  <c r="P681" i="100"/>
  <c r="Q747" i="100"/>
  <c r="P777" i="100"/>
  <c r="Q903" i="100"/>
  <c r="P699" i="100"/>
  <c r="Q717" i="100"/>
  <c r="P1143" i="100"/>
  <c r="P551" i="100"/>
  <c r="Q1091" i="100"/>
  <c r="Q1034" i="100"/>
  <c r="P1114" i="100"/>
  <c r="Q1048" i="100"/>
  <c r="P873" i="100"/>
  <c r="Q600" i="100"/>
  <c r="P1034" i="100"/>
  <c r="Q1143" i="100"/>
  <c r="P1194" i="100"/>
  <c r="Q566" i="100"/>
  <c r="Q681" i="100"/>
  <c r="Q1169" i="100"/>
  <c r="Q825" i="100"/>
  <c r="Q1023" i="100"/>
  <c r="Q960" i="100"/>
  <c r="P650" i="100"/>
  <c r="P1169" i="100"/>
  <c r="Q1012" i="100"/>
  <c r="P1091" i="100"/>
  <c r="P998" i="100"/>
  <c r="P747" i="100"/>
  <c r="P566" i="100"/>
  <c r="Q792" i="100"/>
  <c r="P960" i="100"/>
  <c r="Q650" i="100"/>
  <c r="Q777" i="100"/>
  <c r="P941" i="100"/>
  <c r="P825" i="100"/>
  <c r="Q581" i="100"/>
  <c r="Q998" i="100"/>
  <c r="P1218" i="100"/>
  <c r="P717" i="100"/>
  <c r="P600" i="100"/>
  <c r="Q107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<sst xmlns="http://schemas.openxmlformats.org/spreadsheetml/2006/main" count="34240" uniqueCount="2242">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</sst>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6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21" fillId="34" borderId="10" xfId="0" applyFont="1" applyFill="1" applyBorder="1" applyAlignment="1" applyProtection="1">
      <alignment horizontal="center"/>
    </xf>
    <xf numFmtId="0" fontId="30" fillId="6" borderId="25" xfId="0" applyFont="1" applyFill="1" applyBorder="1" applyAlignment="1" applyProtection="1">
      <alignment horizontal="center" wrapText="1"/>
    </xf>
    <xf numFmtId="0" fontId="21" fillId="34" borderId="8" xfId="0" applyFont="1" applyFill="1" applyBorder="1" applyAlignment="1" applyProtection="1">
      <alignment horizontal="center"/>
    </xf>
    <xf numFmtId="0" fontId="0" fillId="0" borderId="0" xfId="0"/>
    <xf numFmtId="0" fontId="0" fillId="0" borderId="0" xfId="0" applyAlignment="1">
      <alignment horizontal="right"/>
    </xf>
    <xf numFmtId="0" fontId="0" fillId="3" borderId="29" xfId="0" applyFill="1" applyBorder="1" applyAlignment="1">
      <alignment horizontal="right" wrapText="1"/>
    </xf>
    <xf numFmtId="0" fontId="1" fillId="36" borderId="9" xfId="0" applyFont="1" applyFill="1" applyBorder="1" applyAlignment="1" applyProtection="1">
      <alignment horizontal="center" vertical="center"/>
      <protection locked="0"/>
    </xf>
    <xf numFmtId="0" fontId="1" fillId="36" borderId="9" xfId="0" applyFont="1" applyFill="1" applyBorder="1" applyAlignment="1" applyProtection="1">
      <alignment horizontal="center"/>
      <protection locked="0"/>
    </xf>
    <xf numFmtId="0" fontId="10" fillId="8" borderId="9" xfId="0" applyFont="1" applyFill="1" applyBorder="1" applyAlignment="1" applyProtection="1">
      <alignment horizontal="right"/>
    </xf>
    <xf numFmtId="0" fontId="77" fillId="3" borderId="0" xfId="0" applyFont="1" applyFill="1" applyAlignment="1" applyProtection="1">
      <alignment horizontal="center" wrapText="1"/>
      <protection locked="0"/>
    </xf>
    <xf numFmtId="0" fontId="26" fillId="3" borderId="14" xfId="0" applyFont="1" applyFill="1" applyBorder="1" applyProtection="1"/>
    <xf numFmtId="0" fontId="21" fillId="3" borderId="107" xfId="0" applyFont="1" applyFill="1" applyBorder="1" applyAlignment="1" applyProtection="1">
      <alignment horizontal="center"/>
      <protection locked="0"/>
    </xf>
    <xf numFmtId="0" fontId="21" fillId="3" borderId="26" xfId="0" applyFont="1" applyFill="1" applyBorder="1" applyAlignment="1" applyProtection="1">
      <alignment horizontal="center"/>
      <protection locked="0"/>
    </xf>
    <xf numFmtId="0" fontId="21" fillId="3" borderId="9" xfId="0" applyFont="1" applyFill="1" applyBorder="1" applyAlignment="1" applyProtection="1">
      <alignment horizontal="center"/>
      <protection locked="0"/>
    </xf>
    <xf numFmtId="0" fontId="21" fillId="3" borderId="27" xfId="0" applyFont="1" applyFill="1" applyBorder="1" applyAlignment="1" applyProtection="1">
      <alignment horizontal="center"/>
      <protection locked="0"/>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10" fillId="6" borderId="9" xfId="0" applyFont="1" applyFill="1" applyBorder="1" applyAlignment="1" applyProtection="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60" t="s">
        <v>731</v>
      </c>
      <c r="B1" s="1860"/>
      <c r="C1" s="1860"/>
      <c r="D1" s="1860"/>
      <c r="E1" s="1860"/>
    </row>
    <row r="2" spans="1:5" x14ac:dyDescent="0.25">
      <c r="A2" s="1860" t="s">
        <v>732</v>
      </c>
      <c r="B2" s="1860"/>
      <c r="C2" s="1860"/>
      <c r="D2" s="1860"/>
      <c r="E2" s="1860"/>
    </row>
    <row r="3" spans="1:5" x14ac:dyDescent="0.25">
      <c r="A3" s="71"/>
    </row>
    <row r="4" spans="1:5" ht="78" customHeight="1" x14ac:dyDescent="0.25">
      <c r="A4" s="1878" t="s">
        <v>733</v>
      </c>
      <c r="B4" s="1878"/>
      <c r="C4" s="1878"/>
      <c r="D4" s="1878"/>
      <c r="E4" s="1878"/>
    </row>
    <row r="5" spans="1:5" x14ac:dyDescent="0.25">
      <c r="A5" s="71"/>
    </row>
    <row r="6" spans="1:5" ht="31.5" customHeight="1" x14ac:dyDescent="0.25">
      <c r="A6" s="1877" t="s">
        <v>734</v>
      </c>
      <c r="B6" s="1877"/>
      <c r="C6" s="1877"/>
      <c r="D6" s="1877"/>
      <c r="E6" s="1877"/>
    </row>
    <row r="7" spans="1:5" ht="15.75" thickBot="1" x14ac:dyDescent="0.3">
      <c r="A7" s="72"/>
    </row>
    <row r="8" spans="1:5" ht="15" customHeight="1" x14ac:dyDescent="0.25">
      <c r="A8" s="1871" t="s">
        <v>735</v>
      </c>
      <c r="B8" s="1872"/>
      <c r="C8" s="1872"/>
      <c r="D8" s="1872"/>
      <c r="E8" s="1873"/>
    </row>
    <row r="9" spans="1:5" ht="15" customHeight="1" thickBot="1" x14ac:dyDescent="0.3">
      <c r="A9" s="1874" t="s">
        <v>736</v>
      </c>
      <c r="B9" s="1875"/>
      <c r="C9" s="1875"/>
      <c r="D9" s="1875"/>
      <c r="E9" s="1876"/>
    </row>
    <row r="10" spans="1:5" x14ac:dyDescent="0.25">
      <c r="A10" s="73"/>
      <c r="B10" s="1868"/>
      <c r="C10" s="1868"/>
      <c r="D10" s="77"/>
    </row>
    <row r="11" spans="1:5" ht="31.5" customHeight="1" thickBot="1" x14ac:dyDescent="0.3">
      <c r="A11" s="75" t="s">
        <v>737</v>
      </c>
      <c r="B11" s="1869" t="s">
        <v>738</v>
      </c>
      <c r="C11" s="1869"/>
      <c r="D11" s="77">
        <f>Welcome!$D$4</f>
        <v>0</v>
      </c>
    </row>
    <row r="12" spans="1:5" ht="15.75" thickBot="1" x14ac:dyDescent="0.3">
      <c r="A12" s="75" t="s">
        <v>739</v>
      </c>
      <c r="B12" s="1870">
        <f>'MDA Worksheet'!$R$18</f>
        <v>0</v>
      </c>
      <c r="C12" s="187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67"/>
      <c r="C17" s="1867"/>
      <c r="D17" s="1867"/>
      <c r="E17" s="1867"/>
    </row>
    <row r="18" spans="1:5" x14ac:dyDescent="0.25">
      <c r="A18" s="73"/>
      <c r="B18" s="116"/>
      <c r="C18" s="73"/>
      <c r="D18" s="116"/>
    </row>
    <row r="19" spans="1:5" ht="15.75" thickBot="1" x14ac:dyDescent="0.3">
      <c r="A19" s="75" t="s">
        <v>808</v>
      </c>
      <c r="B19" s="1867" t="str">
        <f>Welcome!$D$10</f>
        <v>Please Select</v>
      </c>
      <c r="C19" s="1867"/>
      <c r="D19" s="1867"/>
      <c r="E19" s="186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45" t="s">
        <v>1141</v>
      </c>
      <c r="B42" s="1846"/>
      <c r="C42" s="1846"/>
      <c r="D42" s="1846"/>
      <c r="E42" s="1847"/>
    </row>
    <row r="43" spans="1:5" s="630" customFormat="1" x14ac:dyDescent="0.25">
      <c r="A43" s="1848"/>
      <c r="B43" s="1849"/>
      <c r="C43" s="1849"/>
      <c r="D43" s="1849"/>
      <c r="E43" s="1850"/>
    </row>
    <row r="44" spans="1:5" s="630" customFormat="1" ht="15.75" thickBot="1" x14ac:dyDescent="0.3">
      <c r="A44" s="1851"/>
      <c r="B44" s="1852"/>
      <c r="C44" s="1852"/>
      <c r="D44" s="1852"/>
      <c r="E44" s="1853"/>
    </row>
    <row r="45" spans="1:5" s="630" customFormat="1" ht="15.75" thickBot="1" x14ac:dyDescent="0.3">
      <c r="A45" s="636"/>
    </row>
    <row r="46" spans="1:5" s="630" customFormat="1" ht="15.75" thickBot="1" x14ac:dyDescent="0.3">
      <c r="A46" s="1845" t="s">
        <v>1130</v>
      </c>
      <c r="B46" s="1846"/>
      <c r="C46" s="1846"/>
      <c r="D46" s="1846"/>
      <c r="E46" s="1847"/>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39"/>
      <c r="B53" s="1840"/>
      <c r="C53" s="1840"/>
      <c r="D53" s="1840"/>
      <c r="E53" s="1841"/>
    </row>
    <row r="54" spans="1:5" s="630" customFormat="1" ht="15.75" thickBot="1" x14ac:dyDescent="0.3">
      <c r="A54" s="1842"/>
      <c r="B54" s="1843"/>
      <c r="C54" s="1843"/>
      <c r="D54" s="1843"/>
      <c r="E54" s="1844"/>
    </row>
    <row r="55" spans="1:5" ht="15.75" thickBot="1" x14ac:dyDescent="0.3">
      <c r="A55" s="636"/>
      <c r="B55" s="630"/>
      <c r="C55" s="630"/>
      <c r="D55" s="630"/>
      <c r="E55" s="630"/>
    </row>
    <row r="56" spans="1:5" ht="30.75" customHeight="1" thickBot="1" x14ac:dyDescent="0.3">
      <c r="A56" s="1861" t="s">
        <v>747</v>
      </c>
      <c r="B56" s="1862"/>
      <c r="C56" s="1862"/>
      <c r="D56" s="1862"/>
      <c r="E56" s="1863"/>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64" t="s">
        <v>759</v>
      </c>
      <c r="B67" s="1865"/>
      <c r="C67" s="1865"/>
      <c r="D67" s="1865"/>
      <c r="E67" s="1866"/>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54" t="s">
        <v>1142</v>
      </c>
      <c r="B74" s="1855"/>
      <c r="C74" s="1855"/>
      <c r="D74" s="1855"/>
      <c r="E74" s="1856"/>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57" t="s">
        <v>762</v>
      </c>
      <c r="B78" s="1858"/>
      <c r="C78" s="1858"/>
      <c r="D78" s="1858"/>
      <c r="E78" s="1859"/>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57" t="s">
        <v>764</v>
      </c>
      <c r="B83" s="1858"/>
      <c r="C83" s="1858"/>
      <c r="D83" s="1858"/>
      <c r="E83" s="1859"/>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9" t="s">
        <v>1125</v>
      </c>
      <c r="D3" s="1880"/>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832" t="s">
        <v>2241</v>
      </c>
      <c r="G4" s="1898"/>
      <c r="H4" s="1898"/>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96" t="s">
        <v>1981</v>
      </c>
      <c r="H8" s="1896"/>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97"/>
      <c r="H12" s="1897"/>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696"/>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90" t="s">
        <v>1155</v>
      </c>
      <c r="C33" s="1891"/>
      <c r="D33" s="1891"/>
      <c r="E33" s="1891"/>
      <c r="F33" s="1891"/>
      <c r="G33" s="1891"/>
      <c r="H33" s="1891"/>
      <c r="I33" s="1892"/>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81"/>
      <c r="C34" s="1882"/>
      <c r="D34" s="1882"/>
      <c r="E34" s="1882"/>
      <c r="F34" s="1882"/>
      <c r="G34" s="1882"/>
      <c r="H34" s="1882"/>
      <c r="I34" s="1883"/>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84"/>
      <c r="C35" s="1885"/>
      <c r="D35" s="1885"/>
      <c r="E35" s="1885"/>
      <c r="F35" s="1885"/>
      <c r="G35" s="1885"/>
      <c r="H35" s="1885"/>
      <c r="I35" s="1886"/>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84"/>
      <c r="C36" s="1885"/>
      <c r="D36" s="1885"/>
      <c r="E36" s="1885"/>
      <c r="F36" s="1885"/>
      <c r="G36" s="1885"/>
      <c r="H36" s="1885"/>
      <c r="I36" s="1886"/>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84"/>
      <c r="C37" s="1885"/>
      <c r="D37" s="1885"/>
      <c r="E37" s="1885"/>
      <c r="F37" s="1885"/>
      <c r="G37" s="1885"/>
      <c r="H37" s="1885"/>
      <c r="I37" s="1886"/>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84"/>
      <c r="C38" s="1885"/>
      <c r="D38" s="1885"/>
      <c r="E38" s="1885"/>
      <c r="F38" s="1885"/>
      <c r="G38" s="1885"/>
      <c r="H38" s="1885"/>
      <c r="I38" s="1886"/>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87"/>
      <c r="C39" s="1888"/>
      <c r="D39" s="1888"/>
      <c r="E39" s="1888"/>
      <c r="F39" s="1888"/>
      <c r="G39" s="1888"/>
      <c r="H39" s="1888"/>
      <c r="I39" s="1889"/>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93" t="s">
        <v>1091</v>
      </c>
      <c r="C41" s="1894"/>
      <c r="D41" s="1894"/>
      <c r="E41" s="1894"/>
      <c r="F41" s="1894"/>
      <c r="G41" s="1894"/>
      <c r="H41" s="1894"/>
      <c r="I41" s="1895"/>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81"/>
      <c r="C42" s="1882"/>
      <c r="D42" s="1882"/>
      <c r="E42" s="1882"/>
      <c r="F42" s="1882"/>
      <c r="G42" s="1882"/>
      <c r="H42" s="1882"/>
      <c r="I42" s="1883"/>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84"/>
      <c r="C43" s="1885"/>
      <c r="D43" s="1885"/>
      <c r="E43" s="1885"/>
      <c r="F43" s="1885"/>
      <c r="G43" s="1885"/>
      <c r="H43" s="1885"/>
      <c r="I43" s="1886"/>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84"/>
      <c r="C44" s="1885"/>
      <c r="D44" s="1885"/>
      <c r="E44" s="1885"/>
      <c r="F44" s="1885"/>
      <c r="G44" s="1885"/>
      <c r="H44" s="1885"/>
      <c r="I44" s="1886"/>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84"/>
      <c r="C45" s="1885"/>
      <c r="D45" s="1885"/>
      <c r="E45" s="1885"/>
      <c r="F45" s="1885"/>
      <c r="G45" s="1885"/>
      <c r="H45" s="1885"/>
      <c r="I45" s="1886"/>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84"/>
      <c r="C46" s="1885"/>
      <c r="D46" s="1885"/>
      <c r="E46" s="1885"/>
      <c r="F46" s="1885"/>
      <c r="G46" s="1885"/>
      <c r="H46" s="1885"/>
      <c r="I46" s="1886"/>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87"/>
      <c r="C47" s="1888"/>
      <c r="D47" s="1888"/>
      <c r="E47" s="1888"/>
      <c r="F47" s="1888"/>
      <c r="G47" s="1888"/>
      <c r="H47" s="1888"/>
      <c r="I47" s="1889"/>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lZDG7/OY76SI/lbkScSaWENaQ32Hm46ghPIYpsEp8lo/Amoz2ANXcf/c2TK/9doeCVNpeDt9fIzzJOW2S0Njdg==" saltValue="ZNK4tZtrYSoIQxRYdGZlDw==" spinCount="100000" sheet="1" objects="1" scenarios="1"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3"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905" t="s">
        <v>865</v>
      </c>
      <c r="G2" s="1905"/>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834"/>
      <c r="F4" s="566" cm="1">
        <f t="array" ref="F4">_xlfn.IFS(F6="",0,F7="",1,F8="",2,F9="",3,F10="",4,F11="",5,F12="",6,F13="",7,F14="",8,F15="",9,F16="",10,F17="",11,F18="",12,F19="",13,F20="",14,F21="",15,F22="",16,F23="",17,F24="",18,F25="",19,F26="",20)</f>
        <v>0</v>
      </c>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1833">
        <f>COUNTIF(W6:W25,"End")</f>
        <v>0</v>
      </c>
      <c r="X4" s="506"/>
      <c r="Y4" s="134"/>
      <c r="Z4" s="134"/>
      <c r="AA4" s="134"/>
      <c r="AB4" s="134"/>
      <c r="AC4" s="134"/>
      <c r="AF4" s="2"/>
      <c r="AG4" s="134"/>
      <c r="AI4" s="134"/>
      <c r="AJ4" s="134"/>
      <c r="AK4" s="341" t="e">
        <f>Welcome!#REF!</f>
        <v>#REF!</v>
      </c>
      <c r="AL4" s="341"/>
      <c r="AM4" s="341"/>
      <c r="AN4" s="593">
        <f>COUNTIF($AN$6:$AN$25,"FLAG")</f>
        <v>0</v>
      </c>
      <c r="AO4" s="134"/>
      <c r="AP4" s="134"/>
      <c r="AQ4" s="134"/>
      <c r="AR4" s="134"/>
      <c r="AS4" s="1899" t="s">
        <v>2074</v>
      </c>
      <c r="AT4" s="1899"/>
      <c r="AU4" s="1899"/>
      <c r="AV4" s="1445" t="s">
        <v>2075</v>
      </c>
      <c r="AW4" s="134"/>
      <c r="AX4" s="134"/>
      <c r="AY4" s="134"/>
      <c r="AZ4" s="134"/>
      <c r="BA4" s="1900" t="s">
        <v>2076</v>
      </c>
      <c r="BB4" s="1901"/>
      <c r="BC4" s="134"/>
      <c r="BD4" s="134"/>
    </row>
    <row r="5" spans="1:56" ht="49.5" customHeight="1" thickBot="1" x14ac:dyDescent="0.3">
      <c r="E5" s="1346"/>
      <c r="F5" s="561" t="s">
        <v>986</v>
      </c>
      <c r="G5" s="711" t="s">
        <v>1171</v>
      </c>
      <c r="H5" s="1825" t="s">
        <v>1175</v>
      </c>
      <c r="I5" s="1646" t="s">
        <v>1255</v>
      </c>
      <c r="J5" s="522" t="s">
        <v>1256</v>
      </c>
      <c r="K5" s="675" t="s">
        <v>863</v>
      </c>
      <c r="L5" s="523" t="s">
        <v>1176</v>
      </c>
      <c r="M5" s="523" t="s">
        <v>1183</v>
      </c>
      <c r="N5" s="523" t="s">
        <v>861</v>
      </c>
      <c r="O5" s="524" t="s">
        <v>1177</v>
      </c>
      <c r="P5" s="601" t="s">
        <v>1178</v>
      </c>
      <c r="Q5" s="602" t="s">
        <v>1179</v>
      </c>
      <c r="R5" s="1035" t="s">
        <v>1180</v>
      </c>
      <c r="S5" s="1035" t="s">
        <v>204</v>
      </c>
      <c r="T5" s="676" t="s">
        <v>1181</v>
      </c>
      <c r="U5" s="1660" t="s">
        <v>1182</v>
      </c>
      <c r="V5" s="1659"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4" t="str">
        <f>IF(BE6&lt;&gt;"Yes",IF(Welcome!$D$18="Select # of Locations","",IF(Welcome!$D$6="New",IF($C6&lt;=Welcome!$D$18,$C6,""),IF($C6&lt;=$E$4,$C6,""))),$C6)</f>
        <v/>
      </c>
      <c r="G6" s="1826"/>
      <c r="H6" s="1835"/>
      <c r="I6" s="1642"/>
      <c r="J6" s="1248"/>
      <c r="K6" s="164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48" t="str">
        <f>IF(BE6&lt;&gt;"Yes",IF($F6="","",'Multi-Customer'!$BK49),'Multi-Customer'!$BK49)</f>
        <v/>
      </c>
      <c r="M6" s="1648" t="str">
        <f>IF(BE6&lt;&gt;"Yes",IF($F6="","",IFERROR(VLOOKUP($G6,'Existing Customers'!$A:$AD,30,FALSE),"Enter Menu Type&gt;&gt;")),IFERROR(VLOOKUP($G6,'Existing Customers'!$A:$AD,30,FALSE),"Enter Menu Type&gt;&gt;"))</f>
        <v/>
      </c>
      <c r="N6" s="1648" t="str">
        <f>IF(BE6&lt;&gt;"Yes",IFERROR(IF($C$4&gt;=$C6,VLOOKUP($G6,'Existing Customers'!$A:$J,10,FALSE),""),"Enter Zip Code &gt;"),IFERROR(VLOOKUP($G6,'Existing Customers'!$A:$J,10,FALSE),"Enter Zip Code &gt;"))</f>
        <v/>
      </c>
      <c r="O6" s="1649" t="str">
        <f>IF(BE6&lt;&gt;"Yes",IF($F6="","",'Multi-Customer'!$BK50),'Multi-Customer'!$BK50)</f>
        <v/>
      </c>
      <c r="P6" s="1326"/>
      <c r="Q6" s="1327"/>
      <c r="R6" s="1328"/>
      <c r="S6" s="1329"/>
      <c r="T6" s="1330"/>
      <c r="U6" s="1656"/>
      <c r="V6" s="1654"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5" t="str">
        <f>IF(BE7&lt;&gt;"Yes",IF(Welcome!$D$18="Select # of Locations","",IF(Welcome!$D$6="New",IF($C7&lt;=Welcome!$D$18,$C7,""),IF($C7&lt;=$E$4,$C7,""))),$C7)</f>
        <v/>
      </c>
      <c r="G7" s="1826"/>
      <c r="H7" s="1836"/>
      <c r="I7" s="1643"/>
      <c r="J7" s="1249"/>
      <c r="K7" s="165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1" t="str">
        <f>IF(BE7&lt;&gt;"Yes",IF($F7="","",'Multi-Customer'!$CH49),'Multi-Customer'!$CH49)</f>
        <v/>
      </c>
      <c r="M7" s="1651" t="str">
        <f>IF(BE7&lt;&gt;"Yes",IF($F7="","",IFERROR(VLOOKUP($G7,'Existing Customers'!$A:$AD,30,FALSE),"Enter Menu Type&gt;&gt;")),IFERROR(VLOOKUP($G7,'Existing Customers'!$A:$AD,30,FALSE),"Enter Menu Type&gt;&gt;"))</f>
        <v/>
      </c>
      <c r="N7" s="1651" t="str">
        <f>IF(BE7&lt;&gt;"Yes",IFERROR(IF($C$4&gt;=$C7,VLOOKUP($G7,'Existing Customers'!$A:$J,10,FALSE),""),"Enter Zip Code &gt;"),IFERROR(VLOOKUP($G7,'Existing Customers'!$A:$J,10,FALSE),"Enter Zip Code &gt;"))</f>
        <v/>
      </c>
      <c r="O7" s="1652" t="str">
        <f>IF(BE7&lt;&gt;"Yes",IF($F7="","",'Multi-Customer'!$CH50),'Multi-Customer'!$CH50)</f>
        <v/>
      </c>
      <c r="P7" s="1332"/>
      <c r="Q7" s="1333"/>
      <c r="R7" s="1334"/>
      <c r="S7" s="1331"/>
      <c r="T7" s="1335"/>
      <c r="U7" s="1657"/>
      <c r="V7" s="1655"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5" t="str">
        <f>IF(BE8&lt;&gt;"Yes",IF(Welcome!$D$18="Select # of Locations","",IF(Welcome!$D$6="New",IF($C8&lt;=Welcome!$D$18,$C8,""),IF($C8&lt;=$E$4,$C8,""))),$C8)</f>
        <v/>
      </c>
      <c r="G8" s="1826"/>
      <c r="H8" s="1836"/>
      <c r="I8" s="1643"/>
      <c r="J8" s="1249"/>
      <c r="K8" s="165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1" t="str">
        <f>IF(BE8&lt;&gt;"Yes",IF($F8="","",'Multi-Customer'!$DE49),'Multi-Customer'!$DE49)</f>
        <v/>
      </c>
      <c r="M8" s="1651" t="str">
        <f>IF(BE8&lt;&gt;"Yes",IF($F8="","",IFERROR(VLOOKUP($G8,'Existing Customers'!$A:$AD,30,FALSE),"Enter Menu Type&gt;&gt;")),IFERROR(VLOOKUP($G8,'Existing Customers'!$A:$AD,30,FALSE),"Enter Menu Type&gt;&gt;"))</f>
        <v/>
      </c>
      <c r="N8" s="1651" t="str">
        <f>IF(BE8&lt;&gt;"Yes",IFERROR(IF($C$4&gt;=$C8,VLOOKUP($G8,'Existing Customers'!$A:$J,10,FALSE),""),"Enter Zip Code &gt;"),IFERROR(VLOOKUP($G8,'Existing Customers'!$A:$J,10,FALSE),"Enter Zip Code &gt;"))</f>
        <v/>
      </c>
      <c r="O8" s="1652" t="str">
        <f>IF(BE8&lt;&gt;"Yes",IF($F8="","",'Multi-Customer'!$DE50),'Multi-Customer'!$DE50)</f>
        <v/>
      </c>
      <c r="P8" s="1332"/>
      <c r="Q8" s="1333"/>
      <c r="R8" s="1334"/>
      <c r="S8" s="1331"/>
      <c r="T8" s="1335"/>
      <c r="U8" s="1657"/>
      <c r="V8" s="1655"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5" t="str">
        <f>IF(BE9&lt;&gt;"Yes",IF(Welcome!$D$18="Select # of Locations","",IF(Welcome!$D$6="New",IF($C9&lt;=Welcome!$D$18,$C9,""),IF($C9&lt;=$E$4,$C9,""))),$C9)</f>
        <v/>
      </c>
      <c r="G9" s="1826"/>
      <c r="H9" s="1836"/>
      <c r="I9" s="1643"/>
      <c r="J9" s="1249"/>
      <c r="K9" s="165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1" t="str">
        <f>IF(BE9&lt;&gt;"Yes",IF($F9="","",'Multi-Customer'!$EB49),'Multi-Customer'!$EB49)</f>
        <v/>
      </c>
      <c r="M9" s="1651" t="str">
        <f>IF(BE9&lt;&gt;"Yes",IF($F9="","",IFERROR(VLOOKUP($G9,'Existing Customers'!$A:$AD,30,FALSE),"Enter Menu Type&gt;&gt;")),IFERROR(VLOOKUP($G9,'Existing Customers'!$A:$AD,30,FALSE),"Enter Menu Type&gt;&gt;"))</f>
        <v/>
      </c>
      <c r="N9" s="1651" t="str">
        <f>IF(BE9&lt;&gt;"Yes",IFERROR(IF($C$4&gt;=$C9,VLOOKUP($G9,'Existing Customers'!$A:$J,10,FALSE),""),"Enter Zip Code &gt;"),IFERROR(VLOOKUP($G9,'Existing Customers'!$A:$J,10,FALSE),"Enter Zip Code &gt;"))</f>
        <v/>
      </c>
      <c r="O9" s="1652" t="str">
        <f>IF(BE9&lt;&gt;"Yes",IF($F9="","",'Multi-Customer'!$EB50),'Multi-Customer'!$EB50)</f>
        <v/>
      </c>
      <c r="P9" s="1332"/>
      <c r="Q9" s="1333"/>
      <c r="R9" s="1334"/>
      <c r="S9" s="1331"/>
      <c r="T9" s="1335"/>
      <c r="U9" s="1657"/>
      <c r="V9" s="1655"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5" t="str">
        <f>IF(BE10&lt;&gt;"Yes",IF(Welcome!$D$18="Select # of Locations","",IF(Welcome!$D$6="New",IF($C10&lt;=Welcome!$D$18,$C10,""),IF($C10&lt;=$E$4,$C10,""))),$C10)</f>
        <v/>
      </c>
      <c r="G10" s="1826"/>
      <c r="H10" s="1836"/>
      <c r="I10" s="1643"/>
      <c r="J10" s="1249"/>
      <c r="K10" s="165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1" t="str">
        <f>IF(BE10&lt;&gt;"Yes",IF($F10="","",'Multi-Customer'!$EY49),'Multi-Customer'!$EY49)</f>
        <v/>
      </c>
      <c r="M10" s="1651" t="str">
        <f>IF(BE10&lt;&gt;"Yes",IF($F10="","",IFERROR(VLOOKUP($G10,'Existing Customers'!$A:$AD,30,FALSE),"Enter Menu Type&gt;&gt;")),IFERROR(VLOOKUP($G10,'Existing Customers'!$A:$AD,30,FALSE),"Enter Menu Type&gt;&gt;"))</f>
        <v/>
      </c>
      <c r="N10" s="1651" t="str">
        <f>IF(BE10&lt;&gt;"Yes",IFERROR(IF($C$4&gt;=$C10,VLOOKUP($G10,'Existing Customers'!$A:$J,10,FALSE),""),"Enter Zip Code &gt;"),IFERROR(VLOOKUP($G10,'Existing Customers'!$A:$J,10,FALSE),"Enter Zip Code &gt;"))</f>
        <v/>
      </c>
      <c r="O10" s="1652" t="str">
        <f>IF(BE10&lt;&gt;"Yes",IF($F10="","",'Multi-Customer'!$EY50),'Multi-Customer'!$EY50)</f>
        <v/>
      </c>
      <c r="P10" s="1332"/>
      <c r="Q10" s="1333"/>
      <c r="R10" s="1334"/>
      <c r="S10" s="1331"/>
      <c r="T10" s="1335"/>
      <c r="U10" s="1657"/>
      <c r="V10" s="1655"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5" t="str">
        <f>IF(BE11&lt;&gt;"Yes",IF(Welcome!$D$18="Select # of Locations","",IF(Welcome!$D$6="New",IF($C11&lt;=Welcome!$D$18,$C11,""),IF($C11&lt;=$E$4,$C11,""))),$C11)</f>
        <v/>
      </c>
      <c r="G11" s="1826"/>
      <c r="H11" s="1836"/>
      <c r="I11" s="1643"/>
      <c r="J11" s="1249"/>
      <c r="K11" s="165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1" t="str">
        <f>IF(BE11&lt;&gt;"Yes",IF($F11="","",'Multi-Customer'!$FV49),'Multi-Customer'!$FV49)</f>
        <v/>
      </c>
      <c r="M11" s="1651" t="str">
        <f>IF(BE11&lt;&gt;"Yes",IF($F11="","",IFERROR(VLOOKUP($G11,'Existing Customers'!$A:$AD,30,FALSE),"Enter Menu Type&gt;&gt;")),IFERROR(VLOOKUP($G11,'Existing Customers'!$A:$AD,30,FALSE),"Enter Menu Type&gt;&gt;"))</f>
        <v/>
      </c>
      <c r="N11" s="1651" t="str">
        <f>IF(BE11&lt;&gt;"Yes",IFERROR(IF($C$4&gt;=$C11,VLOOKUP($G11,'Existing Customers'!$A:$J,10,FALSE),""),"Enter Zip Code &gt;"),IFERROR(VLOOKUP($G11,'Existing Customers'!$A:$J,10,FALSE),"Enter Zip Code &gt;"))</f>
        <v/>
      </c>
      <c r="O11" s="1652" t="str">
        <f>IF(BE11&lt;&gt;"Yes",IF($F11="","",'Multi-Customer'!$FV50),'Multi-Customer'!$FV50)</f>
        <v/>
      </c>
      <c r="P11" s="1332"/>
      <c r="Q11" s="1333"/>
      <c r="R11" s="1334"/>
      <c r="S11" s="1331"/>
      <c r="T11" s="1335"/>
      <c r="U11" s="1657"/>
      <c r="V11" s="1655"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5" t="str">
        <f>IF(BE12&lt;&gt;"Yes",IF(Welcome!$D$18="Select # of Locations","",IF(Welcome!$D$6="New",IF($C12&lt;=Welcome!$D$18,$C12,""),IF($C12&lt;=$E$4,$C12,""))),$C12)</f>
        <v/>
      </c>
      <c r="G12" s="1826"/>
      <c r="H12" s="1836"/>
      <c r="I12" s="1643"/>
      <c r="J12" s="1249"/>
      <c r="K12" s="165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1" t="str">
        <f>IF(BE12&lt;&gt;"Yes",IF($F12="","",'Multi-Customer'!$GS49),'Multi-Customer'!$GS49)</f>
        <v/>
      </c>
      <c r="M12" s="1651" t="str">
        <f>IF(BE12&lt;&gt;"Yes",IF($F12="","",IFERROR(VLOOKUP($G12,'Existing Customers'!$A:$AD,30,FALSE),"Enter Menu Type&gt;&gt;")),IFERROR(VLOOKUP($G12,'Existing Customers'!$A:$AD,30,FALSE),"Enter Menu Type&gt;&gt;"))</f>
        <v/>
      </c>
      <c r="N12" s="1651" t="str">
        <f>IF(BE12&lt;&gt;"Yes",IFERROR(IF($C$4&gt;=$C12,VLOOKUP($G12,'Existing Customers'!$A:$J,10,FALSE),""),"Enter Zip Code &gt;"),IFERROR(VLOOKUP($G12,'Existing Customers'!$A:$J,10,FALSE),"Enter Zip Code &gt;"))</f>
        <v/>
      </c>
      <c r="O12" s="1652" t="str">
        <f>IF(BE12&lt;&gt;"Yes",IF($F12="","",'Multi-Customer'!$GS50),'Multi-Customer'!$GS50)</f>
        <v/>
      </c>
      <c r="P12" s="1332"/>
      <c r="Q12" s="1333"/>
      <c r="R12" s="1334"/>
      <c r="S12" s="1331"/>
      <c r="T12" s="1335"/>
      <c r="U12" s="1657"/>
      <c r="V12" s="1655"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5" t="str">
        <f>IF(BE13&lt;&gt;"Yes",IF(Welcome!$D$18="Select # of Locations","",IF(Welcome!$D$6="New",IF($C13&lt;=Welcome!$D$18,$C13,""),IF($C13&lt;=$E$4,$C13,""))),$C13)</f>
        <v/>
      </c>
      <c r="G13" s="1826"/>
      <c r="H13" s="1836"/>
      <c r="I13" s="1643"/>
      <c r="J13" s="1249"/>
      <c r="K13" s="165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1" t="str">
        <f>IF(BE13&lt;&gt;"Yes",IF($F13="","",'Multi-Customer'!$HP49),'Multi-Customer'!$HP49)</f>
        <v/>
      </c>
      <c r="M13" s="1651" t="str">
        <f>IF(BE13&lt;&gt;"Yes",IF($F13="","",IFERROR(VLOOKUP($G13,'Existing Customers'!$A:$AD,30,FALSE),"Enter Menu Type&gt;&gt;")),IFERROR(VLOOKUP($G13,'Existing Customers'!$A:$AD,30,FALSE),"Enter Menu Type&gt;&gt;"))</f>
        <v/>
      </c>
      <c r="N13" s="1651" t="str">
        <f>IF(BE13&lt;&gt;"Yes",IFERROR(IF($C$4&gt;=$C13,VLOOKUP($G13,'Existing Customers'!$A:$J,10,FALSE),""),"Enter Zip Code &gt;"),IFERROR(VLOOKUP($G13,'Existing Customers'!$A:$J,10,FALSE),"Enter Zip Code &gt;"))</f>
        <v/>
      </c>
      <c r="O13" s="1652" t="str">
        <f>IF(BE13&lt;&gt;"Yes",IF($F13="","",'Multi-Customer'!$HP50),'Multi-Customer'!$HP50)</f>
        <v/>
      </c>
      <c r="P13" s="1332"/>
      <c r="Q13" s="1333"/>
      <c r="R13" s="1334"/>
      <c r="S13" s="1331"/>
      <c r="T13" s="1335"/>
      <c r="U13" s="1657"/>
      <c r="V13" s="1655"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5" t="str">
        <f>IF(BE14&lt;&gt;"Yes",IF(Welcome!$D$18="Select # of Locations","",IF(Welcome!$D$6="New",IF($C14&lt;=Welcome!$D$18,$C14,""),IF($C14&lt;=$E$4,$C14,""))),$C14)</f>
        <v/>
      </c>
      <c r="G14" s="1826"/>
      <c r="H14" s="1836"/>
      <c r="I14" s="1643"/>
      <c r="J14" s="1249"/>
      <c r="K14" s="165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1" t="str">
        <f>IF(BE14&lt;&gt;"Yes",IF($F14="","",'Multi-Customer'!$IM49),'Multi-Customer'!$IM49)</f>
        <v/>
      </c>
      <c r="M14" s="1651" t="str">
        <f>IF(BE14&lt;&gt;"Yes",IF($F14="","",IFERROR(VLOOKUP($G14,'Existing Customers'!$A:$AD,30,FALSE),"Enter Menu Type&gt;&gt;")),IFERROR(VLOOKUP($G14,'Existing Customers'!$A:$AD,30,FALSE),"Enter Menu Type&gt;&gt;"))</f>
        <v/>
      </c>
      <c r="N14" s="1651" t="str">
        <f>IF(BE14&lt;&gt;"Yes",IFERROR(IF($C$4&gt;=$C14,VLOOKUP($G14,'Existing Customers'!$A:$J,10,FALSE),""),"Enter Zip Code &gt;"),IFERROR(VLOOKUP($G14,'Existing Customers'!$A:$J,10,FALSE),"Enter Zip Code &gt;"))</f>
        <v/>
      </c>
      <c r="O14" s="1652" t="str">
        <f>IF(BE14&lt;&gt;"Yes",IF($F14="","",'Multi-Customer'!$IM50),'Multi-Customer'!$IM50)</f>
        <v/>
      </c>
      <c r="P14" s="1332"/>
      <c r="Q14" s="1333"/>
      <c r="R14" s="1334"/>
      <c r="S14" s="1331"/>
      <c r="T14" s="1335"/>
      <c r="U14" s="1657"/>
      <c r="V14" s="1655"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0" customFormat="1" x14ac:dyDescent="0.25">
      <c r="A15" s="1640" t="str">
        <f t="shared" si="0"/>
        <v/>
      </c>
      <c r="B15" s="1640">
        <f t="shared" si="1"/>
        <v>0</v>
      </c>
      <c r="C15" s="141">
        <v>10</v>
      </c>
      <c r="D15" s="141"/>
      <c r="E15" s="1347"/>
      <c r="F15" s="1645" t="str">
        <f>IF(BE15&lt;&gt;"Yes",IF(Welcome!$D$18="Select # of Locations","",IF(Welcome!$D$6="New",IF($C15&lt;=Welcome!$D$18,$C15,""),IF($C15&lt;=$E$4,$C15,""))),$C15)</f>
        <v/>
      </c>
      <c r="G15" s="1826"/>
      <c r="H15" s="1837"/>
      <c r="I15" s="1689"/>
      <c r="J15" s="1249"/>
      <c r="K15" s="16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1" t="str">
        <f>IF(BE15&lt;&gt;"Yes",IF($F15="","",'Multi-Customer'!$JJ49),'Multi-Customer'!$JJ49)</f>
        <v/>
      </c>
      <c r="M15" s="1651" t="str">
        <f>IF(BE15&lt;&gt;"Yes",IF($F15="","",IFERROR(VLOOKUP($G15,'Existing Customers'!$A:$AD,30,FALSE),"Enter Menu Type&gt;&gt;")),IFERROR(VLOOKUP($G15,'Existing Customers'!$A:$AD,30,FALSE),"Enter Menu Type&gt;&gt;"))</f>
        <v/>
      </c>
      <c r="N15" s="1651" t="str">
        <f>IF(BE15&lt;&gt;"Yes",IFERROR(IF($C$4&gt;=$C15,VLOOKUP($G15,'Existing Customers'!$A:$J,10,FALSE),""),"Enter Zip Code &gt;"),IFERROR(VLOOKUP($G15,'Existing Customers'!$A:$J,10,FALSE),"Enter Zip Code &gt;"))</f>
        <v/>
      </c>
      <c r="O15" s="1652" t="str">
        <f>IF(BE15&lt;&gt;"Yes",IF($F15="","",'Multi-Customer'!$JJ50),'Multi-Customer'!$JJ50)</f>
        <v/>
      </c>
      <c r="P15" s="1332"/>
      <c r="Q15" s="1333"/>
      <c r="R15" s="1334"/>
      <c r="S15" s="1331"/>
      <c r="T15" s="1335"/>
      <c r="U15" s="1657"/>
      <c r="V15" s="1661"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0">
        <f>IF(IF($G15="New Store",COUNTIF($G$6:$G$25,"New Store")-COUNTIF($G$25:$G25,"New Store"),0)=9,10,9)</f>
        <v>9</v>
      </c>
      <c r="AE15" s="1640" t="str">
        <f t="shared" si="4"/>
        <v/>
      </c>
      <c r="AF15" s="164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0" customFormat="1" x14ac:dyDescent="0.25">
      <c r="A16" s="1640" t="str">
        <f t="shared" si="0"/>
        <v/>
      </c>
      <c r="B16" s="1640">
        <f t="shared" si="1"/>
        <v>0</v>
      </c>
      <c r="C16" s="141">
        <v>11</v>
      </c>
      <c r="D16" s="141"/>
      <c r="E16" s="1347"/>
      <c r="F16" s="1645" t="str">
        <f>IF(BE16&lt;&gt;"Yes",IF(Welcome!$D$18="Select # of Locations","",IF(Welcome!$D$6="New",IF($C16&lt;=Welcome!$D$18,$C16,""),IF($C16&lt;=$E$4,$C16,""))),$C16)</f>
        <v/>
      </c>
      <c r="G16" s="1826"/>
      <c r="H16" s="1837"/>
      <c r="I16" s="1689"/>
      <c r="J16" s="1249"/>
      <c r="K16" s="1650"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1" t="str">
        <f>IF(BE16&lt;&gt;"Yes",IF($F16="","",'Multi-Customer'!$KG49),'Multi-Customer'!$KG49)</f>
        <v/>
      </c>
      <c r="M16" s="1651" t="str">
        <f>IF(BE16&lt;&gt;"Yes",IF($F16="","",IFERROR(VLOOKUP($G16,'Existing Customers'!$A:$AD,30,FALSE),"Enter Menu Type&gt;&gt;")),IFERROR(VLOOKUP($G16,'Existing Customers'!$A:$AD,30,FALSE),"Enter Menu Type&gt;&gt;"))</f>
        <v/>
      </c>
      <c r="N16" s="1651" t="str">
        <f>IF(BE16&lt;&gt;"Yes",IFERROR(IF($C$4&gt;=$C16,VLOOKUP($G16,'Existing Customers'!$A:$J,10,FALSE),""),"Enter Zip Code &gt;"),IFERROR(VLOOKUP($G16,'Existing Customers'!$A:$J,10,FALSE),"Enter Zip Code &gt;"))</f>
        <v/>
      </c>
      <c r="O16" s="1652" t="str">
        <f>IF(BE16&lt;&gt;"Yes",IF($F16="","",'Multi-Customer'!$KG50),'Multi-Customer'!$KG50)</f>
        <v/>
      </c>
      <c r="P16" s="1332"/>
      <c r="Q16" s="1333"/>
      <c r="R16" s="1334"/>
      <c r="S16" s="1331"/>
      <c r="T16" s="1335"/>
      <c r="U16" s="1657"/>
      <c r="V16" s="1661" t="s">
        <v>648</v>
      </c>
      <c r="W16" s="1061"/>
      <c r="X16" s="962" t="str">
        <f>IF($F16="","",'Variable Costs (Back)'!$A25)</f>
        <v/>
      </c>
      <c r="Y16" s="502" t="str">
        <f t="shared" si="17"/>
        <v/>
      </c>
      <c r="Z16" s="52" t="str">
        <f t="shared" si="18"/>
        <v/>
      </c>
      <c r="AA16" s="52" t="str">
        <f t="shared" si="19"/>
        <v/>
      </c>
      <c r="AB16" s="52" t="str">
        <f t="shared" si="20"/>
        <v/>
      </c>
      <c r="AC16" s="134">
        <f t="shared" si="21"/>
        <v>0</v>
      </c>
      <c r="AD16" s="1640">
        <f>IF(IF($G16="New Store",COUNTIF($G$6:$G$25,"New Store")-COUNTIF($G$25:$G25,"New Store"),0)=9,10,9)</f>
        <v>9</v>
      </c>
      <c r="AE16" s="1640" t="str">
        <f t="shared" si="4"/>
        <v/>
      </c>
      <c r="AF16" s="164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0" customFormat="1" x14ac:dyDescent="0.25">
      <c r="A17" s="1640" t="str">
        <f t="shared" si="0"/>
        <v/>
      </c>
      <c r="B17" s="1640">
        <f t="shared" si="1"/>
        <v>0</v>
      </c>
      <c r="C17" s="141">
        <v>12</v>
      </c>
      <c r="D17" s="141"/>
      <c r="E17" s="1347"/>
      <c r="F17" s="1645" t="str">
        <f>IF(BE17&lt;&gt;"Yes",IF(Welcome!$D$18="Select # of Locations","",IF(Welcome!$D$6="New",IF($C17&lt;=Welcome!$D$18,$C17,""),IF($C17&lt;=$E$4,$C17,""))),$C17)</f>
        <v/>
      </c>
      <c r="G17" s="1826"/>
      <c r="H17" s="1837"/>
      <c r="I17" s="1689"/>
      <c r="J17" s="1249"/>
      <c r="K17" s="1650"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1" t="str">
        <f>IF(BE17&lt;&gt;"Yes",IF($F17="","",'Multi-Customer'!$LD49),'Multi-Customer'!$LD49)</f>
        <v/>
      </c>
      <c r="M17" s="1651" t="str">
        <f>IF(BE17&lt;&gt;"Yes",IF($F17="","",IFERROR(VLOOKUP($G17,'Existing Customers'!$A:$AD,30,FALSE),"Enter Menu Type&gt;&gt;")),IFERROR(VLOOKUP($G17,'Existing Customers'!$A:$AD,30,FALSE),"Enter Menu Type&gt;&gt;"))</f>
        <v/>
      </c>
      <c r="N17" s="1651" t="str">
        <f>IF(BE17&lt;&gt;"Yes",IFERROR(IF($C$4&gt;=$C17,VLOOKUP($G17,'Existing Customers'!$A:$J,10,FALSE),""),"Enter Zip Code &gt;"),IFERROR(VLOOKUP($G17,'Existing Customers'!$A:$J,10,FALSE),"Enter Zip Code &gt;"))</f>
        <v/>
      </c>
      <c r="O17" s="1652" t="str">
        <f>IF(BE17&lt;&gt;"Yes",IF($F17="","",'Multi-Customer'!$LD50),'Multi-Customer'!$LD50)</f>
        <v/>
      </c>
      <c r="P17" s="1332"/>
      <c r="Q17" s="1333"/>
      <c r="R17" s="1334"/>
      <c r="S17" s="1331"/>
      <c r="T17" s="1335"/>
      <c r="U17" s="1657"/>
      <c r="V17" s="1661" t="s">
        <v>648</v>
      </c>
      <c r="W17" s="1061"/>
      <c r="X17" s="962" t="str">
        <f>IF($F17="","",'Variable Costs (Back)'!$A26)</f>
        <v/>
      </c>
      <c r="Y17" s="502" t="str">
        <f t="shared" si="17"/>
        <v/>
      </c>
      <c r="Z17" s="52" t="str">
        <f t="shared" si="18"/>
        <v/>
      </c>
      <c r="AA17" s="52" t="str">
        <f t="shared" si="19"/>
        <v/>
      </c>
      <c r="AB17" s="52" t="str">
        <f t="shared" si="20"/>
        <v/>
      </c>
      <c r="AC17" s="134">
        <f t="shared" si="21"/>
        <v>0</v>
      </c>
      <c r="AD17" s="1640">
        <f>IF(IF($G17="New Store",COUNTIF($G$6:$G$25,"New Store")-COUNTIF($G$25:$G25,"New Store"),0)=9,10,9)</f>
        <v>9</v>
      </c>
      <c r="AE17" s="1640" t="str">
        <f t="shared" si="4"/>
        <v/>
      </c>
      <c r="AF17" s="164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0" customFormat="1" x14ac:dyDescent="0.25">
      <c r="A18" s="1640" t="str">
        <f t="shared" si="0"/>
        <v/>
      </c>
      <c r="B18" s="1640">
        <f t="shared" si="1"/>
        <v>0</v>
      </c>
      <c r="C18" s="141">
        <v>13</v>
      </c>
      <c r="D18" s="141"/>
      <c r="E18" s="1347"/>
      <c r="F18" s="1645" t="str">
        <f>IF(BE18&lt;&gt;"Yes",IF(Welcome!$D$18="Select # of Locations","",IF(Welcome!$D$6="New",IF($C18&lt;=Welcome!$D$18,$C18,""),IF($C18&lt;=$E$4,$C18,""))),$C18)</f>
        <v/>
      </c>
      <c r="G18" s="1826"/>
      <c r="H18" s="1837"/>
      <c r="I18" s="1689"/>
      <c r="J18" s="1249"/>
      <c r="K18" s="1650"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1" t="str">
        <f>IF(BE18&lt;&gt;"Yes",IF($F18="","",'Multi-Customer'!$MA49),'Multi-Customer'!$MA49)</f>
        <v/>
      </c>
      <c r="M18" s="1651" t="str">
        <f>IF(BE18&lt;&gt;"Yes",IF($F18="","",IFERROR(VLOOKUP($G18,'Existing Customers'!$A:$AD,30,FALSE),"Enter Menu Type&gt;&gt;")),IFERROR(VLOOKUP($G18,'Existing Customers'!$A:$AD,30,FALSE),"Enter Menu Type&gt;&gt;"))</f>
        <v/>
      </c>
      <c r="N18" s="1651" t="str">
        <f>IF(BE18&lt;&gt;"Yes",IFERROR(IF($C$4&gt;=$C18,VLOOKUP($G18,'Existing Customers'!$A:$J,10,FALSE),""),"Enter Zip Code &gt;"),IFERROR(VLOOKUP($G18,'Existing Customers'!$A:$J,10,FALSE),"Enter Zip Code &gt;"))</f>
        <v/>
      </c>
      <c r="O18" s="1652" t="str">
        <f>IF(BE18&lt;&gt;"Yes",IF($F18="","",'Multi-Customer'!$MA50),'Multi-Customer'!$MA50)</f>
        <v/>
      </c>
      <c r="P18" s="1332"/>
      <c r="Q18" s="1333"/>
      <c r="R18" s="1334"/>
      <c r="S18" s="1331"/>
      <c r="T18" s="1335"/>
      <c r="U18" s="1657"/>
      <c r="V18" s="1661" t="s">
        <v>648</v>
      </c>
      <c r="W18" s="1061"/>
      <c r="X18" s="962" t="str">
        <f>IF($F18="","",'Variable Costs (Back)'!$A27)</f>
        <v/>
      </c>
      <c r="Y18" s="502" t="str">
        <f t="shared" si="17"/>
        <v/>
      </c>
      <c r="Z18" s="52" t="str">
        <f t="shared" si="18"/>
        <v/>
      </c>
      <c r="AA18" s="52" t="str">
        <f t="shared" si="19"/>
        <v/>
      </c>
      <c r="AB18" s="52" t="str">
        <f t="shared" si="20"/>
        <v/>
      </c>
      <c r="AC18" s="134">
        <f t="shared" si="21"/>
        <v>0</v>
      </c>
      <c r="AD18" s="1640">
        <f>IF(IF($G18="New Store",COUNTIF($G$6:$G$25,"New Store")-COUNTIF($G$25:$G25,"New Store"),0)=9,10,9)</f>
        <v>9</v>
      </c>
      <c r="AE18" s="1640" t="str">
        <f t="shared" si="4"/>
        <v/>
      </c>
      <c r="AF18" s="164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0" customFormat="1" x14ac:dyDescent="0.25">
      <c r="A19" s="1640" t="str">
        <f t="shared" si="0"/>
        <v/>
      </c>
      <c r="B19" s="1640">
        <f t="shared" si="1"/>
        <v>0</v>
      </c>
      <c r="C19" s="141">
        <v>14</v>
      </c>
      <c r="D19" s="141"/>
      <c r="E19" s="1347"/>
      <c r="F19" s="1645" t="str">
        <f>IF(BE19&lt;&gt;"Yes",IF(Welcome!$D$18="Select # of Locations","",IF(Welcome!$D$6="New",IF($C19&lt;=Welcome!$D$18,$C19,""),IF($C19&lt;=$E$4,$C19,""))),$C19)</f>
        <v/>
      </c>
      <c r="G19" s="1826"/>
      <c r="H19" s="1837"/>
      <c r="I19" s="1689"/>
      <c r="J19" s="1249"/>
      <c r="K19" s="1650"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1" t="str">
        <f>IF(BE19&lt;&gt;"Yes",IF($F19="","",'Multi-Customer'!$MX49),'Multi-Customer'!$MX49)</f>
        <v/>
      </c>
      <c r="M19" s="1651" t="str">
        <f>IF(BE19&lt;&gt;"Yes",IF($F19="","",IFERROR(VLOOKUP($G19,'Existing Customers'!$A:$AD,30,FALSE),"Enter Menu Type&gt;&gt;")),IFERROR(VLOOKUP($G19,'Existing Customers'!$A:$AD,30,FALSE),"Enter Menu Type&gt;&gt;"))</f>
        <v/>
      </c>
      <c r="N19" s="1651" t="str">
        <f>IF(BE19&lt;&gt;"Yes",IFERROR(IF($C$4&gt;=$C19,VLOOKUP($G19,'Existing Customers'!$A:$J,10,FALSE),""),"Enter Zip Code &gt;"),IFERROR(VLOOKUP($G19,'Existing Customers'!$A:$J,10,FALSE),"Enter Zip Code &gt;"))</f>
        <v/>
      </c>
      <c r="O19" s="1652" t="str">
        <f>IF(BE19&lt;&gt;"Yes",IF($F19="","",'Multi-Customer'!$MX50),'Multi-Customer'!$MX50)</f>
        <v/>
      </c>
      <c r="P19" s="1332"/>
      <c r="Q19" s="1333"/>
      <c r="R19" s="1334"/>
      <c r="S19" s="1331"/>
      <c r="T19" s="1335"/>
      <c r="U19" s="1657"/>
      <c r="V19" s="1661" t="s">
        <v>648</v>
      </c>
      <c r="W19" s="1061"/>
      <c r="X19" s="962" t="str">
        <f>IF($F19="","",'Variable Costs (Back)'!$A28)</f>
        <v/>
      </c>
      <c r="Y19" s="502" t="str">
        <f t="shared" si="17"/>
        <v/>
      </c>
      <c r="Z19" s="52" t="str">
        <f t="shared" si="18"/>
        <v/>
      </c>
      <c r="AA19" s="52" t="str">
        <f t="shared" si="19"/>
        <v/>
      </c>
      <c r="AB19" s="52" t="str">
        <f t="shared" si="20"/>
        <v/>
      </c>
      <c r="AC19" s="134">
        <f t="shared" si="21"/>
        <v>0</v>
      </c>
      <c r="AD19" s="1640">
        <f>IF(IF($G19="New Store",COUNTIF($G$6:$G$25,"New Store")-COUNTIF($G$25:$G25,"New Store"),0)=9,10,9)</f>
        <v>9</v>
      </c>
      <c r="AE19" s="1640" t="str">
        <f t="shared" si="4"/>
        <v/>
      </c>
      <c r="AF19" s="164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0" customFormat="1" x14ac:dyDescent="0.25">
      <c r="A20" s="1640" t="str">
        <f t="shared" si="0"/>
        <v/>
      </c>
      <c r="B20" s="1640">
        <f t="shared" si="1"/>
        <v>0</v>
      </c>
      <c r="C20" s="141">
        <v>15</v>
      </c>
      <c r="D20" s="141"/>
      <c r="E20" s="1347"/>
      <c r="F20" s="1645" t="str">
        <f>IF(BE20&lt;&gt;"Yes",IF(Welcome!$D$18="Select # of Locations","",IF(Welcome!$D$6="New",IF($C20&lt;=Welcome!$D$18,$C20,""),IF($C20&lt;=$E$4,$C20,""))),$C20)</f>
        <v/>
      </c>
      <c r="G20" s="1826"/>
      <c r="H20" s="1837"/>
      <c r="I20" s="1689"/>
      <c r="J20" s="1249"/>
      <c r="K20" s="1650"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1" t="str">
        <f>IF(BE20&lt;&gt;"Yes",IF($F20="","",'Multi-Customer'!$NU49),'Multi-Customer'!$NU49)</f>
        <v/>
      </c>
      <c r="M20" s="1651" t="str">
        <f>IF(BE20&lt;&gt;"Yes",IF($F20="","",IFERROR(VLOOKUP($G20,'Existing Customers'!$A:$AD,30,FALSE),"Enter Menu Type&gt;&gt;")),IFERROR(VLOOKUP($G20,'Existing Customers'!$A:$AD,30,FALSE),"Enter Menu Type&gt;&gt;"))</f>
        <v/>
      </c>
      <c r="N20" s="1651" t="str">
        <f>IF(BE20&lt;&gt;"Yes",IFERROR(IF($C$4&gt;=$C20,VLOOKUP($G20,'Existing Customers'!$A:$J,10,FALSE),""),"Enter Zip Code &gt;"),IFERROR(VLOOKUP($G20,'Existing Customers'!$A:$J,10,FALSE),"Enter Zip Code &gt;"))</f>
        <v/>
      </c>
      <c r="O20" s="1652" t="str">
        <f>IF(BE20&lt;&gt;"Yes",IF($F20="","",'Multi-Customer'!$NU50),'Multi-Customer'!$NU50)</f>
        <v/>
      </c>
      <c r="P20" s="1332"/>
      <c r="Q20" s="1333"/>
      <c r="R20" s="1334"/>
      <c r="S20" s="1331"/>
      <c r="T20" s="1335"/>
      <c r="U20" s="1657"/>
      <c r="V20" s="1661" t="s">
        <v>648</v>
      </c>
      <c r="W20" s="1061"/>
      <c r="X20" s="962" t="str">
        <f>IF($F20="","",'Variable Costs (Back)'!$A29)</f>
        <v/>
      </c>
      <c r="Y20" s="502" t="str">
        <f t="shared" si="17"/>
        <v/>
      </c>
      <c r="Z20" s="52" t="str">
        <f t="shared" si="18"/>
        <v/>
      </c>
      <c r="AA20" s="52" t="str">
        <f t="shared" si="19"/>
        <v/>
      </c>
      <c r="AB20" s="52" t="str">
        <f t="shared" si="20"/>
        <v/>
      </c>
      <c r="AC20" s="134">
        <f t="shared" si="21"/>
        <v>0</v>
      </c>
      <c r="AD20" s="1640">
        <f>IF(IF($G20="New Store",COUNTIF($G$6:$G$25,"New Store")-COUNTIF($G$25:$G25,"New Store"),0)=9,10,9)</f>
        <v>9</v>
      </c>
      <c r="AE20" s="1640" t="str">
        <f t="shared" si="4"/>
        <v/>
      </c>
      <c r="AF20" s="164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0" customFormat="1" x14ac:dyDescent="0.25">
      <c r="A21" s="1640" t="str">
        <f t="shared" si="0"/>
        <v/>
      </c>
      <c r="B21" s="1640">
        <f t="shared" si="1"/>
        <v>0</v>
      </c>
      <c r="C21" s="141">
        <v>16</v>
      </c>
      <c r="D21" s="141"/>
      <c r="E21" s="1347"/>
      <c r="F21" s="1645" t="str">
        <f>IF(BE21&lt;&gt;"Yes",IF(Welcome!$D$18="Select # of Locations","",IF(Welcome!$D$6="New",IF($C21&lt;=Welcome!$D$18,$C21,""),IF($C21&lt;=$E$4,$C21,""))),$C21)</f>
        <v/>
      </c>
      <c r="G21" s="1826"/>
      <c r="H21" s="1837"/>
      <c r="I21" s="1689"/>
      <c r="J21" s="1249"/>
      <c r="K21" s="1650"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1" t="str">
        <f>IF(BE21&lt;&gt;"Yes",IF($F21="","",'Multi-Customer'!$OR49),'Multi-Customer'!$OR49)</f>
        <v/>
      </c>
      <c r="M21" s="1651" t="str">
        <f>IF(BE21&lt;&gt;"Yes",IF($F21="","",IFERROR(VLOOKUP($G21,'Existing Customers'!$A:$AD,30,FALSE),"Enter Menu Type&gt;&gt;")),IFERROR(VLOOKUP($G21,'Existing Customers'!$A:$AD,30,FALSE),"Enter Menu Type&gt;&gt;"))</f>
        <v/>
      </c>
      <c r="N21" s="1651" t="str">
        <f>IF(BE21&lt;&gt;"Yes",IFERROR(IF($C$4&gt;=$C21,VLOOKUP($G21,'Existing Customers'!$A:$J,10,FALSE),""),"Enter Zip Code &gt;"),IFERROR(VLOOKUP($G21,'Existing Customers'!$A:$J,10,FALSE),"Enter Zip Code &gt;"))</f>
        <v/>
      </c>
      <c r="O21" s="1652" t="str">
        <f>IF(BE21&lt;&gt;"Yes",IF($F21="","",'Multi-Customer'!$OR50),'Multi-Customer'!$OR50)</f>
        <v/>
      </c>
      <c r="P21" s="1332"/>
      <c r="Q21" s="1333"/>
      <c r="R21" s="1334"/>
      <c r="S21" s="1331"/>
      <c r="T21" s="1335"/>
      <c r="U21" s="1657"/>
      <c r="V21" s="1661" t="s">
        <v>648</v>
      </c>
      <c r="W21" s="1061"/>
      <c r="X21" s="962" t="str">
        <f>IF($F21="","",'Variable Costs (Back)'!$A30)</f>
        <v/>
      </c>
      <c r="Y21" s="502" t="str">
        <f t="shared" si="17"/>
        <v/>
      </c>
      <c r="Z21" s="52" t="str">
        <f t="shared" si="18"/>
        <v/>
      </c>
      <c r="AA21" s="52" t="str">
        <f t="shared" si="19"/>
        <v/>
      </c>
      <c r="AB21" s="52" t="str">
        <f t="shared" si="20"/>
        <v/>
      </c>
      <c r="AC21" s="134">
        <f t="shared" si="21"/>
        <v>0</v>
      </c>
      <c r="AD21" s="1640">
        <f>IF(IF($G21="New Store",COUNTIF($G$6:$G$25,"New Store")-COUNTIF($G$25:$G25,"New Store"),0)=9,10,9)</f>
        <v>9</v>
      </c>
      <c r="AE21" s="1640" t="str">
        <f t="shared" si="4"/>
        <v/>
      </c>
      <c r="AF21" s="164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0" customFormat="1" x14ac:dyDescent="0.25">
      <c r="A22" s="1640" t="str">
        <f t="shared" si="0"/>
        <v/>
      </c>
      <c r="B22" s="1640">
        <f t="shared" si="1"/>
        <v>0</v>
      </c>
      <c r="C22" s="141">
        <v>17</v>
      </c>
      <c r="D22" s="141"/>
      <c r="E22" s="1347"/>
      <c r="F22" s="1645" t="str">
        <f>IF(BE22&lt;&gt;"Yes",IF(Welcome!$D$18="Select # of Locations","",IF(Welcome!$D$6="New",IF($C22&lt;=Welcome!$D$18,$C22,""),IF($C22&lt;=$E$4,$C22,""))),$C22)</f>
        <v/>
      </c>
      <c r="G22" s="1826"/>
      <c r="H22" s="1837"/>
      <c r="I22" s="1689"/>
      <c r="J22" s="1249"/>
      <c r="K22" s="1650"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1" t="str">
        <f>IF(BE22&lt;&gt;"Yes",IF($F22="","",'Multi-Customer'!$PO49),'Multi-Customer'!$PO49)</f>
        <v/>
      </c>
      <c r="M22" s="1651" t="str">
        <f>IF(BE22&lt;&gt;"Yes",IF($F22="","",IFERROR(VLOOKUP($G22,'Existing Customers'!$A:$AD,30,FALSE),"Enter Menu Type&gt;&gt;")),IFERROR(VLOOKUP($G22,'Existing Customers'!$A:$AD,30,FALSE),"Enter Menu Type&gt;&gt;"))</f>
        <v/>
      </c>
      <c r="N22" s="1651" t="str">
        <f>IF(BE22&lt;&gt;"Yes",IFERROR(IF($C$4&gt;=$C22,VLOOKUP($G22,'Existing Customers'!$A:$J,10,FALSE),""),"Enter Zip Code &gt;"),IFERROR(VLOOKUP($G22,'Existing Customers'!$A:$J,10,FALSE),"Enter Zip Code &gt;"))</f>
        <v/>
      </c>
      <c r="O22" s="1652" t="str">
        <f>IF(BE22&lt;&gt;"Yes",IF($F22="","",'Multi-Customer'!$PO50),'Multi-Customer'!$PO50)</f>
        <v/>
      </c>
      <c r="P22" s="1332"/>
      <c r="Q22" s="1333"/>
      <c r="R22" s="1334"/>
      <c r="S22" s="1331"/>
      <c r="T22" s="1335"/>
      <c r="U22" s="1657"/>
      <c r="V22" s="1661" t="s">
        <v>648</v>
      </c>
      <c r="W22" s="1061"/>
      <c r="X22" s="962" t="str">
        <f>IF($F22="","",'Variable Costs (Back)'!$A31)</f>
        <v/>
      </c>
      <c r="Y22" s="502" t="str">
        <f t="shared" si="17"/>
        <v/>
      </c>
      <c r="Z22" s="52" t="str">
        <f t="shared" si="18"/>
        <v/>
      </c>
      <c r="AA22" s="52" t="str">
        <f t="shared" si="19"/>
        <v/>
      </c>
      <c r="AB22" s="52" t="str">
        <f t="shared" si="20"/>
        <v/>
      </c>
      <c r="AC22" s="134">
        <f t="shared" si="21"/>
        <v>0</v>
      </c>
      <c r="AD22" s="1640">
        <f>IF(IF($G22="New Store",COUNTIF($G$6:$G$25,"New Store")-COUNTIF($G$25:$G25,"New Store"),0)=9,10,9)</f>
        <v>9</v>
      </c>
      <c r="AE22" s="1640" t="str">
        <f t="shared" si="4"/>
        <v/>
      </c>
      <c r="AF22" s="164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0" customFormat="1" x14ac:dyDescent="0.25">
      <c r="A23" s="1640" t="str">
        <f t="shared" si="0"/>
        <v/>
      </c>
      <c r="B23" s="1640">
        <f t="shared" si="1"/>
        <v>0</v>
      </c>
      <c r="C23" s="141">
        <v>18</v>
      </c>
      <c r="D23" s="141"/>
      <c r="E23" s="1347"/>
      <c r="F23" s="1645" t="str">
        <f>IF(BE23&lt;&gt;"Yes",IF(Welcome!$D$18="Select # of Locations","",IF(Welcome!$D$6="New",IF($C23&lt;=Welcome!$D$18,$C23,""),IF($C23&lt;=$E$4,$C23,""))),$C23)</f>
        <v/>
      </c>
      <c r="G23" s="1826"/>
      <c r="H23" s="1837"/>
      <c r="I23" s="1689"/>
      <c r="J23" s="1249"/>
      <c r="K23" s="1650"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1" t="str">
        <f>IF(BE23&lt;&gt;"Yes",IF($F23="","",'Multi-Customer'!$QL49),'Multi-Customer'!$QL49)</f>
        <v/>
      </c>
      <c r="M23" s="1651" t="str">
        <f>IF(BE23&lt;&gt;"Yes",IF($F23="","",IFERROR(VLOOKUP($G23,'Existing Customers'!$A:$AD,30,FALSE),"Enter Menu Type&gt;&gt;")),IFERROR(VLOOKUP($G23,'Existing Customers'!$A:$AD,30,FALSE),"Enter Menu Type&gt;&gt;"))</f>
        <v/>
      </c>
      <c r="N23" s="1651" t="str">
        <f>IF(BE23&lt;&gt;"Yes",IFERROR(IF($C$4&gt;=$C23,VLOOKUP($G23,'Existing Customers'!$A:$J,10,FALSE),""),"Enter Zip Code &gt;"),IFERROR(VLOOKUP($G23,'Existing Customers'!$A:$J,10,FALSE),"Enter Zip Code &gt;"))</f>
        <v/>
      </c>
      <c r="O23" s="1652" t="str">
        <f>IF(BE23&lt;&gt;"Yes",IF($F23="","",'Multi-Customer'!$QL50),'Multi-Customer'!$QL50)</f>
        <v/>
      </c>
      <c r="P23" s="1332"/>
      <c r="Q23" s="1333"/>
      <c r="R23" s="1334"/>
      <c r="S23" s="1331"/>
      <c r="T23" s="1335"/>
      <c r="U23" s="1657"/>
      <c r="V23" s="1661" t="s">
        <v>648</v>
      </c>
      <c r="W23" s="1061"/>
      <c r="X23" s="962" t="str">
        <f>IF($F23="","",'Variable Costs (Back)'!$A32)</f>
        <v/>
      </c>
      <c r="Y23" s="502" t="str">
        <f t="shared" si="17"/>
        <v/>
      </c>
      <c r="Z23" s="52" t="str">
        <f t="shared" si="18"/>
        <v/>
      </c>
      <c r="AA23" s="52" t="str">
        <f t="shared" si="19"/>
        <v/>
      </c>
      <c r="AB23" s="52" t="str">
        <f t="shared" si="20"/>
        <v/>
      </c>
      <c r="AC23" s="134">
        <f t="shared" si="21"/>
        <v>0</v>
      </c>
      <c r="AD23" s="1640">
        <f>IF(IF($G23="New Store",COUNTIF($G$6:$G$25,"New Store")-COUNTIF($G$25:$G25,"New Store"),0)=9,10,9)</f>
        <v>9</v>
      </c>
      <c r="AE23" s="1640" t="str">
        <f t="shared" si="4"/>
        <v/>
      </c>
      <c r="AF23" s="164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0" customFormat="1" x14ac:dyDescent="0.25">
      <c r="A24" s="1640" t="str">
        <f t="shared" si="0"/>
        <v/>
      </c>
      <c r="B24" s="1640">
        <f t="shared" si="1"/>
        <v>0</v>
      </c>
      <c r="C24" s="141">
        <v>19</v>
      </c>
      <c r="D24" s="141"/>
      <c r="E24" s="1347"/>
      <c r="F24" s="1645" t="str">
        <f>IF(BE24&lt;&gt;"Yes",IF(Welcome!$D$18="Select # of Locations","",IF(Welcome!$D$6="New",IF($C24&lt;=Welcome!$D$18,$C24,""),IF($C24&lt;=$E$4,$C24,""))),$C24)</f>
        <v/>
      </c>
      <c r="G24" s="1826"/>
      <c r="H24" s="1837"/>
      <c r="I24" s="1689"/>
      <c r="J24" s="1249"/>
      <c r="K24" s="1650"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1" t="str">
        <f>IF(BE24&lt;&gt;"Yes",IF($F24="","",'Multi-Customer'!$RI49),'Multi-Customer'!$RI49)</f>
        <v/>
      </c>
      <c r="M24" s="1651" t="str">
        <f>IF(BE24&lt;&gt;"Yes",IF($F24="","",IFERROR(VLOOKUP($G24,'Existing Customers'!$A:$AD,30,FALSE),"Enter Menu Type&gt;&gt;")),IFERROR(VLOOKUP($G24,'Existing Customers'!$A:$AD,30,FALSE),"Enter Menu Type&gt;&gt;"))</f>
        <v/>
      </c>
      <c r="N24" s="1651" t="str">
        <f>IF(BE24&lt;&gt;"Yes",IFERROR(IF($C$4&gt;=$C24,VLOOKUP($G24,'Existing Customers'!$A:$J,10,FALSE),""),"Enter Zip Code &gt;"),IFERROR(VLOOKUP($G24,'Existing Customers'!$A:$J,10,FALSE),"Enter Zip Code &gt;"))</f>
        <v/>
      </c>
      <c r="O24" s="1652" t="str">
        <f>IF(BE24&lt;&gt;"Yes",IF($F24="","",'Multi-Customer'!$RI50),'Multi-Customer'!$RI50)</f>
        <v/>
      </c>
      <c r="P24" s="1332"/>
      <c r="Q24" s="1333"/>
      <c r="R24" s="1334"/>
      <c r="S24" s="1331"/>
      <c r="T24" s="1335"/>
      <c r="U24" s="1657"/>
      <c r="V24" s="1661" t="s">
        <v>648</v>
      </c>
      <c r="W24" s="1061"/>
      <c r="X24" s="962" t="str">
        <f>IF($F24="","",'Variable Costs (Back)'!$A33)</f>
        <v/>
      </c>
      <c r="Y24" s="502" t="str">
        <f t="shared" si="17"/>
        <v/>
      </c>
      <c r="Z24" s="52" t="str">
        <f t="shared" si="18"/>
        <v/>
      </c>
      <c r="AA24" s="52" t="str">
        <f t="shared" si="19"/>
        <v/>
      </c>
      <c r="AB24" s="52" t="str">
        <f t="shared" si="20"/>
        <v/>
      </c>
      <c r="AC24" s="134">
        <f t="shared" si="21"/>
        <v>0</v>
      </c>
      <c r="AD24" s="1640">
        <f>IF(IF($G24="New Store",COUNTIF($G$6:$G$25,"New Store")-COUNTIF($G$25:$G25,"New Store"),0)=9,10,9)</f>
        <v>9</v>
      </c>
      <c r="AE24" s="1640" t="str">
        <f t="shared" si="4"/>
        <v/>
      </c>
      <c r="AF24" s="164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Locations","",IF(Welcome!$D$6="New",IF($C25&lt;=Welcome!$D$18,$C25,""),IF($C25&lt;=$E$4,$C25,""))),$C25)</f>
        <v/>
      </c>
      <c r="G25" s="1824"/>
      <c r="H25" s="1838"/>
      <c r="I25" s="1690"/>
      <c r="J25" s="1250"/>
      <c r="K25" s="1653"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58"/>
      <c r="V25" s="1662"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906">
        <f>SUMIFS($I$6:$I$25,$W6:$W25,"&lt;&gt;End")</f>
        <v>0</v>
      </c>
      <c r="J27" s="1908" t="s">
        <v>1286</v>
      </c>
      <c r="K27" s="1910">
        <f>SUMIFS($K$6:$K$25,$W6:$W25,"&lt;&gt;End")</f>
        <v>0</v>
      </c>
      <c r="L27" s="1908" t="s">
        <v>1287</v>
      </c>
      <c r="M27" s="594"/>
      <c r="N27" s="594"/>
      <c r="O27" s="594"/>
      <c r="P27" s="1906">
        <f>SUMIFS($P$6:$P$25,$F$6:$F$25,"&gt;0",$W6:$W25,"&lt;&gt;End")</f>
        <v>0</v>
      </c>
      <c r="Q27" s="1902" t="s">
        <v>1288</v>
      </c>
      <c r="R27" s="190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907"/>
      <c r="J28" s="1909"/>
      <c r="K28" s="1911"/>
      <c r="L28" s="1909"/>
      <c r="M28" s="594"/>
      <c r="N28" s="594"/>
      <c r="O28" s="594"/>
      <c r="P28" s="1907"/>
      <c r="Q28" s="1903"/>
      <c r="R28" s="1904"/>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Ojp3YZe3y3z09mQQGI8Y4P3mZazCxSEnB0CZKcBTIWnuRAdeWgH+RHYx9oOKZ1+VXtDzKrcM3uR5d7Y2+ONosA==" saltValue="DNLuHXOUnmTDwrtmgN/gR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23" t="str">
        <f>IFERROR(VLOOKUP($H$4,'Market Geography'!$D:$G,4,FALSE),"Select Market")</f>
        <v>Select Market</v>
      </c>
      <c r="I3" s="1924"/>
      <c r="J3" s="1924"/>
      <c r="K3" s="19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20">
        <f>Welcome!$D$4</f>
        <v>0</v>
      </c>
      <c r="I4" s="1921"/>
      <c r="J4" s="1921"/>
      <c r="K4" s="19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20" t="str">
        <f>'Multi-Customer'!$S$49</f>
        <v>Enter Customer(s)</v>
      </c>
      <c r="I5" s="1921"/>
      <c r="J5" s="1921"/>
      <c r="K5" s="19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20" t="str">
        <f>'Multi-Customer'!$AH$40</f>
        <v>MULTIPLE TYPES</v>
      </c>
      <c r="I6" s="1921"/>
      <c r="J6" s="1921"/>
      <c r="K6" s="19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26" t="s">
        <v>206</v>
      </c>
      <c r="I7" s="1927"/>
      <c r="J7" s="1927"/>
      <c r="K7" s="1928"/>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5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5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5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5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5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5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5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5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5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5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5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5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5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5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5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5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5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5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IF($E$3="CIA",IF($D27="%",$P27*$G27,$P27*$H27),IF($D27="%",$K27*$G27,$K27*H27))</f>
        <v>0</v>
      </c>
      <c r="K27" s="175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5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5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39" t="s">
        <v>479</v>
      </c>
      <c r="E30" s="491" t="s">
        <v>909</v>
      </c>
      <c r="F30" s="164" t="s">
        <v>87</v>
      </c>
      <c r="G30" s="1741">
        <f>IFERROR('PIM Ranges'!AL32,0)</f>
        <v>0</v>
      </c>
      <c r="H30" s="1740">
        <f>IFERROR('PIM Ranges'!AM32,0)</f>
        <v>0</v>
      </c>
      <c r="I30" s="1742">
        <f>IFERROR('PIM Ranges'!AN32,0)</f>
        <v>0</v>
      </c>
      <c r="J30" s="1743">
        <f>IF($E$3="CIA",IF($D30="%",$P30*$G30,$P30*$I30),IF($D30="%",$K30*$G30,$K30*I30))</f>
        <v>0</v>
      </c>
      <c r="K30" s="175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44"/>
      <c r="C31" s="1745"/>
      <c r="D31" s="1746"/>
      <c r="E31" s="1747"/>
      <c r="F31" s="1748" t="s">
        <v>2230</v>
      </c>
      <c r="G31" s="1749"/>
      <c r="H31" s="1750"/>
      <c r="I31" s="1751"/>
      <c r="J31" s="1821"/>
      <c r="K31" s="1752"/>
      <c r="L31" s="560"/>
      <c r="M31" s="1738"/>
      <c r="N31" s="161"/>
      <c r="O31" s="1780"/>
      <c r="P31" s="1780"/>
      <c r="Q31" s="1780"/>
      <c r="R31" s="1036"/>
      <c r="S31" s="1781"/>
      <c r="T31" s="1781"/>
      <c r="U31" s="1781"/>
      <c r="V31" s="139"/>
      <c r="W31" s="178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5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7" t="s">
        <v>119</v>
      </c>
      <c r="H34" s="1918"/>
      <c r="I34" s="367">
        <f>IF($E$3="MDA",'PIM Ranges'!$AZ$7,'PIM Ranges'!$BL$7)</f>
        <v>8.8999999999999996E-2</v>
      </c>
      <c r="J34" s="134"/>
      <c r="K34" s="1919" t="str">
        <f>IF(COUNTIF($AB$10:$AB$30,"ERROR")&lt;1,"",IF(COUNTIF($AB$10:$AB$30,"ERROR")&lt;2,(COUNTIF($AB$10:$AB$30,"ERROR")&amp;" Margin Missing Above"),(COUNTIF($AB$10:$AB$30,"ERROR")&amp;" Margins Missing Above")))</f>
        <v/>
      </c>
      <c r="L34" s="1919"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2" t="s">
        <v>488</v>
      </c>
      <c r="H35" s="1913"/>
      <c r="I35" s="363">
        <f>J32</f>
        <v>0</v>
      </c>
      <c r="J35" s="134"/>
      <c r="K35" s="1919" t="str">
        <f>IF(COUNTIFS($L$10:$L$30,"X",$AF$10:$AF$30,"BELOW")&lt;1,"",IF(COUNTIFS($L$10:$L$30,"X",$AF$10:$AF$30,"BELOW")&lt;2,(COUNTIFS($L$10:$L$30,"X",$AF$10:$AF$30,"BELOW")&amp;" Margin Below Minimum"),(COUNTIFS($L$10:$L$30,"X",$AF$10:$AF$30,"BELOW")&amp;" Margins Below Minimum")))</f>
        <v/>
      </c>
      <c r="L35" s="19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2" t="s">
        <v>1242</v>
      </c>
      <c r="H36" s="1913"/>
      <c r="I36" s="1456" t="str">
        <f>IFERROR(I35/G32,"")</f>
        <v/>
      </c>
      <c r="K36" s="1919" t="str">
        <f>IF(COUNTIFS($L$10:$L$30,"X",$AF$10:$AF$30,"ABOVE")&lt;1,"",IF(COUNTIFS($L$10:$L$30,"X",$AF$10:$AF$30,"ABOVE")&lt;2,(COUNTIFS($L$10:$L$30,"X",$AF$10:$AF$30,"ABOVE")&amp;" Margin Above Maximum"),(COUNTIFS($L$10:$L$30,"X",$AF$10:$AF$30,"ABOVE")&amp;" Margins Above Maximum")))</f>
        <v/>
      </c>
      <c r="L36" s="1919"/>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2"/>
      <c r="H37" s="191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2" t="str">
        <f>IFERROR(IF(I36&gt;I34,"","Below Recommended TAGP: "),"")</f>
        <v/>
      </c>
      <c r="H38" s="191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2"/>
      <c r="H39" s="191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2" t="s">
        <v>1243</v>
      </c>
      <c r="H40" s="191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4" t="s">
        <v>489</v>
      </c>
      <c r="H41" s="1915"/>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6"/>
      <c r="G53" s="19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6"/>
      <c r="G54" s="19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6"/>
      <c r="G55" s="1916"/>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b7+vo2eRmUo1Kc/M6/PCgHib10B9tzUbYVejaSJSUR+B3w1boLYnOVgq2hMcb8O74//a7C9HB39+ybsrWbQkqw==" saltValue="2JWYCQEwfmmfRidZBnQbKw=="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63" t="str">
        <f>Welcome!$D$10</f>
        <v>Please Select</v>
      </c>
      <c r="I3" s="1964"/>
      <c r="J3" s="770"/>
      <c r="K3" s="851" t="s">
        <v>110</v>
      </c>
      <c r="L3" s="1965" t="str">
        <f>IFERROR(VLOOKUP($L$4,'Market Geography'!$D:$G,4,FALSE),"Select Market")</f>
        <v>Select Market</v>
      </c>
      <c r="M3" s="1966"/>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F4" s="568" t="str">
        <f>IF(OR(E159="Yes",OR(E183="Yes",OR(E194="Yes",E226="Yes"))),"Yes","No")</f>
        <v>No</v>
      </c>
      <c r="G4" s="852" t="s">
        <v>1151</v>
      </c>
      <c r="H4" s="1967" t="str">
        <f>Welcome!$D$16</f>
        <v>Select Term</v>
      </c>
      <c r="I4" s="1968"/>
      <c r="J4" s="180"/>
      <c r="K4" s="852" t="s">
        <v>836</v>
      </c>
      <c r="L4" s="1969">
        <f>Welcome!$D$4</f>
        <v>0</v>
      </c>
      <c r="M4" s="1970"/>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F5" s="568" t="str">
        <f>IF(OR(E13="Yes",OR(E55="Yes",OR(E83="Yes",OR(E111="Yes",OR(E151="Yes",E175="Yes"))))),"Yes","No")</f>
        <v>No</v>
      </c>
      <c r="G5" s="852" t="s">
        <v>1156</v>
      </c>
      <c r="H5" s="1971">
        <f>'PIM Model'!$G$32</f>
        <v>0</v>
      </c>
      <c r="I5" s="1972"/>
      <c r="J5" s="770"/>
      <c r="K5" s="852" t="s">
        <v>107</v>
      </c>
      <c r="L5" s="1969" t="str">
        <f>'Multi-Customer'!$S$49</f>
        <v>Enter Customer(s)</v>
      </c>
      <c r="M5" s="1970"/>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F6" s="568" t="str">
        <f>IF(AND(F4="Yes",F5="No"),"Yes","No")</f>
        <v>No</v>
      </c>
      <c r="G6" s="852" t="s">
        <v>1157</v>
      </c>
      <c r="H6" s="1973">
        <f>'Variable Costs (Back)'!$K$36</f>
        <v>0</v>
      </c>
      <c r="I6" s="1974"/>
      <c r="J6" s="770"/>
      <c r="K6" s="852" t="s">
        <v>1164</v>
      </c>
      <c r="L6" s="1969" t="str">
        <f>'Multi-Customer'!$AH$40</f>
        <v>MULTIPLE TYPES</v>
      </c>
      <c r="M6" s="1970"/>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75">
        <f>IFERROR('PIM Ranges'!$AW$3,0)</f>
        <v>0</v>
      </c>
      <c r="I7" s="1976"/>
      <c r="J7" s="770"/>
      <c r="K7" s="853" t="s">
        <v>1159</v>
      </c>
      <c r="L7" s="1977" t="s">
        <v>206</v>
      </c>
      <c r="M7" s="1978"/>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81" t="s">
        <v>1768</v>
      </c>
      <c r="E8" s="1983"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82"/>
      <c r="E9" s="1984"/>
      <c r="F9" s="136"/>
      <c r="G9" s="854" t="s">
        <v>845</v>
      </c>
      <c r="H9" s="1979">
        <f>IFERROR('PIM Model'!$G$32,0)</f>
        <v>0</v>
      </c>
      <c r="I9" s="1980"/>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60">
        <f>IFERROR('PIM Model'!$G$33,0)</f>
        <v>0</v>
      </c>
      <c r="I10" s="1961"/>
      <c r="L10" s="176"/>
      <c r="M10" s="176"/>
      <c r="N10" s="176"/>
      <c r="O10" s="176"/>
      <c r="P10" s="176"/>
      <c r="Q10" s="181"/>
      <c r="R10" s="916">
        <v>0</v>
      </c>
      <c r="S10" s="1952" t="s">
        <v>1512</v>
      </c>
      <c r="T10" s="1952"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52"/>
      <c r="T11" s="1952"/>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57" t="s">
        <v>847</v>
      </c>
      <c r="E12" s="1957"/>
      <c r="F12" s="184"/>
      <c r="G12" s="1958"/>
      <c r="H12" s="1959"/>
      <c r="I12" s="185"/>
      <c r="J12" s="1962"/>
      <c r="K12" s="1962"/>
      <c r="L12" s="183"/>
      <c r="M12" s="183"/>
      <c r="N12" s="183"/>
      <c r="O12" s="1938" t="str">
        <f>IF(COUNTIF($K$19:$K$23,"&gt;.03")&gt;0,"***Warning:You have entered an Rate % of Sales above the recommended 3%***","")</f>
        <v/>
      </c>
      <c r="P12" s="1939"/>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40"/>
      <c r="P13" s="1941"/>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40"/>
      <c r="P14" s="1941"/>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40"/>
      <c r="P15" s="1941"/>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40"/>
      <c r="P16" s="1941"/>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6"/>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6"/>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6"/>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6"/>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57" t="s">
        <v>847</v>
      </c>
      <c r="E26" s="1957"/>
      <c r="F26" s="184"/>
      <c r="G26" s="1958"/>
      <c r="H26" s="1959"/>
      <c r="I26" s="185"/>
      <c r="J26" s="1962"/>
      <c r="K26" s="1962"/>
      <c r="L26" s="183"/>
      <c r="M26" s="183"/>
      <c r="N26" s="183"/>
      <c r="O26" s="1938" t="str">
        <f>IF(COUNTIF($K$33:$K$37,"&gt;.03")&gt;0,"***Warning:You have entered an Rate % of Sales above the recommended 3%***","")</f>
        <v/>
      </c>
      <c r="P26" s="1939"/>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40"/>
      <c r="P27" s="1941"/>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40"/>
      <c r="P28" s="1941"/>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40"/>
      <c r="P29" s="1941"/>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40"/>
      <c r="P30" s="1941"/>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6"/>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6"/>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6"/>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6"/>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6"/>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57" t="s">
        <v>847</v>
      </c>
      <c r="E40" s="1957"/>
      <c r="F40" s="184"/>
      <c r="G40" s="1958"/>
      <c r="H40" s="1959"/>
      <c r="I40" s="185"/>
      <c r="J40" s="1962"/>
      <c r="K40" s="1962"/>
      <c r="L40" s="183"/>
      <c r="M40" s="183"/>
      <c r="N40" s="183"/>
      <c r="O40" s="1938" t="str">
        <f>IF(COUNTIF($K$47:$K$51,"&gt;.03")&gt;0,"***Warning:You have entered an Rate % of Sales above the recommended 3%***","")</f>
        <v/>
      </c>
      <c r="P40" s="1939"/>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40"/>
      <c r="P41" s="1941"/>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40"/>
      <c r="P42" s="1941"/>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40"/>
      <c r="P43" s="1941"/>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40"/>
      <c r="P44" s="1941"/>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6"/>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6"/>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6"/>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6"/>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6"/>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45" t="s">
        <v>217</v>
      </c>
      <c r="E54" s="1945"/>
      <c r="F54" s="212"/>
      <c r="G54" s="213"/>
      <c r="H54" s="772"/>
      <c r="I54" s="214"/>
      <c r="J54" s="183"/>
      <c r="K54" s="215"/>
      <c r="L54" s="183"/>
      <c r="M54" s="216"/>
      <c r="N54" s="216"/>
      <c r="O54" s="1934" t="str">
        <f>IF(COUNTIF($K$61:$K$65,"&gt;.03")&gt;0,"***Warning:You have entered an Rate % of Sales above the recommended 3%***","")</f>
        <v/>
      </c>
      <c r="P54" s="1935"/>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6"/>
      <c r="P55" s="1937"/>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6"/>
      <c r="P56" s="1937"/>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6"/>
      <c r="P57" s="1937"/>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6"/>
      <c r="P58" s="1937"/>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86"/>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86"/>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86"/>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38"/>
      <c r="AF62" s="1638"/>
      <c r="AG62" s="1638"/>
      <c r="AH62" s="1638"/>
      <c r="AI62" s="1638"/>
      <c r="AJ62" s="1638"/>
      <c r="AK62" s="1638"/>
      <c r="AL62" s="1638"/>
      <c r="AM62" s="1638"/>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86"/>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38"/>
      <c r="AF63" s="1638"/>
      <c r="AG63" s="1638"/>
      <c r="AH63" s="1638"/>
      <c r="AI63" s="1638"/>
      <c r="AJ63" s="1638"/>
      <c r="AK63" s="1638"/>
      <c r="AL63" s="1638"/>
      <c r="AM63" s="1638"/>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86"/>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38"/>
      <c r="AF66" s="1638"/>
      <c r="AG66" s="1638"/>
      <c r="AH66" s="1638"/>
      <c r="AI66" s="1638"/>
      <c r="AJ66" s="1638"/>
      <c r="AK66" s="1638"/>
      <c r="AL66" s="1638"/>
      <c r="AM66" s="1638"/>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38"/>
      <c r="AF67" s="1638"/>
      <c r="AG67" s="1638"/>
      <c r="AH67" s="1638"/>
      <c r="AI67" s="1638"/>
      <c r="AJ67" s="1638"/>
      <c r="AK67" s="1638"/>
      <c r="AL67" s="1638"/>
      <c r="AM67" s="1638"/>
      <c r="AN67" s="258" t="str">
        <f>IF(X67&lt;&gt;"",IF(G365="","Yes","No"),"No")</f>
        <v>No</v>
      </c>
    </row>
    <row r="68" spans="1:40" s="771" customFormat="1" ht="21.75" hidden="1" customHeight="1" thickBot="1" x14ac:dyDescent="0.3">
      <c r="A68" s="247"/>
      <c r="B68" s="247"/>
      <c r="C68" s="1303"/>
      <c r="D68" s="1945" t="s">
        <v>217</v>
      </c>
      <c r="E68" s="1945"/>
      <c r="F68" s="212"/>
      <c r="G68" s="213"/>
      <c r="H68" s="772"/>
      <c r="I68" s="214"/>
      <c r="J68" s="183"/>
      <c r="K68" s="215"/>
      <c r="L68" s="183"/>
      <c r="M68" s="216"/>
      <c r="N68" s="216"/>
      <c r="O68" s="1934" t="str">
        <f>IF(COUNTIF($K$75:$K$79,"&gt;.03")&gt;0,"***Warning:You have entered an Rate % of Sales above the recommended 3%***","")</f>
        <v/>
      </c>
      <c r="P68" s="1935"/>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6"/>
      <c r="P69" s="1937"/>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6"/>
      <c r="P70" s="1937"/>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6"/>
      <c r="P71" s="1937"/>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6"/>
      <c r="P72" s="1937"/>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86"/>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86"/>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86"/>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86"/>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86"/>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45" t="s">
        <v>525</v>
      </c>
      <c r="E82" s="1945"/>
      <c r="F82" s="212"/>
      <c r="G82" s="224"/>
      <c r="H82" s="772"/>
      <c r="I82" s="214"/>
      <c r="J82" s="225"/>
      <c r="K82" s="215"/>
      <c r="L82" s="225"/>
      <c r="M82" s="216"/>
      <c r="N82" s="216"/>
      <c r="O82" s="1934" t="str">
        <f>IF(COUNTIF($K$89:$K$93,"&gt;.03")&gt;0,"***Warning:You have entered an Rate % of Sales above the recommended 3%***","")</f>
        <v/>
      </c>
      <c r="P82" s="1935"/>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38"/>
      <c r="AF82" s="1638"/>
      <c r="AG82" s="1638"/>
      <c r="AH82" s="1638"/>
      <c r="AI82" s="1638"/>
      <c r="AJ82" s="1638"/>
      <c r="AK82" s="1638"/>
      <c r="AL82" s="1638"/>
      <c r="AM82" s="1638"/>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6"/>
      <c r="P83" s="1937"/>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38"/>
      <c r="AF83" s="1638"/>
      <c r="AG83" s="1638"/>
      <c r="AH83" s="1638"/>
      <c r="AI83" s="1638"/>
      <c r="AJ83" s="1638"/>
      <c r="AK83" s="1638"/>
      <c r="AL83" s="1638"/>
      <c r="AM83" s="1638"/>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6"/>
      <c r="P84" s="1937"/>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38"/>
      <c r="AF84" s="1638"/>
      <c r="AG84" s="1638"/>
      <c r="AH84" s="1638"/>
      <c r="AI84" s="1638"/>
      <c r="AJ84" s="1638"/>
      <c r="AK84" s="1638"/>
      <c r="AL84" s="1638"/>
      <c r="AM84" s="1638"/>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6"/>
      <c r="P85" s="1937"/>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38"/>
      <c r="AF85" s="1638"/>
      <c r="AG85" s="1638"/>
      <c r="AH85" s="1638"/>
      <c r="AI85" s="1638"/>
      <c r="AJ85" s="1638"/>
      <c r="AK85" s="1638"/>
      <c r="AL85" s="1638"/>
      <c r="AM85" s="1638"/>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6"/>
      <c r="P86" s="1937"/>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38"/>
      <c r="AF86" s="1638"/>
      <c r="AG86" s="1638"/>
      <c r="AH86" s="1638"/>
      <c r="AI86" s="1638"/>
      <c r="AJ86" s="1638"/>
      <c r="AK86" s="1638"/>
      <c r="AL86" s="1638"/>
      <c r="AM86" s="1638"/>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38"/>
      <c r="AF87" s="1638"/>
      <c r="AG87" s="1638"/>
      <c r="AH87" s="1638"/>
      <c r="AI87" s="1638"/>
      <c r="AJ87" s="1638"/>
      <c r="AK87" s="1638"/>
      <c r="AL87" s="1638"/>
      <c r="AM87" s="1638"/>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86"/>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86"/>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86"/>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86"/>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86"/>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45" t="s">
        <v>525</v>
      </c>
      <c r="E96" s="1945"/>
      <c r="F96" s="212"/>
      <c r="G96" s="224"/>
      <c r="H96" s="772"/>
      <c r="I96" s="214"/>
      <c r="J96" s="225"/>
      <c r="K96" s="215"/>
      <c r="L96" s="225"/>
      <c r="M96" s="216"/>
      <c r="N96" s="216"/>
      <c r="O96" s="1934" t="str">
        <f>IF(COUNTIF($K$103:$K$107,"&gt;.03")&gt;0,"***Warning:You have entered an Rate % of Sales above the recommended 3%***","")</f>
        <v/>
      </c>
      <c r="P96" s="1935"/>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6"/>
      <c r="P97" s="1937"/>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6"/>
      <c r="P98" s="1937"/>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6"/>
      <c r="P99" s="1937"/>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6"/>
      <c r="P100" s="1937"/>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86"/>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86"/>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86"/>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86"/>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45" t="s">
        <v>1100</v>
      </c>
      <c r="E110" s="1945"/>
      <c r="F110" s="212"/>
      <c r="G110" s="234"/>
      <c r="H110" s="182"/>
      <c r="I110" s="235"/>
      <c r="J110" s="215"/>
      <c r="K110" s="216"/>
      <c r="L110" s="182"/>
      <c r="M110" s="216"/>
      <c r="N110" s="1934" t="str">
        <f>IF(COUNTIF($K$115,"&gt;.02")&gt;0,"***Warning:You have entered an Rate % of Sales above the recommended amount.Rate % of Sales should be between 0% and 2%***","")</f>
        <v/>
      </c>
      <c r="O110" s="1934"/>
      <c r="P110" s="1935"/>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6"/>
      <c r="O111" s="1936"/>
      <c r="P111" s="1937"/>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6"/>
      <c r="O112" s="1936"/>
      <c r="P112" s="1937"/>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4"/>
      <c r="N113" s="1936"/>
      <c r="O113" s="1936"/>
      <c r="P113" s="1937"/>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6"/>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6"/>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85"/>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45" t="s">
        <v>1100</v>
      </c>
      <c r="E118" s="1945"/>
      <c r="F118" s="212"/>
      <c r="G118" s="234"/>
      <c r="H118" s="182"/>
      <c r="I118" s="235"/>
      <c r="J118" s="215"/>
      <c r="K118" s="216"/>
      <c r="L118" s="182"/>
      <c r="M118" s="216"/>
      <c r="N118" s="1934" t="str">
        <f>IF(COUNTIF($K$123,"&gt;.02")&gt;0,"***Warning:You have entered an Rate % of Sales above the recommended amount.Rate % of Sales should be between 0% and 2%***","")</f>
        <v/>
      </c>
      <c r="O118" s="1934"/>
      <c r="P118" s="1935"/>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6"/>
      <c r="O119" s="1936"/>
      <c r="P119" s="1937"/>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6"/>
      <c r="O120" s="1936"/>
      <c r="P120" s="1937"/>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4"/>
      <c r="N121" s="1936"/>
      <c r="O121" s="1936"/>
      <c r="P121" s="1937"/>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6"/>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6"/>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85"/>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45" t="s">
        <v>1100</v>
      </c>
      <c r="E126" s="1945"/>
      <c r="F126" s="212"/>
      <c r="G126" s="234"/>
      <c r="H126" s="182"/>
      <c r="I126" s="235"/>
      <c r="J126" s="215"/>
      <c r="K126" s="216"/>
      <c r="L126" s="182"/>
      <c r="M126" s="216"/>
      <c r="N126" s="1934" t="str">
        <f>IF(COUNTIF($K$131,"&gt;.02")&gt;0,"***Warning:You have entered an Rate % of Sales above the recommended amount.Rate % of Sales should be between 0% and 2%***","")</f>
        <v/>
      </c>
      <c r="O126" s="1934"/>
      <c r="P126" s="1935"/>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6"/>
      <c r="O127" s="1936"/>
      <c r="P127" s="1937"/>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6"/>
      <c r="O128" s="1936"/>
      <c r="P128" s="1937"/>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4"/>
      <c r="N129" s="1936"/>
      <c r="O129" s="1936"/>
      <c r="P129" s="1937"/>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6"/>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6"/>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85"/>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45" t="s">
        <v>1100</v>
      </c>
      <c r="E134" s="1945"/>
      <c r="F134" s="212"/>
      <c r="G134" s="234"/>
      <c r="H134" s="182"/>
      <c r="I134" s="235"/>
      <c r="J134" s="215"/>
      <c r="K134" s="216"/>
      <c r="L134" s="182"/>
      <c r="M134" s="216"/>
      <c r="N134" s="1934" t="str">
        <f>IF(COUNTIF($K$139,"&gt;.02")&gt;0,"***Warning:You have entered an Rate % of Sales above the recommended amount.Rate % of Sales should be between 0% and 2%***","")</f>
        <v/>
      </c>
      <c r="O134" s="1934"/>
      <c r="P134" s="1935"/>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6"/>
      <c r="O135" s="1936"/>
      <c r="P135" s="1937"/>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6"/>
      <c r="O136" s="1936"/>
      <c r="P136" s="1937"/>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4"/>
      <c r="N137" s="1936"/>
      <c r="O137" s="1936"/>
      <c r="P137" s="1937"/>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6"/>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6"/>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85"/>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45" t="s">
        <v>1100</v>
      </c>
      <c r="E142" s="1945"/>
      <c r="F142" s="212"/>
      <c r="G142" s="234"/>
      <c r="H142" s="182"/>
      <c r="I142" s="235"/>
      <c r="J142" s="215"/>
      <c r="K142" s="216"/>
      <c r="L142" s="182"/>
      <c r="M142" s="216"/>
      <c r="N142" s="1934" t="str">
        <f>IF(COUNTIF($K$147,"&gt;.02")&gt;0,"***Warning:You have entered an Rate % of Sales above the recommended amount.Rate % of Sales should be between 0% and 2%***","")</f>
        <v/>
      </c>
      <c r="O142" s="1934"/>
      <c r="P142" s="1935"/>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6"/>
      <c r="O143" s="1936"/>
      <c r="P143" s="1937"/>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6"/>
      <c r="O144" s="1936"/>
      <c r="P144" s="1937"/>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4"/>
      <c r="N145" s="1936"/>
      <c r="O145" s="1936"/>
      <c r="P145" s="1937"/>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6"/>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6"/>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85"/>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45" t="s">
        <v>717</v>
      </c>
      <c r="E150" s="1945"/>
      <c r="F150" s="183"/>
      <c r="G150" s="234"/>
      <c r="H150" s="182"/>
      <c r="I150" s="235"/>
      <c r="J150" s="215"/>
      <c r="K150" s="216"/>
      <c r="L150" s="182"/>
      <c r="M150" s="216"/>
      <c r="N150" s="1934" t="str">
        <f>IF(COUNTIF($K$155,"&gt;.03")&gt;0,"***Warning:You have entered an Rate % of Sales above the recommended 3%***","")</f>
        <v/>
      </c>
      <c r="O150" s="1934"/>
      <c r="P150" s="1935"/>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6"/>
      <c r="O151" s="1936"/>
      <c r="P151" s="1937"/>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6"/>
      <c r="O152" s="1936"/>
      <c r="P152" s="1937"/>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4"/>
      <c r="N153" s="1936"/>
      <c r="O153" s="1936"/>
      <c r="P153" s="1937"/>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6"/>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6"/>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85"/>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45" t="s">
        <v>1090</v>
      </c>
      <c r="E158" s="1945"/>
      <c r="F158" s="212"/>
      <c r="G158" s="234"/>
      <c r="H158" s="182"/>
      <c r="I158" s="235"/>
      <c r="J158" s="215"/>
      <c r="K158" s="216"/>
      <c r="L158" s="182"/>
      <c r="M158" s="216"/>
      <c r="N158" s="193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4"/>
      <c r="P158" s="1935"/>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6"/>
      <c r="O159" s="1936"/>
      <c r="P159" s="1937"/>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6"/>
      <c r="O160" s="1936"/>
      <c r="P160" s="1937"/>
      <c r="Q160" s="178"/>
      <c r="S160" s="568"/>
    </row>
    <row r="161" spans="1:19" s="771" customFormat="1" ht="18" customHeight="1" thickBot="1" x14ac:dyDescent="0.3">
      <c r="A161" s="242"/>
      <c r="B161" s="242"/>
      <c r="C161" s="416"/>
      <c r="D161" s="7"/>
      <c r="E161" s="145"/>
      <c r="F161" s="145"/>
      <c r="G161" s="187"/>
      <c r="H161" s="187"/>
      <c r="I161" s="187"/>
      <c r="J161" s="187"/>
      <c r="K161" s="187"/>
      <c r="L161" s="187"/>
      <c r="M161" s="1938"/>
      <c r="N161" s="1936"/>
      <c r="O161" s="1936"/>
      <c r="P161" s="1937"/>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40"/>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40"/>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44"/>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45" t="s">
        <v>1090</v>
      </c>
      <c r="E166" s="1945"/>
      <c r="F166" s="212"/>
      <c r="G166" s="234"/>
      <c r="H166" s="182"/>
      <c r="I166" s="235"/>
      <c r="J166" s="215"/>
      <c r="K166" s="216"/>
      <c r="L166" s="182"/>
      <c r="M166" s="216"/>
      <c r="N166" s="193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4"/>
      <c r="P166" s="1935"/>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6"/>
      <c r="O167" s="1936"/>
      <c r="P167" s="1937"/>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6"/>
      <c r="O168" s="1936"/>
      <c r="P168" s="1937"/>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38"/>
      <c r="N169" s="1936"/>
      <c r="O169" s="1936"/>
      <c r="P169" s="1937"/>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40"/>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40"/>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44"/>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45" t="s">
        <v>994</v>
      </c>
      <c r="E174" s="1945"/>
      <c r="F174" s="1349"/>
      <c r="G174" s="1349"/>
      <c r="H174" s="1349"/>
      <c r="I174" s="1349"/>
      <c r="J174" s="183"/>
      <c r="K174" s="183"/>
      <c r="L174" s="183"/>
      <c r="M174" s="183"/>
      <c r="N174" s="183"/>
      <c r="O174" s="1938" t="str">
        <f>IF(AND(Welcome!$D$20&lt;&gt;"Yes",$E$175="Yes"),"Credit Card Payment on the Welcome Sheet must be ""YES""  to proceed with this incentive!","")</f>
        <v/>
      </c>
      <c r="P174" s="1939"/>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40"/>
      <c r="P175" s="1941"/>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40"/>
      <c r="P176" s="1941"/>
      <c r="Q176" s="250"/>
    </row>
    <row r="177" spans="1:19" s="175" customFormat="1" ht="18" customHeight="1" thickBot="1" x14ac:dyDescent="0.3">
      <c r="A177" s="242"/>
      <c r="B177" s="242"/>
      <c r="C177" s="442"/>
      <c r="D177" s="7"/>
      <c r="E177" s="569"/>
      <c r="F177" s="792"/>
      <c r="G177" s="792"/>
      <c r="H177" s="145"/>
      <c r="I177" s="145"/>
      <c r="J177" s="145"/>
      <c r="K177" s="145"/>
      <c r="L177" s="145"/>
      <c r="M177" s="193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40"/>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40"/>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44"/>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45" t="s">
        <v>1465</v>
      </c>
      <c r="E182" s="1945"/>
      <c r="F182" s="212"/>
      <c r="G182" s="234"/>
      <c r="H182" s="182"/>
      <c r="I182" s="235"/>
      <c r="J182" s="215"/>
      <c r="K182" s="216"/>
      <c r="L182" s="182"/>
      <c r="M182" s="216"/>
      <c r="N182" s="19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3"/>
      <c r="P182" s="1954"/>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55"/>
      <c r="O183" s="1955"/>
      <c r="P183" s="1956"/>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1"/>
      <c r="N184" s="1955"/>
      <c r="O184" s="1955"/>
      <c r="P184" s="195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55"/>
      <c r="O185" s="1955"/>
      <c r="P185" s="1956"/>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87" t="s">
        <v>1468</v>
      </c>
      <c r="E189" s="1988"/>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89" t="s">
        <v>1469</v>
      </c>
      <c r="E190" s="1990"/>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45" t="s">
        <v>1126</v>
      </c>
      <c r="E193" s="1945"/>
      <c r="F193" s="212"/>
      <c r="G193" s="234"/>
      <c r="H193" s="182"/>
      <c r="I193" s="235"/>
      <c r="J193" s="215"/>
      <c r="K193" s="216"/>
      <c r="L193" s="182"/>
      <c r="M193" s="216"/>
      <c r="N193" s="19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3"/>
      <c r="P193" s="1954"/>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55"/>
      <c r="O194" s="1955"/>
      <c r="P194" s="1956"/>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55"/>
      <c r="O195" s="1955"/>
      <c r="P195" s="195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55"/>
      <c r="O196" s="1955"/>
      <c r="P196" s="195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32"/>
      <c r="K197" s="193" t="s">
        <v>727</v>
      </c>
      <c r="L197" s="1932"/>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42"/>
      <c r="K198" s="1442"/>
      <c r="L198" s="1933"/>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46"/>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47"/>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47"/>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47"/>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48"/>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45" t="s">
        <v>1126</v>
      </c>
      <c r="E205" s="1945"/>
      <c r="F205" s="212"/>
      <c r="G205" s="234"/>
      <c r="H205" s="182"/>
      <c r="I205" s="235"/>
      <c r="J205" s="215"/>
      <c r="K205" s="216"/>
      <c r="L205" s="182"/>
      <c r="M205" s="216"/>
      <c r="N205" s="19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3"/>
      <c r="P205" s="1954"/>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55"/>
      <c r="O206" s="1955"/>
      <c r="P206" s="1956"/>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55"/>
      <c r="O207" s="1955"/>
      <c r="P207" s="1956"/>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55"/>
      <c r="O208" s="1955"/>
      <c r="P208" s="1956"/>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32"/>
      <c r="K209" s="193" t="s">
        <v>727</v>
      </c>
      <c r="L209" s="1932"/>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42"/>
      <c r="K210" s="1442"/>
      <c r="L210" s="1933"/>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46"/>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47"/>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47"/>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47"/>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48"/>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9" t="s">
        <v>1475</v>
      </c>
      <c r="E217" s="1929"/>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43"/>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43"/>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43"/>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44"/>
      <c r="N223" s="201"/>
      <c r="O223" s="201"/>
      <c r="P223" s="249"/>
      <c r="Q223" s="250"/>
    </row>
    <row r="224" spans="1:19" s="179" customFormat="1" ht="19.5" hidden="1" customHeight="1" x14ac:dyDescent="0.25">
      <c r="C224" s="1305"/>
      <c r="Q224" s="1063"/>
    </row>
    <row r="225" spans="1:17" s="179" customFormat="1" ht="19.5" hidden="1" customHeight="1" thickBot="1" x14ac:dyDescent="0.3">
      <c r="A225" s="247"/>
      <c r="B225" s="247"/>
      <c r="C225" s="1303"/>
      <c r="D225" s="1929" t="s">
        <v>1767</v>
      </c>
      <c r="E225" s="1930"/>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Submit'!$I$38,3, FALSE),""),"")</f>
        <v/>
      </c>
      <c r="F229" s="238"/>
      <c r="G229" s="227" t="s">
        <v>1389</v>
      </c>
      <c r="H229" s="187"/>
      <c r="I229" s="1288"/>
      <c r="J229" s="1288"/>
      <c r="K229" s="193" t="s">
        <v>1382</v>
      </c>
      <c r="L229" s="1288"/>
      <c r="M229" s="1931"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31"/>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31"/>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31"/>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9" t="s">
        <v>1767</v>
      </c>
      <c r="E236" s="1930"/>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Submit'!$I$38,3, FALSE),""),"")</f>
        <v/>
      </c>
      <c r="F240" s="238"/>
      <c r="G240" s="227" t="s">
        <v>1389</v>
      </c>
      <c r="H240" s="187"/>
      <c r="I240" s="1288"/>
      <c r="J240" s="1288"/>
      <c r="K240" s="193" t="s">
        <v>1382</v>
      </c>
      <c r="L240" s="1288"/>
      <c r="M240" s="1931"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31"/>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31"/>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31"/>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9" t="s">
        <v>1767</v>
      </c>
      <c r="E247" s="1930"/>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Submit'!$I$38,3, FALSE),""),"")</f>
        <v/>
      </c>
      <c r="F251" s="238"/>
      <c r="G251" s="227" t="s">
        <v>1389</v>
      </c>
      <c r="H251" s="187"/>
      <c r="I251" s="1288"/>
      <c r="J251" s="1288"/>
      <c r="K251" s="193" t="s">
        <v>1382</v>
      </c>
      <c r="L251" s="1288"/>
      <c r="M251" s="1931"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31"/>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31"/>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31"/>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9" t="s">
        <v>1767</v>
      </c>
      <c r="E258" s="1930"/>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Submit'!$I$38,3, FALSE),""),"")</f>
        <v/>
      </c>
      <c r="F262" s="238"/>
      <c r="G262" s="227" t="s">
        <v>1389</v>
      </c>
      <c r="H262" s="187"/>
      <c r="I262" s="1288"/>
      <c r="J262" s="1288"/>
      <c r="K262" s="193" t="s">
        <v>1382</v>
      </c>
      <c r="L262" s="1288"/>
      <c r="M262" s="1931"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31"/>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31"/>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31"/>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9" t="s">
        <v>1767</v>
      </c>
      <c r="E269" s="1930"/>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Submit'!$I$38,3, FALSE),""),"")</f>
        <v/>
      </c>
      <c r="F273" s="238"/>
      <c r="G273" s="227" t="s">
        <v>1389</v>
      </c>
      <c r="H273" s="187"/>
      <c r="I273" s="1288"/>
      <c r="J273" s="1288"/>
      <c r="K273" s="193" t="s">
        <v>1382</v>
      </c>
      <c r="L273" s="1288"/>
      <c r="M273" s="1931"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31"/>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31"/>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31"/>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9" t="s">
        <v>1767</v>
      </c>
      <c r="E280" s="1930"/>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Submit'!$I$38,3, FALSE),""),"")</f>
        <v/>
      </c>
      <c r="F284" s="238"/>
      <c r="G284" s="227" t="s">
        <v>1389</v>
      </c>
      <c r="H284" s="187"/>
      <c r="I284" s="1288"/>
      <c r="J284" s="1288"/>
      <c r="K284" s="193" t="s">
        <v>1382</v>
      </c>
      <c r="L284" s="1288"/>
      <c r="M284" s="1931"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31"/>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31"/>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31"/>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9" t="s">
        <v>1767</v>
      </c>
      <c r="E291" s="1930"/>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Submit'!$I$38,3, FALSE),""),"")</f>
        <v/>
      </c>
      <c r="F295" s="238"/>
      <c r="G295" s="227" t="s">
        <v>1389</v>
      </c>
      <c r="H295" s="187"/>
      <c r="I295" s="1288"/>
      <c r="J295" s="1288"/>
      <c r="K295" s="193" t="s">
        <v>1382</v>
      </c>
      <c r="L295" s="1288"/>
      <c r="M295" s="1931"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31"/>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31"/>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31"/>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9" t="s">
        <v>1767</v>
      </c>
      <c r="E302" s="1930"/>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Submit'!$I$38,3, FALSE),""),"")</f>
        <v/>
      </c>
      <c r="F306" s="238"/>
      <c r="G306" s="227" t="s">
        <v>1389</v>
      </c>
      <c r="H306" s="187"/>
      <c r="I306" s="1288"/>
      <c r="J306" s="1288"/>
      <c r="K306" s="193" t="s">
        <v>1382</v>
      </c>
      <c r="L306" s="1288"/>
      <c r="M306" s="1931"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31"/>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31"/>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31"/>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9" t="s">
        <v>1767</v>
      </c>
      <c r="E313" s="1930"/>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Submit'!$I$38,3, FALSE),""),"")</f>
        <v/>
      </c>
      <c r="F317" s="238"/>
      <c r="G317" s="227" t="s">
        <v>1389</v>
      </c>
      <c r="H317" s="187"/>
      <c r="I317" s="1288"/>
      <c r="J317" s="1288"/>
      <c r="K317" s="193" t="s">
        <v>1382</v>
      </c>
      <c r="L317" s="1288"/>
      <c r="M317" s="1931"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31"/>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31"/>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31"/>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9" t="s">
        <v>1767</v>
      </c>
      <c r="E324" s="1930"/>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Submit'!$I$38,3, FALSE),""),"")</f>
        <v/>
      </c>
      <c r="F328" s="238"/>
      <c r="G328" s="227" t="s">
        <v>1389</v>
      </c>
      <c r="H328" s="187"/>
      <c r="I328" s="1288"/>
      <c r="J328" s="1288"/>
      <c r="K328" s="193" t="s">
        <v>1382</v>
      </c>
      <c r="L328" s="1288"/>
      <c r="M328" s="1931"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31"/>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31"/>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31"/>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9" t="s">
        <v>1767</v>
      </c>
      <c r="E335" s="1930"/>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Submit'!$I$38,3, FALSE),""),"")</f>
        <v/>
      </c>
      <c r="F339" s="238"/>
      <c r="G339" s="227" t="s">
        <v>1389</v>
      </c>
      <c r="H339" s="187"/>
      <c r="I339" s="1288"/>
      <c r="J339" s="1288"/>
      <c r="K339" s="193" t="s">
        <v>1382</v>
      </c>
      <c r="L339" s="1288"/>
      <c r="M339" s="1931"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31"/>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31"/>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31"/>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9" t="s">
        <v>1767</v>
      </c>
      <c r="E346" s="1930"/>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Submit'!$I$38,3, FALSE),""),"")</f>
        <v/>
      </c>
      <c r="F350" s="238"/>
      <c r="G350" s="227" t="s">
        <v>1389</v>
      </c>
      <c r="H350" s="187"/>
      <c r="I350" s="1288"/>
      <c r="J350" s="1288"/>
      <c r="K350" s="193" t="s">
        <v>1382</v>
      </c>
      <c r="L350" s="1288"/>
      <c r="M350" s="1931"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31"/>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31"/>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31"/>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9" t="s">
        <v>1767</v>
      </c>
      <c r="E357" s="1930"/>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Submit'!$I$38,3, FALSE),""),"")</f>
        <v/>
      </c>
      <c r="F361" s="238"/>
      <c r="G361" s="227" t="s">
        <v>1389</v>
      </c>
      <c r="H361" s="187"/>
      <c r="I361" s="1288"/>
      <c r="J361" s="1288"/>
      <c r="K361" s="193" t="s">
        <v>1382</v>
      </c>
      <c r="L361" s="1288"/>
      <c r="M361" s="1931"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31"/>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31"/>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31"/>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9" t="s">
        <v>1767</v>
      </c>
      <c r="E368" s="1930"/>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Submit'!$I$38,3, FALSE),""),"")</f>
        <v/>
      </c>
      <c r="F372" s="238"/>
      <c r="G372" s="227" t="s">
        <v>1389</v>
      </c>
      <c r="H372" s="187"/>
      <c r="I372" s="1288"/>
      <c r="J372" s="1288"/>
      <c r="K372" s="193" t="s">
        <v>1382</v>
      </c>
      <c r="L372" s="1288"/>
      <c r="M372" s="1931"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31"/>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31"/>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31"/>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9" t="s">
        <v>1767</v>
      </c>
      <c r="E379" s="1930"/>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Submit'!$I$38,3, FALSE),""),"")</f>
        <v/>
      </c>
      <c r="F383" s="238"/>
      <c r="G383" s="227" t="s">
        <v>1389</v>
      </c>
      <c r="H383" s="187"/>
      <c r="I383" s="1288"/>
      <c r="J383" s="1288"/>
      <c r="K383" s="193" t="s">
        <v>1382</v>
      </c>
      <c r="L383" s="1288"/>
      <c r="M383" s="1931"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31"/>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31"/>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31"/>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9" t="s">
        <v>1767</v>
      </c>
      <c r="E390" s="1930"/>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Submit'!$I$38,3, FALSE),""),"")</f>
        <v/>
      </c>
      <c r="F394" s="238"/>
      <c r="G394" s="227" t="s">
        <v>1389</v>
      </c>
      <c r="H394" s="187"/>
      <c r="I394" s="1288"/>
      <c r="J394" s="1288"/>
      <c r="K394" s="193" t="s">
        <v>1382</v>
      </c>
      <c r="L394" s="1288"/>
      <c r="M394" s="1931"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31"/>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31"/>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31"/>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9" t="s">
        <v>1767</v>
      </c>
      <c r="E401" s="1930"/>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Submit'!$I$38,3, FALSE),""),"")</f>
        <v/>
      </c>
      <c r="F405" s="238"/>
      <c r="G405" s="227" t="s">
        <v>1389</v>
      </c>
      <c r="H405" s="187"/>
      <c r="I405" s="1288"/>
      <c r="J405" s="1288"/>
      <c r="K405" s="193" t="s">
        <v>1382</v>
      </c>
      <c r="L405" s="1288"/>
      <c r="M405" s="1931"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31"/>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31"/>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31"/>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9" t="s">
        <v>1767</v>
      </c>
      <c r="E412" s="1930"/>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Submit'!$I$38,3, FALSE),""),"")</f>
        <v/>
      </c>
      <c r="F416" s="238"/>
      <c r="G416" s="227" t="s">
        <v>1389</v>
      </c>
      <c r="H416" s="187"/>
      <c r="I416" s="1288"/>
      <c r="J416" s="1288"/>
      <c r="K416" s="193" t="s">
        <v>1382</v>
      </c>
      <c r="L416" s="1288"/>
      <c r="M416" s="1931"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31"/>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31"/>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31"/>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9" t="s">
        <v>1767</v>
      </c>
      <c r="E423" s="1930"/>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Submit'!$I$38,3, FALSE),""),"")</f>
        <v/>
      </c>
      <c r="F427" s="238"/>
      <c r="G427" s="227" t="s">
        <v>1389</v>
      </c>
      <c r="H427" s="187"/>
      <c r="I427" s="1288"/>
      <c r="J427" s="1288"/>
      <c r="K427" s="193" t="s">
        <v>1382</v>
      </c>
      <c r="L427" s="1288"/>
      <c r="M427" s="1931"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31"/>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31"/>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31"/>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4"/>
      <c r="B434" s="1554"/>
      <c r="C434" s="1555"/>
      <c r="D434" s="1951" t="s">
        <v>2132</v>
      </c>
      <c r="E434" s="1951"/>
      <c r="F434" s="1556"/>
      <c r="G434" s="1556"/>
      <c r="H434" s="1556"/>
      <c r="I434" s="1556"/>
      <c r="J434" s="1557"/>
      <c r="K434" s="1557"/>
      <c r="L434" s="1557"/>
      <c r="M434" s="1557"/>
      <c r="N434" s="1557"/>
      <c r="O434" s="1938" t="str">
        <f>IF(K439&gt;0.03,"***Warning:You have entered an Rate % of Sales above the recommended 3%***","")</f>
        <v/>
      </c>
      <c r="P434" s="1939"/>
      <c r="Q434" s="250"/>
    </row>
    <row r="435" spans="1:19" s="175" customFormat="1" ht="18" hidden="1" customHeight="1" thickBot="1" x14ac:dyDescent="0.3">
      <c r="A435" s="1559"/>
      <c r="B435" s="1559"/>
      <c r="C435" s="1560"/>
      <c r="D435" s="1561" t="s">
        <v>523</v>
      </c>
      <c r="E435" s="796" t="s">
        <v>648</v>
      </c>
      <c r="F435" s="1562"/>
      <c r="G435" s="1542" t="s">
        <v>1373</v>
      </c>
      <c r="H435" s="930"/>
      <c r="I435" s="1542" t="s">
        <v>1374</v>
      </c>
      <c r="J435" s="1563"/>
      <c r="K435" s="1542" t="s">
        <v>833</v>
      </c>
      <c r="L435" s="1264"/>
      <c r="M435" s="898" t="s">
        <v>1375</v>
      </c>
      <c r="N435" s="1264"/>
      <c r="O435" s="1940"/>
      <c r="P435" s="1941"/>
      <c r="Q435" s="250"/>
    </row>
    <row r="436" spans="1:19" s="175" customFormat="1" ht="18" hidden="1" customHeight="1" thickBot="1" x14ac:dyDescent="0.3">
      <c r="A436" s="1559"/>
      <c r="B436" s="1559"/>
      <c r="C436" s="1560"/>
      <c r="D436" s="1565" t="s">
        <v>1376</v>
      </c>
      <c r="E436" s="1299" t="s">
        <v>1377</v>
      </c>
      <c r="F436" s="1566"/>
      <c r="G436" s="1441"/>
      <c r="H436" s="592"/>
      <c r="I436" s="1441"/>
      <c r="J436" s="830"/>
      <c r="K436" s="1506"/>
      <c r="L436" s="830"/>
      <c r="M436" s="1462"/>
      <c r="N436" s="1264"/>
      <c r="O436" s="1940"/>
      <c r="P436" s="1941"/>
      <c r="Q436" s="250"/>
    </row>
    <row r="437" spans="1:19" s="175" customFormat="1" ht="18" hidden="1" customHeight="1" thickBot="1" x14ac:dyDescent="0.3">
      <c r="A437" s="1559"/>
      <c r="B437" s="1559"/>
      <c r="C437" s="1560"/>
      <c r="D437" s="1567"/>
      <c r="E437" s="1568"/>
      <c r="F437" s="1569"/>
      <c r="G437" s="1569"/>
      <c r="H437" s="1264"/>
      <c r="I437" s="1264"/>
      <c r="J437" s="1264"/>
      <c r="K437" s="1264"/>
      <c r="L437" s="1264"/>
      <c r="M437" s="1558"/>
      <c r="N437" s="1264"/>
      <c r="O437" s="1705"/>
      <c r="P437" s="1706"/>
      <c r="Q437" s="250"/>
      <c r="S437" s="565" t="str">
        <f>IF($D$476=0,"",IF($E437="NO","",IF($I436="Select Payment Method","X","")))</f>
        <v/>
      </c>
    </row>
    <row r="438" spans="1:19" s="175" customFormat="1" ht="18" hidden="1" customHeight="1" thickBot="1" x14ac:dyDescent="0.3">
      <c r="A438" s="1559"/>
      <c r="B438" s="1559"/>
      <c r="C438" s="1560" t="str" cm="1">
        <f t="array" aca="1" ref="C438" ca="1">IF(INDIRECT("'Incentives'!C"&amp;'Configurable Tab'!C168+1) = "Yes",IF(INDIRECT("'Incentives'!E"&amp;'Configurable Tab'!C168+5)&lt;Welcome!$D$12,"Yes",IF(INDIRECT("'Incentives'!E"&amp;'Configurable Tab'!C168+5)='Required Info to Submit'!$F$13,"No","")),"")</f>
        <v/>
      </c>
      <c r="D438" s="1570" t="s">
        <v>1378</v>
      </c>
      <c r="E438" s="1375" t="str">
        <f>IF(E435="Yes",IF(Welcome!$D$6="New",IF('Required Info to Submit'!F$10="","",'Required Info to Submit'!F$10),""),"")</f>
        <v/>
      </c>
      <c r="F438" s="1562"/>
      <c r="G438" s="1264"/>
      <c r="H438" s="1264"/>
      <c r="I438" s="1264"/>
      <c r="J438" s="1264"/>
      <c r="K438" s="193" t="s">
        <v>1382</v>
      </c>
      <c r="L438" s="1571"/>
      <c r="M438" s="1564"/>
      <c r="N438" s="1264"/>
      <c r="O438" s="6" t="s">
        <v>490</v>
      </c>
      <c r="P438" s="1706"/>
      <c r="Q438" s="250"/>
    </row>
    <row r="439" spans="1:19" s="175" customFormat="1" ht="18" hidden="1" customHeight="1" thickBot="1" x14ac:dyDescent="0.3">
      <c r="A439" s="1559"/>
      <c r="B439" s="1559"/>
      <c r="C439" s="1560"/>
      <c r="D439" s="1570" t="s">
        <v>1379</v>
      </c>
      <c r="E439" s="1375" t="str">
        <f>IF(E435="Yes",IF(Welcome!$D$6="New",IF('Required Info to Submit'!F$13="","",'Required Info to Submit'!F$13),""),"")</f>
        <v/>
      </c>
      <c r="F439" s="1566"/>
      <c r="G439" s="1264"/>
      <c r="H439" s="1264"/>
      <c r="I439" s="1264"/>
      <c r="J439" s="1264"/>
      <c r="K439" s="1438"/>
      <c r="L439" s="1571"/>
      <c r="M439" s="1564"/>
      <c r="N439" s="1264"/>
      <c r="O439" s="859">
        <f>IF(E435="Yes",IFERROR(ROUND(K439*$H$10,0),0),0)</f>
        <v>0</v>
      </c>
      <c r="P439" s="584"/>
      <c r="Q439" s="250"/>
    </row>
    <row r="440" spans="1:19" s="175" customFormat="1" ht="27" hidden="1" customHeight="1" x14ac:dyDescent="0.25">
      <c r="A440" s="1572"/>
      <c r="B440" s="1572"/>
      <c r="C440" s="1573"/>
      <c r="D440" s="1574"/>
      <c r="E440" s="1575"/>
      <c r="F440" s="1575"/>
      <c r="G440" s="1576"/>
      <c r="H440" s="1575"/>
      <c r="I440" s="1575"/>
      <c r="J440" s="1575"/>
      <c r="K440" s="1575"/>
      <c r="L440" s="1575"/>
      <c r="M440" s="1577"/>
      <c r="N440" s="1575"/>
      <c r="O440" s="1575"/>
      <c r="P440" s="249"/>
      <c r="Q440" s="250"/>
    </row>
    <row r="441" spans="1:19" s="179" customFormat="1" ht="9" hidden="1" customHeight="1" x14ac:dyDescent="0.25">
      <c r="C441" s="1305"/>
      <c r="K441" s="1578"/>
      <c r="Q441" s="1063"/>
    </row>
    <row r="442" spans="1:19" s="175" customFormat="1" ht="33" hidden="1" customHeight="1" thickBot="1" x14ac:dyDescent="0.3">
      <c r="A442" s="1554"/>
      <c r="B442" s="1554"/>
      <c r="C442" s="1555"/>
      <c r="D442" s="1951" t="s">
        <v>2132</v>
      </c>
      <c r="E442" s="1951"/>
      <c r="F442" s="1556"/>
      <c r="G442" s="1556"/>
      <c r="H442" s="1556"/>
      <c r="I442" s="1556"/>
      <c r="J442" s="1557"/>
      <c r="K442" s="1557"/>
      <c r="L442" s="1557"/>
      <c r="M442" s="1557"/>
      <c r="N442" s="1557"/>
      <c r="O442" s="1938" t="str">
        <f>IF(K447&gt;0.03,"***Warning:You have entered an Rate % of Sales above the recommended 3%***","")</f>
        <v/>
      </c>
      <c r="P442" s="1939"/>
      <c r="Q442" s="250"/>
    </row>
    <row r="443" spans="1:19" s="175" customFormat="1" ht="18" hidden="1" customHeight="1" thickBot="1" x14ac:dyDescent="0.3">
      <c r="A443" s="1559"/>
      <c r="B443" s="1559"/>
      <c r="C443" s="1560"/>
      <c r="D443" s="1561" t="s">
        <v>523</v>
      </c>
      <c r="E443" s="796" t="s">
        <v>648</v>
      </c>
      <c r="F443" s="1562"/>
      <c r="G443" s="1611" t="s">
        <v>1373</v>
      </c>
      <c r="H443" s="930"/>
      <c r="I443" s="1611" t="s">
        <v>1374</v>
      </c>
      <c r="J443" s="1563"/>
      <c r="K443" s="1611" t="s">
        <v>833</v>
      </c>
      <c r="L443" s="1264"/>
      <c r="M443" s="898" t="s">
        <v>1375</v>
      </c>
      <c r="N443" s="1264"/>
      <c r="O443" s="1940"/>
      <c r="P443" s="1941"/>
      <c r="Q443" s="250"/>
    </row>
    <row r="444" spans="1:19" s="175" customFormat="1" ht="18" hidden="1" customHeight="1" thickBot="1" x14ac:dyDescent="0.3">
      <c r="A444" s="1559"/>
      <c r="B444" s="1559"/>
      <c r="C444" s="1560"/>
      <c r="D444" s="1565" t="s">
        <v>1376</v>
      </c>
      <c r="E444" s="1299" t="s">
        <v>1377</v>
      </c>
      <c r="F444" s="1566"/>
      <c r="G444" s="1441"/>
      <c r="H444" s="592"/>
      <c r="I444" s="1441"/>
      <c r="J444" s="830"/>
      <c r="K444" s="1506"/>
      <c r="L444" s="830"/>
      <c r="M444" s="1462"/>
      <c r="N444" s="1264"/>
      <c r="O444" s="1940"/>
      <c r="P444" s="1941"/>
      <c r="Q444" s="250"/>
    </row>
    <row r="445" spans="1:19" s="175" customFormat="1" ht="18" hidden="1" customHeight="1" thickBot="1" x14ac:dyDescent="0.3">
      <c r="A445" s="1559"/>
      <c r="B445" s="1559"/>
      <c r="C445" s="1560"/>
      <c r="D445" s="1567"/>
      <c r="E445" s="1568"/>
      <c r="F445" s="1569"/>
      <c r="G445" s="1569"/>
      <c r="H445" s="1264"/>
      <c r="I445" s="1264"/>
      <c r="J445" s="1264"/>
      <c r="K445" s="1264"/>
      <c r="L445" s="1264"/>
      <c r="M445" s="1558"/>
      <c r="N445" s="1264"/>
      <c r="O445" s="1705"/>
      <c r="P445" s="1706"/>
      <c r="Q445" s="250"/>
      <c r="S445" s="565" t="str">
        <f>IF($D$476=0,"",IF($E445="NO","",IF($I444="Select Payment Method","X","")))</f>
        <v/>
      </c>
    </row>
    <row r="446" spans="1:19" s="175" customFormat="1" ht="18" hidden="1" customHeight="1" thickBot="1" x14ac:dyDescent="0.3">
      <c r="A446" s="1559"/>
      <c r="B446" s="1559"/>
      <c r="C446" s="1560" t="str" cm="1">
        <f t="array" aca="1" ref="C446" ca="1">IF(INDIRECT("'Incentives'!C"&amp;'Configurable Tab'!C176+1) = "Yes",IF(INDIRECT("'Incentives'!E"&amp;'Configurable Tab'!C176+5)&lt;Welcome!$D$12,"Yes",IF(INDIRECT("'Incentives'!E"&amp;'Configurable Tab'!C176+5)='Required Info to Submit'!$F$13,"No","")),"")</f>
        <v/>
      </c>
      <c r="D446" s="1570" t="s">
        <v>1378</v>
      </c>
      <c r="E446" s="1375" t="str">
        <f>IF(E443="Yes",IF(Welcome!$D$6="New",IF('Required Info to Submit'!F$10="","",'Required Info to Submit'!F$10),""),"")</f>
        <v/>
      </c>
      <c r="F446" s="1562"/>
      <c r="G446" s="1264"/>
      <c r="H446" s="1264"/>
      <c r="I446" s="1264"/>
      <c r="J446" s="1264"/>
      <c r="K446" s="193" t="s">
        <v>1382</v>
      </c>
      <c r="L446" s="1571"/>
      <c r="M446" s="1564"/>
      <c r="N446" s="1264"/>
      <c r="O446" s="6" t="s">
        <v>490</v>
      </c>
      <c r="P446" s="1706"/>
      <c r="Q446" s="250"/>
    </row>
    <row r="447" spans="1:19" s="175" customFormat="1" ht="18" hidden="1" customHeight="1" thickBot="1" x14ac:dyDescent="0.3">
      <c r="A447" s="1559"/>
      <c r="B447" s="1559"/>
      <c r="C447" s="1560"/>
      <c r="D447" s="1570" t="s">
        <v>1379</v>
      </c>
      <c r="E447" s="1375" t="str">
        <f>IF(E443="Yes",IF(Welcome!$D$6="New",IF('Required Info to Submit'!F$13="","",'Required Info to Submit'!F$13),""),"")</f>
        <v/>
      </c>
      <c r="F447" s="1566"/>
      <c r="G447" s="1264"/>
      <c r="H447" s="1264"/>
      <c r="I447" s="1264"/>
      <c r="J447" s="1264"/>
      <c r="K447" s="1438"/>
      <c r="L447" s="1571"/>
      <c r="M447" s="1564"/>
      <c r="N447" s="1264"/>
      <c r="O447" s="859">
        <f>IF(E443="Yes",IFERROR(ROUND(K447*$H$10,0),0),0)</f>
        <v>0</v>
      </c>
      <c r="P447" s="584"/>
      <c r="Q447" s="250"/>
    </row>
    <row r="448" spans="1:19" s="175" customFormat="1" ht="27" hidden="1" customHeight="1" x14ac:dyDescent="0.25">
      <c r="A448" s="1572"/>
      <c r="B448" s="1572"/>
      <c r="C448" s="1573"/>
      <c r="D448" s="1574"/>
      <c r="E448" s="1575"/>
      <c r="F448" s="1575"/>
      <c r="G448" s="1576"/>
      <c r="H448" s="1575"/>
      <c r="I448" s="1575"/>
      <c r="J448" s="1575"/>
      <c r="K448" s="1575"/>
      <c r="L448" s="1575"/>
      <c r="M448" s="1577"/>
      <c r="N448" s="1575"/>
      <c r="O448" s="1575"/>
      <c r="P448" s="249"/>
      <c r="Q448" s="250"/>
    </row>
    <row r="449" spans="1:19" s="179" customFormat="1" ht="9" hidden="1" customHeight="1" x14ac:dyDescent="0.25">
      <c r="C449" s="1305"/>
      <c r="K449" s="1578"/>
      <c r="Q449" s="1063"/>
    </row>
    <row r="450" spans="1:19" s="175" customFormat="1" ht="33" hidden="1" customHeight="1" thickBot="1" x14ac:dyDescent="0.3">
      <c r="A450" s="1554"/>
      <c r="B450" s="1554"/>
      <c r="C450" s="1555"/>
      <c r="D450" s="1951" t="s">
        <v>2132</v>
      </c>
      <c r="E450" s="1951"/>
      <c r="F450" s="1556"/>
      <c r="G450" s="1556"/>
      <c r="H450" s="1556"/>
      <c r="I450" s="1556"/>
      <c r="J450" s="1557"/>
      <c r="K450" s="1557"/>
      <c r="L450" s="1557"/>
      <c r="M450" s="1557"/>
      <c r="N450" s="1557"/>
      <c r="O450" s="1938" t="str">
        <f>IF(K455&gt;0.03,"***Warning:You have entered an Rate % of Sales above the recommended 3%***","")</f>
        <v/>
      </c>
      <c r="P450" s="1939"/>
      <c r="Q450" s="250"/>
    </row>
    <row r="451" spans="1:19" s="175" customFormat="1" ht="18" hidden="1" customHeight="1" thickBot="1" x14ac:dyDescent="0.3">
      <c r="A451" s="1559"/>
      <c r="B451" s="1559"/>
      <c r="C451" s="1560"/>
      <c r="D451" s="1561" t="s">
        <v>523</v>
      </c>
      <c r="E451" s="796" t="s">
        <v>648</v>
      </c>
      <c r="F451" s="1562"/>
      <c r="G451" s="1611" t="s">
        <v>1373</v>
      </c>
      <c r="H451" s="930"/>
      <c r="I451" s="1611" t="s">
        <v>1374</v>
      </c>
      <c r="J451" s="1563"/>
      <c r="K451" s="1611" t="s">
        <v>833</v>
      </c>
      <c r="L451" s="1264"/>
      <c r="M451" s="898" t="s">
        <v>1375</v>
      </c>
      <c r="N451" s="1264"/>
      <c r="O451" s="1940"/>
      <c r="P451" s="1941"/>
      <c r="Q451" s="250"/>
    </row>
    <row r="452" spans="1:19" s="175" customFormat="1" ht="18" hidden="1" customHeight="1" thickBot="1" x14ac:dyDescent="0.3">
      <c r="A452" s="1559"/>
      <c r="B452" s="1559"/>
      <c r="C452" s="1560"/>
      <c r="D452" s="1565" t="s">
        <v>1376</v>
      </c>
      <c r="E452" s="1299" t="s">
        <v>1377</v>
      </c>
      <c r="F452" s="1566"/>
      <c r="G452" s="1441"/>
      <c r="H452" s="592"/>
      <c r="I452" s="1441"/>
      <c r="J452" s="830"/>
      <c r="K452" s="1506"/>
      <c r="L452" s="830"/>
      <c r="M452" s="1462"/>
      <c r="N452" s="1264"/>
      <c r="O452" s="1940"/>
      <c r="P452" s="1941"/>
      <c r="Q452" s="250"/>
    </row>
    <row r="453" spans="1:19" s="175" customFormat="1" ht="18" hidden="1" customHeight="1" thickBot="1" x14ac:dyDescent="0.3">
      <c r="A453" s="1559"/>
      <c r="B453" s="1559"/>
      <c r="C453" s="1560"/>
      <c r="D453" s="1567"/>
      <c r="E453" s="1568"/>
      <c r="F453" s="1569"/>
      <c r="G453" s="1569"/>
      <c r="H453" s="1264"/>
      <c r="I453" s="1264"/>
      <c r="J453" s="1264"/>
      <c r="K453" s="1264"/>
      <c r="L453" s="1264"/>
      <c r="M453" s="1558"/>
      <c r="N453" s="1264"/>
      <c r="O453" s="1705"/>
      <c r="P453" s="1706"/>
      <c r="Q453" s="250"/>
      <c r="S453" s="565" t="str">
        <f>IF($D$476=0,"",IF($E453="NO","",IF($I452="Select Payment Method","X","")))</f>
        <v/>
      </c>
    </row>
    <row r="454" spans="1:19" s="175" customFormat="1" ht="18" hidden="1" customHeight="1" thickBot="1" x14ac:dyDescent="0.3">
      <c r="A454" s="1559"/>
      <c r="B454" s="1559"/>
      <c r="C454" s="1560" t="str" cm="1">
        <f t="array" aca="1" ref="C454" ca="1">IF(INDIRECT("'Incentives'!C"&amp;'Configurable Tab'!C184+1) = "Yes",IF(INDIRECT("'Incentives'!E"&amp;'Configurable Tab'!C184+5)&lt;Welcome!$D$12,"Yes",IF(INDIRECT("'Incentives'!E"&amp;'Configurable Tab'!C184+5)='Required Info to Submit'!$F$13,"No","")),"")</f>
        <v/>
      </c>
      <c r="D454" s="1570" t="s">
        <v>1378</v>
      </c>
      <c r="E454" s="1375" t="str">
        <f>IF(E451="Yes",IF(Welcome!$D$6="New",IF('Required Info to Submit'!F$10="","",'Required Info to Submit'!F$10),""),"")</f>
        <v/>
      </c>
      <c r="F454" s="1562"/>
      <c r="G454" s="1264"/>
      <c r="H454" s="1264"/>
      <c r="I454" s="1264"/>
      <c r="J454" s="1264"/>
      <c r="K454" s="193" t="s">
        <v>1382</v>
      </c>
      <c r="L454" s="1571"/>
      <c r="M454" s="1564"/>
      <c r="N454" s="1264"/>
      <c r="O454" s="6" t="s">
        <v>490</v>
      </c>
      <c r="P454" s="1706"/>
      <c r="Q454" s="250"/>
    </row>
    <row r="455" spans="1:19" s="175" customFormat="1" ht="18" hidden="1" customHeight="1" thickBot="1" x14ac:dyDescent="0.3">
      <c r="A455" s="1559"/>
      <c r="B455" s="1559"/>
      <c r="C455" s="1560"/>
      <c r="D455" s="1570" t="s">
        <v>1379</v>
      </c>
      <c r="E455" s="1375" t="str">
        <f>IF(E451="Yes",IF(Welcome!$D$6="New",IF('Required Info to Submit'!F$13="","",'Required Info to Submit'!F$13),""),"")</f>
        <v/>
      </c>
      <c r="F455" s="1566"/>
      <c r="G455" s="1264"/>
      <c r="H455" s="1264"/>
      <c r="I455" s="1264"/>
      <c r="J455" s="1264"/>
      <c r="K455" s="1438"/>
      <c r="L455" s="1571"/>
      <c r="M455" s="1564"/>
      <c r="N455" s="1264"/>
      <c r="O455" s="859">
        <f>IF(E451="Yes",IFERROR(ROUND(K455*$H$10,0),0),0)</f>
        <v>0</v>
      </c>
      <c r="P455" s="584"/>
      <c r="Q455" s="250"/>
    </row>
    <row r="456" spans="1:19" s="175" customFormat="1" ht="27" hidden="1" customHeight="1" x14ac:dyDescent="0.25">
      <c r="A456" s="1572"/>
      <c r="B456" s="1572"/>
      <c r="C456" s="1573"/>
      <c r="D456" s="1574"/>
      <c r="E456" s="1575"/>
      <c r="F456" s="1575"/>
      <c r="G456" s="1576"/>
      <c r="H456" s="1575"/>
      <c r="I456" s="1575"/>
      <c r="J456" s="1575"/>
      <c r="K456" s="1575"/>
      <c r="L456" s="1575"/>
      <c r="M456" s="1577"/>
      <c r="N456" s="1575"/>
      <c r="O456" s="1575"/>
      <c r="P456" s="249"/>
      <c r="Q456" s="250"/>
    </row>
    <row r="457" spans="1:19" s="179" customFormat="1" ht="9" hidden="1" customHeight="1" x14ac:dyDescent="0.25">
      <c r="C457" s="1305"/>
      <c r="K457" s="1578"/>
      <c r="Q457" s="1063"/>
    </row>
    <row r="458" spans="1:19" s="175" customFormat="1" ht="33" hidden="1" customHeight="1" thickBot="1" x14ac:dyDescent="0.3">
      <c r="A458" s="1554"/>
      <c r="B458" s="1554"/>
      <c r="C458" s="1555"/>
      <c r="D458" s="1951" t="s">
        <v>2132</v>
      </c>
      <c r="E458" s="1951"/>
      <c r="F458" s="1556"/>
      <c r="G458" s="1556"/>
      <c r="H458" s="1556"/>
      <c r="I458" s="1556"/>
      <c r="J458" s="1557"/>
      <c r="K458" s="1557"/>
      <c r="L458" s="1557"/>
      <c r="M458" s="1557"/>
      <c r="N458" s="1557"/>
      <c r="O458" s="1938" t="str">
        <f>IF(K463&gt;0.03,"***Warning:You have entered an Rate % of Sales above the recommended 3%***","")</f>
        <v/>
      </c>
      <c r="P458" s="1939"/>
      <c r="Q458" s="250"/>
    </row>
    <row r="459" spans="1:19" s="175" customFormat="1" ht="18" hidden="1" customHeight="1" thickBot="1" x14ac:dyDescent="0.3">
      <c r="A459" s="1559"/>
      <c r="B459" s="1559"/>
      <c r="C459" s="1560"/>
      <c r="D459" s="1561" t="s">
        <v>523</v>
      </c>
      <c r="E459" s="796" t="s">
        <v>648</v>
      </c>
      <c r="F459" s="1562"/>
      <c r="G459" s="1611" t="s">
        <v>1373</v>
      </c>
      <c r="H459" s="930"/>
      <c r="I459" s="1611" t="s">
        <v>1374</v>
      </c>
      <c r="J459" s="1563"/>
      <c r="K459" s="1611" t="s">
        <v>833</v>
      </c>
      <c r="L459" s="1264"/>
      <c r="M459" s="898" t="s">
        <v>1375</v>
      </c>
      <c r="N459" s="1264"/>
      <c r="O459" s="1940"/>
      <c r="P459" s="1941"/>
      <c r="Q459" s="250"/>
    </row>
    <row r="460" spans="1:19" s="175" customFormat="1" ht="18" hidden="1" customHeight="1" thickBot="1" x14ac:dyDescent="0.3">
      <c r="A460" s="1559"/>
      <c r="B460" s="1559"/>
      <c r="C460" s="1560"/>
      <c r="D460" s="1565" t="s">
        <v>1376</v>
      </c>
      <c r="E460" s="1299" t="s">
        <v>1377</v>
      </c>
      <c r="F460" s="1566"/>
      <c r="G460" s="1441"/>
      <c r="H460" s="592"/>
      <c r="I460" s="1441"/>
      <c r="J460" s="830"/>
      <c r="K460" s="1506"/>
      <c r="L460" s="830"/>
      <c r="M460" s="1462"/>
      <c r="N460" s="1264"/>
      <c r="O460" s="1940"/>
      <c r="P460" s="1941"/>
      <c r="Q460" s="250"/>
    </row>
    <row r="461" spans="1:19" s="175" customFormat="1" ht="18" hidden="1" customHeight="1" thickBot="1" x14ac:dyDescent="0.3">
      <c r="A461" s="1559"/>
      <c r="B461" s="1559"/>
      <c r="C461" s="1560"/>
      <c r="D461" s="1567"/>
      <c r="E461" s="1568"/>
      <c r="F461" s="1569"/>
      <c r="G461" s="1569"/>
      <c r="H461" s="1264"/>
      <c r="I461" s="1264"/>
      <c r="J461" s="1264"/>
      <c r="K461" s="1264"/>
      <c r="L461" s="1264"/>
      <c r="M461" s="1558"/>
      <c r="N461" s="1264"/>
      <c r="O461" s="1705"/>
      <c r="P461" s="1706"/>
      <c r="Q461" s="250"/>
      <c r="S461" s="565" t="str">
        <f>IF($D$476=0,"",IF($E461="NO","",IF($I460="Select Payment Method","X","")))</f>
        <v/>
      </c>
    </row>
    <row r="462" spans="1:19" s="175" customFormat="1" ht="18" hidden="1" customHeight="1" thickBot="1" x14ac:dyDescent="0.3">
      <c r="A462" s="1559"/>
      <c r="B462" s="1559"/>
      <c r="C462" s="1560" t="str" cm="1">
        <f t="array" aca="1" ref="C462" ca="1">IF(INDIRECT("'Incentives'!C"&amp;'Configurable Tab'!C192+1) = "Yes",IF(INDIRECT("'Incentives'!E"&amp;'Configurable Tab'!C192+5)&lt;Welcome!$D$12,"Yes",IF(INDIRECT("'Incentives'!E"&amp;'Configurable Tab'!C192+5)='Required Info to Submit'!$F$13,"No","")),"")</f>
        <v/>
      </c>
      <c r="D462" s="1570" t="s">
        <v>1378</v>
      </c>
      <c r="E462" s="1375" t="str">
        <f>IF(E459="Yes",IF(Welcome!$D$6="New",IF('Required Info to Submit'!F$10="","",'Required Info to Submit'!F$10),""),"")</f>
        <v/>
      </c>
      <c r="F462" s="1562"/>
      <c r="G462" s="1264"/>
      <c r="H462" s="1264"/>
      <c r="I462" s="1264"/>
      <c r="J462" s="1264"/>
      <c r="K462" s="193" t="s">
        <v>1382</v>
      </c>
      <c r="L462" s="1571"/>
      <c r="M462" s="1564"/>
      <c r="N462" s="1264"/>
      <c r="O462" s="6" t="s">
        <v>490</v>
      </c>
      <c r="P462" s="1706"/>
      <c r="Q462" s="250"/>
    </row>
    <row r="463" spans="1:19" s="175" customFormat="1" ht="18" hidden="1" customHeight="1" thickBot="1" x14ac:dyDescent="0.3">
      <c r="A463" s="1559"/>
      <c r="B463" s="1559"/>
      <c r="C463" s="1560"/>
      <c r="D463" s="1570" t="s">
        <v>1379</v>
      </c>
      <c r="E463" s="1375" t="str">
        <f>IF(E459="Yes",IF(Welcome!$D$6="New",IF('Required Info to Submit'!F$13="","",'Required Info to Submit'!F$13),""),"")</f>
        <v/>
      </c>
      <c r="F463" s="1566"/>
      <c r="G463" s="1264"/>
      <c r="H463" s="1264"/>
      <c r="I463" s="1264"/>
      <c r="J463" s="1264"/>
      <c r="K463" s="1438"/>
      <c r="L463" s="1571"/>
      <c r="M463" s="1564"/>
      <c r="N463" s="1264"/>
      <c r="O463" s="859">
        <f>IF(E459="Yes",IFERROR(ROUND(K463*$H$10,0),0),0)</f>
        <v>0</v>
      </c>
      <c r="P463" s="584"/>
      <c r="Q463" s="250"/>
    </row>
    <row r="464" spans="1:19" s="175" customFormat="1" ht="27" hidden="1" customHeight="1" x14ac:dyDescent="0.25">
      <c r="A464" s="1572"/>
      <c r="B464" s="1572"/>
      <c r="C464" s="1573"/>
      <c r="D464" s="1574"/>
      <c r="E464" s="1575"/>
      <c r="F464" s="1575"/>
      <c r="G464" s="1576"/>
      <c r="H464" s="1575"/>
      <c r="I464" s="1575"/>
      <c r="J464" s="1575"/>
      <c r="K464" s="1575"/>
      <c r="L464" s="1575"/>
      <c r="M464" s="1577"/>
      <c r="N464" s="1575"/>
      <c r="O464" s="1575"/>
      <c r="P464" s="249"/>
      <c r="Q464" s="250"/>
    </row>
    <row r="465" spans="1:22" s="179" customFormat="1" ht="9" hidden="1" customHeight="1" x14ac:dyDescent="0.25">
      <c r="C465" s="1305"/>
      <c r="K465" s="1578"/>
      <c r="Q465" s="1063"/>
    </row>
    <row r="466" spans="1:22" s="175" customFormat="1" ht="33" hidden="1" customHeight="1" thickBot="1" x14ac:dyDescent="0.3">
      <c r="A466" s="1554"/>
      <c r="B466" s="1554"/>
      <c r="C466" s="1555"/>
      <c r="D466" s="1951" t="s">
        <v>2132</v>
      </c>
      <c r="E466" s="1951"/>
      <c r="F466" s="1556"/>
      <c r="G466" s="1556"/>
      <c r="H466" s="1556"/>
      <c r="I466" s="1556"/>
      <c r="J466" s="1557"/>
      <c r="K466" s="1557"/>
      <c r="L466" s="1557"/>
      <c r="M466" s="1557"/>
      <c r="N466" s="1557"/>
      <c r="O466" s="1938" t="str">
        <f>IF(K471&gt;0.03,"***Warning:You have entered an Rate % of Sales above the recommended 3%***","")</f>
        <v/>
      </c>
      <c r="P466" s="1939"/>
      <c r="Q466" s="250"/>
    </row>
    <row r="467" spans="1:22" s="175" customFormat="1" ht="18" hidden="1" customHeight="1" thickBot="1" x14ac:dyDescent="0.3">
      <c r="A467" s="1559"/>
      <c r="B467" s="1559"/>
      <c r="C467" s="1560"/>
      <c r="D467" s="1561" t="s">
        <v>523</v>
      </c>
      <c r="E467" s="796" t="s">
        <v>648</v>
      </c>
      <c r="F467" s="1562"/>
      <c r="G467" s="1611" t="s">
        <v>1373</v>
      </c>
      <c r="H467" s="930"/>
      <c r="I467" s="1611" t="s">
        <v>1374</v>
      </c>
      <c r="J467" s="1563"/>
      <c r="K467" s="1611" t="s">
        <v>833</v>
      </c>
      <c r="L467" s="1264"/>
      <c r="M467" s="898" t="s">
        <v>1375</v>
      </c>
      <c r="N467" s="1264"/>
      <c r="O467" s="1940"/>
      <c r="P467" s="1941"/>
      <c r="Q467" s="250"/>
    </row>
    <row r="468" spans="1:22" s="175" customFormat="1" ht="18" hidden="1" customHeight="1" thickBot="1" x14ac:dyDescent="0.3">
      <c r="A468" s="1559"/>
      <c r="B468" s="1559"/>
      <c r="C468" s="1560"/>
      <c r="D468" s="1565" t="s">
        <v>1376</v>
      </c>
      <c r="E468" s="1299" t="s">
        <v>1377</v>
      </c>
      <c r="F468" s="1566"/>
      <c r="G468" s="1441"/>
      <c r="H468" s="592"/>
      <c r="I468" s="1441"/>
      <c r="J468" s="830"/>
      <c r="K468" s="1506"/>
      <c r="L468" s="830"/>
      <c r="M468" s="1462"/>
      <c r="N468" s="1264"/>
      <c r="O468" s="1940"/>
      <c r="P468" s="1941"/>
      <c r="Q468" s="250"/>
    </row>
    <row r="469" spans="1:22" s="175" customFormat="1" ht="18" hidden="1" customHeight="1" thickBot="1" x14ac:dyDescent="0.3">
      <c r="A469" s="1559"/>
      <c r="B469" s="1559"/>
      <c r="C469" s="1560"/>
      <c r="D469" s="1567"/>
      <c r="E469" s="1568"/>
      <c r="F469" s="1569"/>
      <c r="G469" s="1569"/>
      <c r="H469" s="1264"/>
      <c r="I469" s="1264"/>
      <c r="J469" s="1264"/>
      <c r="K469" s="1264"/>
      <c r="L469" s="1264"/>
      <c r="M469" s="1558"/>
      <c r="N469" s="1264"/>
      <c r="O469" s="1705"/>
      <c r="P469" s="1706"/>
      <c r="Q469" s="250"/>
      <c r="S469" s="565" t="str">
        <f>IF($D$476=0,"",IF($E469="NO","",IF($I468="Select Payment Method","X","")))</f>
        <v/>
      </c>
    </row>
    <row r="470" spans="1:22" s="175" customFormat="1" ht="18" hidden="1" customHeight="1" thickBot="1" x14ac:dyDescent="0.3">
      <c r="A470" s="1559"/>
      <c r="B470" s="1559"/>
      <c r="C470" s="1560" t="str" cm="1">
        <f t="array" aca="1" ref="C470" ca="1">IF(INDIRECT("'Incentives'!C"&amp;'Configurable Tab'!C200+1) = "Yes",IF(INDIRECT("'Incentives'!E"&amp;'Configurable Tab'!C200+5)&lt;Welcome!$D$12,"Yes",IF(INDIRECT("'Incentives'!E"&amp;'Configurable Tab'!C200+5)='Required Info to Submit'!$F$13,"No","")),"")</f>
        <v/>
      </c>
      <c r="D470" s="1570" t="s">
        <v>1378</v>
      </c>
      <c r="E470" s="1375" t="str">
        <f>IF(E467="Yes",IF(Welcome!$D$6="New",IF('Required Info to Submit'!F$10="","",'Required Info to Submit'!F$10),""),"")</f>
        <v/>
      </c>
      <c r="F470" s="1562"/>
      <c r="G470" s="1264"/>
      <c r="H470" s="1264"/>
      <c r="I470" s="1264"/>
      <c r="J470" s="1264"/>
      <c r="K470" s="193" t="s">
        <v>1382</v>
      </c>
      <c r="L470" s="1571"/>
      <c r="M470" s="1564"/>
      <c r="N470" s="1264"/>
      <c r="O470" s="6" t="s">
        <v>490</v>
      </c>
      <c r="P470" s="1706"/>
      <c r="Q470" s="250"/>
    </row>
    <row r="471" spans="1:22" s="175" customFormat="1" ht="18" hidden="1" customHeight="1" thickBot="1" x14ac:dyDescent="0.3">
      <c r="A471" s="1559"/>
      <c r="B471" s="1559"/>
      <c r="C471" s="1560"/>
      <c r="D471" s="1570" t="s">
        <v>1379</v>
      </c>
      <c r="E471" s="1375" t="str">
        <f>IF(E467="Yes",IF(Welcome!$D$6="New",IF('Required Info to Submit'!F$13="","",'Required Info to Submit'!F$13),""),"")</f>
        <v/>
      </c>
      <c r="F471" s="1566"/>
      <c r="G471" s="1264"/>
      <c r="H471" s="1264"/>
      <c r="I471" s="1264"/>
      <c r="J471" s="1264"/>
      <c r="K471" s="1438"/>
      <c r="L471" s="1571"/>
      <c r="M471" s="1564"/>
      <c r="N471" s="1264"/>
      <c r="O471" s="859">
        <f>IF(E467="Yes",IFERROR(ROUND(K471*$H$10,0),0),0)</f>
        <v>0</v>
      </c>
      <c r="P471" s="584"/>
      <c r="Q471" s="250"/>
    </row>
    <row r="472" spans="1:22" s="175" customFormat="1" ht="27" hidden="1" customHeight="1" x14ac:dyDescent="0.25">
      <c r="A472" s="1572"/>
      <c r="B472" s="1572"/>
      <c r="C472" s="1573"/>
      <c r="D472" s="1574"/>
      <c r="E472" s="1575"/>
      <c r="F472" s="1575"/>
      <c r="G472" s="1576"/>
      <c r="H472" s="1575"/>
      <c r="I472" s="1575"/>
      <c r="J472" s="1575"/>
      <c r="K472" s="1575"/>
      <c r="L472" s="1575"/>
      <c r="M472" s="1577"/>
      <c r="N472" s="1575"/>
      <c r="O472" s="1575"/>
      <c r="P472" s="249"/>
      <c r="Q472" s="250"/>
    </row>
    <row r="473" spans="1:22" s="179" customFormat="1" ht="9" customHeight="1" thickBot="1" x14ac:dyDescent="0.3">
      <c r="C473" s="1305"/>
      <c r="K473" s="1578"/>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49"/>
      <c r="D480" s="1949"/>
      <c r="I480" s="537"/>
      <c r="L480" s="771"/>
      <c r="M480" s="1950"/>
      <c r="N480" s="1950"/>
      <c r="O480" s="1950"/>
      <c r="P480" s="1950"/>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toVmgGXkbj0TqaCz4xYvOR2ZdSg7YJrSaatlN1zPelVOtPCIGpJ9iC2JFh0tvkkdKfwd6zwF7EQIO1/BxAt5Q==" saltValue="iFDJOEKm2ZaFtz1GkR3koA=="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2005" t="s">
        <v>210</v>
      </c>
      <c r="D2" s="2005"/>
      <c r="E2" s="2005"/>
      <c r="F2" s="400"/>
      <c r="G2" s="171"/>
      <c r="H2" s="171"/>
      <c r="I2" s="171"/>
      <c r="J2" s="171"/>
      <c r="K2" s="171"/>
      <c r="L2" s="174"/>
    </row>
    <row r="3" spans="2:23" x14ac:dyDescent="0.25">
      <c r="B3" s="177"/>
      <c r="C3" s="2009" t="s">
        <v>1150</v>
      </c>
      <c r="D3" s="2010"/>
      <c r="E3" s="320" t="str">
        <f>Welcome!$D$10</f>
        <v>Please Select</v>
      </c>
      <c r="F3" s="323"/>
      <c r="G3" s="373" t="s">
        <v>110</v>
      </c>
      <c r="H3" s="2007" t="str">
        <f>IFERROR(VLOOKUP($H$4,'Market Geography'!$D:$G,4,FALSE),"Select Market")</f>
        <v>Select Market</v>
      </c>
      <c r="I3" s="2007"/>
      <c r="J3" s="2007"/>
      <c r="K3" s="2008"/>
      <c r="L3" s="178"/>
    </row>
    <row r="4" spans="2:23" x14ac:dyDescent="0.25">
      <c r="B4" s="177"/>
      <c r="C4" s="1996" t="s">
        <v>1151</v>
      </c>
      <c r="D4" s="1997"/>
      <c r="E4" s="289" t="str">
        <f>Welcome!$D$16</f>
        <v>Select Term</v>
      </c>
      <c r="F4" s="401"/>
      <c r="G4" s="374" t="s">
        <v>836</v>
      </c>
      <c r="H4" s="1992">
        <f>Welcome!$D$4</f>
        <v>0</v>
      </c>
      <c r="I4" s="1992"/>
      <c r="J4" s="1992"/>
      <c r="K4" s="1993"/>
      <c r="L4" s="178"/>
    </row>
    <row r="5" spans="2:23" x14ac:dyDescent="0.25">
      <c r="B5" s="177"/>
      <c r="C5" s="1996" t="s">
        <v>1156</v>
      </c>
      <c r="D5" s="1997"/>
      <c r="E5" s="143">
        <f>'PIM Model'!$G$32</f>
        <v>0</v>
      </c>
      <c r="F5" s="402"/>
      <c r="G5" s="374" t="s">
        <v>107</v>
      </c>
      <c r="H5" s="1992" t="str">
        <f>'Multi-Customer'!$S$49</f>
        <v>Enter Customer(s)</v>
      </c>
      <c r="I5" s="1992"/>
      <c r="J5" s="1992"/>
      <c r="K5" s="1993"/>
      <c r="L5" s="178"/>
    </row>
    <row r="6" spans="2:23" x14ac:dyDescent="0.25">
      <c r="B6" s="177"/>
      <c r="C6" s="1996" t="s">
        <v>1157</v>
      </c>
      <c r="D6" s="1997"/>
      <c r="E6" s="144">
        <f>'PIM Model'!$E$6</f>
        <v>0</v>
      </c>
      <c r="F6" s="323"/>
      <c r="G6" s="374" t="s">
        <v>1164</v>
      </c>
      <c r="H6" s="1992" t="str">
        <f>IF('Multi-Customer'!$AL$40 = "MULTIPLE MENU TYPES","MULTIPLE TYPES",'Multi-Customer'!$AH$40)</f>
        <v>MULTIPLE TYPES</v>
      </c>
      <c r="I6" s="1992"/>
      <c r="J6" s="1992"/>
      <c r="K6" s="1993"/>
      <c r="L6" s="178"/>
      <c r="R6" s="403"/>
    </row>
    <row r="7" spans="2:23" ht="15.75" thickBot="1" x14ac:dyDescent="0.3">
      <c r="B7" s="177"/>
      <c r="C7" s="1998" t="s">
        <v>1158</v>
      </c>
      <c r="D7" s="1999"/>
      <c r="E7" s="321">
        <f>IFERROR('PIM Ranges'!$AW$3,0)</f>
        <v>0</v>
      </c>
      <c r="F7" s="176"/>
      <c r="G7" s="375" t="s">
        <v>1159</v>
      </c>
      <c r="H7" s="1994" t="s">
        <v>206</v>
      </c>
      <c r="I7" s="1994"/>
      <c r="J7" s="1994"/>
      <c r="K7" s="1995"/>
      <c r="L7" s="178"/>
      <c r="P7" s="176"/>
      <c r="Q7" s="153"/>
      <c r="R7" s="404"/>
      <c r="S7" s="134"/>
      <c r="T7" s="153"/>
      <c r="U7" s="176"/>
      <c r="V7" s="153"/>
      <c r="W7" s="176"/>
    </row>
    <row r="8" spans="2:23" ht="13.9" customHeight="1" x14ac:dyDescent="0.25">
      <c r="B8" s="177"/>
      <c r="D8" s="136"/>
      <c r="E8" s="1916"/>
      <c r="F8" s="1916"/>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2000" t="s">
        <v>839</v>
      </c>
      <c r="J10" s="2000"/>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2001" t="str">
        <f>IFERROR($E11/$E$5,"")</f>
        <v/>
      </c>
      <c r="J11" s="2001"/>
      <c r="K11" s="243"/>
      <c r="L11" s="178"/>
      <c r="R11" s="403"/>
    </row>
    <row r="12" spans="2:23" ht="36" customHeight="1" x14ac:dyDescent="0.25">
      <c r="B12" s="177"/>
      <c r="C12" s="242"/>
      <c r="D12" s="2002" t="s">
        <v>677</v>
      </c>
      <c r="E12" s="2002"/>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2001" t="str">
        <f>IFERROR(E13/E5,"")</f>
        <v/>
      </c>
      <c r="J13" s="2001"/>
      <c r="K13" s="243"/>
      <c r="L13" s="178"/>
    </row>
    <row r="14" spans="2:23" s="605" customFormat="1" ht="36.6" customHeight="1" x14ac:dyDescent="0.25">
      <c r="B14" s="177"/>
      <c r="C14" s="242"/>
      <c r="D14" s="2002" t="s">
        <v>1093</v>
      </c>
      <c r="E14" s="2002"/>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2001" t="str">
        <f>IFERROR($E15/$E$5,"")</f>
        <v/>
      </c>
      <c r="J15" s="2001"/>
      <c r="K15" s="243"/>
      <c r="L15" s="178"/>
    </row>
    <row r="16" spans="2:23" ht="26.45" customHeight="1" x14ac:dyDescent="0.25">
      <c r="B16" s="177"/>
      <c r="C16" s="242"/>
      <c r="D16" s="1991" t="s">
        <v>679</v>
      </c>
      <c r="E16" s="1991"/>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2001" t="str">
        <f>IFERROR($E17/$E$5,"")</f>
        <v/>
      </c>
      <c r="J17" s="2001"/>
      <c r="K17" s="243"/>
      <c r="L17" s="178"/>
    </row>
    <row r="18" spans="2:12" ht="25.9" customHeight="1" x14ac:dyDescent="0.25">
      <c r="B18" s="177"/>
      <c r="C18" s="242"/>
      <c r="D18" s="1991" t="s">
        <v>678</v>
      </c>
      <c r="E18" s="2003"/>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2004" t="str">
        <f>IFERROR($E19/$E$5,"")</f>
        <v/>
      </c>
      <c r="J19" s="200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2004" t="str">
        <f>IFERROR($E21/$E$5,"")</f>
        <v/>
      </c>
      <c r="J21" s="200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2001" t="str">
        <f>IFERROR($E25/$E$5,"")</f>
        <v/>
      </c>
      <c r="J25" s="2001"/>
      <c r="K25" s="243"/>
      <c r="L25" s="178"/>
    </row>
    <row r="26" spans="2:12" ht="16.149999999999999" customHeight="1" x14ac:dyDescent="0.25">
      <c r="B26" s="177"/>
      <c r="C26" s="242"/>
      <c r="D26" s="2006" t="s">
        <v>874</v>
      </c>
      <c r="E26" s="200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2000" t="s">
        <v>839</v>
      </c>
      <c r="J30" s="2000"/>
      <c r="K30" s="243"/>
      <c r="L30" s="178"/>
    </row>
    <row r="31" spans="2:12" ht="25.15" customHeight="1" x14ac:dyDescent="0.25">
      <c r="B31" s="177"/>
      <c r="C31" s="242"/>
      <c r="D31" s="424" t="s">
        <v>221</v>
      </c>
      <c r="E31" s="425">
        <f>'PIM Ranges'!AQ33</f>
        <v>0</v>
      </c>
      <c r="F31" s="187"/>
      <c r="G31" s="412">
        <f>IFERROR(E31/'PIM Model'!$H$32,0)</f>
        <v>0</v>
      </c>
      <c r="H31" s="187"/>
      <c r="I31" s="2001" t="str">
        <f>IFERROR($E31/$E$5,"")</f>
        <v/>
      </c>
      <c r="J31" s="2001"/>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2001" t="str">
        <f>IFERROR($E32/$E$5,"")</f>
        <v/>
      </c>
      <c r="J32" s="2001"/>
      <c r="K32" s="243"/>
      <c r="L32" s="178"/>
    </row>
    <row r="33" spans="2:12" ht="27.6" customHeight="1" x14ac:dyDescent="0.25">
      <c r="B33" s="177"/>
      <c r="C33" s="430"/>
      <c r="D33" s="1991" t="s">
        <v>2068</v>
      </c>
      <c r="E33" s="1991"/>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91"/>
      <c r="E39" s="1991"/>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9" t="s">
        <v>1150</v>
      </c>
      <c r="D4" s="2010"/>
      <c r="E4" s="530" t="str">
        <f>Welcome!$D$10</f>
        <v>Please Select</v>
      </c>
      <c r="F4" s="139"/>
      <c r="G4" s="373" t="s">
        <v>110</v>
      </c>
      <c r="H4" s="1923" t="str">
        <f>IFERROR(VLOOKUP($H$5,'Market Geography'!$D:$G,4,FALSE),"Select Market")</f>
        <v>Select Market</v>
      </c>
      <c r="I4" s="1924"/>
      <c r="J4" s="1925"/>
      <c r="K4" s="700"/>
      <c r="L4" s="700"/>
      <c r="M4" s="700"/>
      <c r="N4" s="700"/>
      <c r="O4" s="700"/>
      <c r="P4" s="621"/>
      <c r="Q4" s="623"/>
      <c r="R4" s="595"/>
      <c r="S4" s="436"/>
    </row>
    <row r="5" spans="1:31" x14ac:dyDescent="0.25">
      <c r="B5" s="177"/>
      <c r="C5" s="1996" t="s">
        <v>1151</v>
      </c>
      <c r="D5" s="1997"/>
      <c r="E5" s="289" t="str">
        <f>Welcome!$D$16</f>
        <v>Select Term</v>
      </c>
      <c r="F5" s="139"/>
      <c r="G5" s="374" t="s">
        <v>836</v>
      </c>
      <c r="H5" s="1920">
        <f>Welcome!$D$4</f>
        <v>0</v>
      </c>
      <c r="I5" s="1921"/>
      <c r="J5" s="1922"/>
      <c r="K5" s="700"/>
      <c r="L5" s="700"/>
      <c r="M5" s="700"/>
      <c r="N5" s="700"/>
      <c r="O5" s="700"/>
      <c r="P5" s="621"/>
      <c r="Q5" s="623"/>
      <c r="R5" s="595"/>
      <c r="S5" s="436"/>
    </row>
    <row r="6" spans="1:31" x14ac:dyDescent="0.25">
      <c r="B6" s="177"/>
      <c r="C6" s="1996" t="s">
        <v>1156</v>
      </c>
      <c r="D6" s="1997"/>
      <c r="E6" s="290">
        <f>IFERROR('PIM Model'!$G$32,0)</f>
        <v>0</v>
      </c>
      <c r="F6" s="322"/>
      <c r="G6" s="374" t="s">
        <v>107</v>
      </c>
      <c r="H6" s="1920" t="str">
        <f>'Multi-Customer'!$S$49</f>
        <v>Enter Customer(s)</v>
      </c>
      <c r="I6" s="1921"/>
      <c r="J6" s="1922"/>
      <c r="K6" s="700"/>
      <c r="L6" s="700"/>
      <c r="M6" s="700"/>
      <c r="N6" s="700"/>
      <c r="O6" s="700"/>
      <c r="P6" s="621"/>
      <c r="Q6" s="623"/>
      <c r="R6" s="595"/>
      <c r="S6" s="436"/>
    </row>
    <row r="7" spans="1:31" x14ac:dyDescent="0.25">
      <c r="B7" s="177"/>
      <c r="C7" s="1996" t="s">
        <v>1157</v>
      </c>
      <c r="D7" s="1997"/>
      <c r="E7" s="437">
        <f>IFERROR('Variable Costs (Back)'!$K$36,0)</f>
        <v>0</v>
      </c>
      <c r="F7" s="176"/>
      <c r="G7" s="374" t="s">
        <v>1164</v>
      </c>
      <c r="H7" s="1920" t="str">
        <f>'Multi-Customer'!$AH$40</f>
        <v>MULTIPLE TYPES</v>
      </c>
      <c r="I7" s="1921"/>
      <c r="J7" s="1922"/>
      <c r="K7" s="700"/>
      <c r="L7" s="700"/>
      <c r="M7" s="700"/>
      <c r="N7" s="700"/>
      <c r="O7" s="700"/>
      <c r="P7" s="621"/>
      <c r="Q7" s="623"/>
      <c r="R7" s="595"/>
      <c r="S7" s="436"/>
    </row>
    <row r="8" spans="1:31" ht="15.75" thickBot="1" x14ac:dyDescent="0.3">
      <c r="B8" s="177"/>
      <c r="C8" s="1998" t="s">
        <v>1158</v>
      </c>
      <c r="D8" s="1999"/>
      <c r="E8" s="321">
        <f>IFERROR('PIM Ranges'!$AW$3,0)</f>
        <v>0</v>
      </c>
      <c r="F8" s="323"/>
      <c r="G8" s="375" t="s">
        <v>1159</v>
      </c>
      <c r="H8" s="2011" t="s">
        <v>206</v>
      </c>
      <c r="I8" s="2012"/>
      <c r="J8" s="2013"/>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20" t="s">
        <v>1124</v>
      </c>
      <c r="R11" s="2020"/>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18" t="s">
        <v>1124</v>
      </c>
      <c r="R21" s="2019"/>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17" t="s">
        <v>2068</v>
      </c>
      <c r="E35" s="2017"/>
      <c r="F35" s="2017"/>
      <c r="G35" s="2017"/>
      <c r="H35" s="455"/>
      <c r="I35" s="2016" t="str">
        <f>IF($J$36=0,IF($N$36=0,"","Customer EB % Missing"),IF($N$36=0,"Customer Drops/Wk Missing","Customer EB % &amp; Drops/Wk Missing"))</f>
        <v/>
      </c>
      <c r="J35" s="2016"/>
      <c r="K35" s="2016"/>
      <c r="L35" s="2016"/>
      <c r="M35" s="2016"/>
      <c r="N35" s="2016"/>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14" t="s">
        <v>1124</v>
      </c>
      <c r="R40" s="2014"/>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15"/>
      <c r="C44" s="2015"/>
      <c r="D44" s="2015"/>
      <c r="N44" s="1950"/>
      <c r="O44" s="1950"/>
      <c r="P44" s="1950"/>
      <c r="Q44" s="1950"/>
      <c r="R44" s="1950"/>
      <c r="S44" s="1950"/>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26" t="s">
        <v>644</v>
      </c>
      <c r="D2" s="2027"/>
      <c r="E2" s="2027"/>
      <c r="F2" s="2027"/>
      <c r="G2" s="2027"/>
      <c r="H2" s="2027"/>
      <c r="I2" s="2027"/>
      <c r="J2" s="2027"/>
      <c r="K2" s="2027"/>
      <c r="L2" s="2028"/>
      <c r="M2" s="568"/>
      <c r="N2" s="258" t="s">
        <v>645</v>
      </c>
      <c r="O2" s="258" t="s">
        <v>646</v>
      </c>
      <c r="P2" s="258" t="s">
        <v>482</v>
      </c>
      <c r="R2" s="5" t="s">
        <v>877</v>
      </c>
      <c r="S2" s="5">
        <f>IF(Welcome!D18=S3,0,IF(Welcome!D6="New",Welcome!D18,'Customer Inputs'!E4))</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9"/>
      <c r="G4" s="2029"/>
      <c r="L4" s="500"/>
      <c r="P4" s="1" t="s">
        <v>480</v>
      </c>
    </row>
    <row r="5" spans="3:22" x14ac:dyDescent="0.25">
      <c r="C5" s="137"/>
      <c r="E5" s="330" t="s">
        <v>2237</v>
      </c>
      <c r="F5" s="2029"/>
      <c r="G5" s="2029"/>
      <c r="L5" s="138"/>
    </row>
    <row r="6" spans="3:22" x14ac:dyDescent="0.25">
      <c r="C6" s="137"/>
      <c r="E6" s="136" t="s">
        <v>2232</v>
      </c>
      <c r="F6" s="2029"/>
      <c r="G6" s="2029"/>
      <c r="L6" s="138"/>
    </row>
    <row r="7" spans="3:22" x14ac:dyDescent="0.25">
      <c r="C7" s="137"/>
      <c r="E7" s="136"/>
      <c r="F7" s="1804"/>
      <c r="G7" s="1804"/>
      <c r="L7" s="138"/>
    </row>
    <row r="8" spans="3:22" x14ac:dyDescent="0.25">
      <c r="C8" s="137"/>
      <c r="E8" s="136" t="s">
        <v>1165</v>
      </c>
      <c r="F8" s="2029"/>
      <c r="G8" s="2029"/>
      <c r="L8" s="138"/>
      <c r="N8" t="str" cm="1">
        <f t="array" ref="N8">RemoveSpecChar(F8)</f>
        <v/>
      </c>
    </row>
    <row r="9" spans="3:22" x14ac:dyDescent="0.25">
      <c r="C9" s="137"/>
      <c r="E9" s="136"/>
      <c r="F9" s="2031"/>
      <c r="G9" s="2031"/>
      <c r="L9" s="138"/>
    </row>
    <row r="10" spans="3:22" x14ac:dyDescent="0.25">
      <c r="C10" s="137"/>
      <c r="E10" s="136" t="s">
        <v>1168</v>
      </c>
      <c r="F10" s="2030"/>
      <c r="G10" s="2030"/>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04"/>
      <c r="G12" s="1804"/>
      <c r="K12" s="713"/>
      <c r="L12" s="138"/>
      <c r="M12" s="567"/>
    </row>
    <row r="13" spans="3:22" s="671" customFormat="1" ht="13.5" customHeight="1" x14ac:dyDescent="0.25">
      <c r="C13" s="137"/>
      <c r="E13" s="136" t="s">
        <v>1169</v>
      </c>
      <c r="F13" s="2032" t="str">
        <f>IF(F10="","",IF('Agreement Worksheet'!J5="End of Week",F10+(364*IF(OR(Welcome!D16="Select Term",Welcome!D16=""),0,Welcome!D16))+6,R13-1))</f>
        <v/>
      </c>
      <c r="G13" s="2032"/>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24" t="str">
        <f>Welcome!D10</f>
        <v>Please Select</v>
      </c>
      <c r="G15" s="2025"/>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0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0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0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0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0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0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0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0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0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0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0" customFormat="1" x14ac:dyDescent="0.25">
      <c r="A29" s="686">
        <v>11</v>
      </c>
      <c r="C29" s="137"/>
      <c r="D29" s="520" t="str">
        <f t="shared" si="0"/>
        <v/>
      </c>
      <c r="E29" s="521" t="str">
        <f>IF('Customer Inputs'!G16&lt;&gt;"",'Customer Inputs'!G16,"")</f>
        <v/>
      </c>
      <c r="F29" s="180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0" customFormat="1" x14ac:dyDescent="0.25">
      <c r="A30" s="686">
        <v>12</v>
      </c>
      <c r="C30" s="137"/>
      <c r="D30" s="520" t="str">
        <f t="shared" si="0"/>
        <v/>
      </c>
      <c r="E30" s="521" t="str">
        <f>IF('Customer Inputs'!G17&lt;&gt;"",'Customer Inputs'!G17,"")</f>
        <v/>
      </c>
      <c r="F30" s="180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0" customFormat="1" x14ac:dyDescent="0.25">
      <c r="A31" s="686">
        <v>13</v>
      </c>
      <c r="C31" s="137"/>
      <c r="D31" s="520" t="str">
        <f t="shared" si="0"/>
        <v/>
      </c>
      <c r="E31" s="521" t="str">
        <f>IF('Customer Inputs'!G18&lt;&gt;"",'Customer Inputs'!G18,"")</f>
        <v/>
      </c>
      <c r="F31" s="180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0" customFormat="1" x14ac:dyDescent="0.25">
      <c r="A32" s="686">
        <v>14</v>
      </c>
      <c r="C32" s="137"/>
      <c r="D32" s="520" t="str">
        <f t="shared" si="0"/>
        <v/>
      </c>
      <c r="E32" s="521" t="str">
        <f>IF('Customer Inputs'!G19&lt;&gt;"",'Customer Inputs'!G19,"")</f>
        <v/>
      </c>
      <c r="F32" s="180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0" customFormat="1" x14ac:dyDescent="0.25">
      <c r="A33" s="686">
        <v>15</v>
      </c>
      <c r="C33" s="137"/>
      <c r="D33" s="520" t="str">
        <f t="shared" si="0"/>
        <v/>
      </c>
      <c r="E33" s="521" t="str">
        <f>IF('Customer Inputs'!G20&lt;&gt;"",'Customer Inputs'!G20,"")</f>
        <v/>
      </c>
      <c r="F33" s="180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0" customFormat="1" x14ac:dyDescent="0.25">
      <c r="A34" s="686">
        <v>16</v>
      </c>
      <c r="C34" s="137"/>
      <c r="D34" s="520" t="str">
        <f t="shared" si="0"/>
        <v/>
      </c>
      <c r="E34" s="521" t="str">
        <f>IF('Customer Inputs'!G21&lt;&gt;"",'Customer Inputs'!G21,"")</f>
        <v/>
      </c>
      <c r="F34" s="180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0" customFormat="1" x14ac:dyDescent="0.25">
      <c r="A35" s="686">
        <v>17</v>
      </c>
      <c r="C35" s="137"/>
      <c r="D35" s="520" t="str">
        <f t="shared" si="0"/>
        <v/>
      </c>
      <c r="E35" s="521" t="str">
        <f>IF('Customer Inputs'!G22&lt;&gt;"",'Customer Inputs'!G22,"")</f>
        <v/>
      </c>
      <c r="F35" s="180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0" customFormat="1" x14ac:dyDescent="0.25">
      <c r="A36" s="686">
        <v>18</v>
      </c>
      <c r="C36" s="137"/>
      <c r="D36" s="520" t="str">
        <f t="shared" si="0"/>
        <v/>
      </c>
      <c r="E36" s="521" t="str">
        <f>IF('Customer Inputs'!G23&lt;&gt;"",'Customer Inputs'!G23,"")</f>
        <v/>
      </c>
      <c r="F36" s="180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0" customFormat="1" x14ac:dyDescent="0.25">
      <c r="A37" s="686">
        <v>19</v>
      </c>
      <c r="C37" s="137"/>
      <c r="D37" s="520" t="str">
        <f t="shared" si="0"/>
        <v/>
      </c>
      <c r="E37" s="521" t="str">
        <f>IF('Customer Inputs'!G24&lt;&gt;"",'Customer Inputs'!G24,"")</f>
        <v/>
      </c>
      <c r="F37" s="180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0" customFormat="1" x14ac:dyDescent="0.25">
      <c r="A38" s="686">
        <v>20</v>
      </c>
      <c r="C38" s="137"/>
      <c r="D38" s="520" t="str">
        <f t="shared" si="0"/>
        <v/>
      </c>
      <c r="E38" s="521" t="str">
        <f>IF('Customer Inputs'!G25&lt;&gt;"",'Customer Inputs'!G25,"")</f>
        <v/>
      </c>
      <c r="F38" s="180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21" t="s">
        <v>1456</v>
      </c>
      <c r="G50" s="2022"/>
      <c r="H50" s="2023"/>
    </row>
    <row r="51" spans="6:8" x14ac:dyDescent="0.25">
      <c r="F51" s="1805" t="s">
        <v>1404</v>
      </c>
      <c r="G51" s="1806" t="s">
        <v>1457</v>
      </c>
      <c r="H51" s="1807" t="s">
        <v>1458</v>
      </c>
    </row>
    <row r="52" spans="6:8" ht="15.75" thickBot="1" x14ac:dyDescent="0.3">
      <c r="F52" s="804"/>
      <c r="G52" s="805"/>
      <c r="H52" s="806"/>
    </row>
  </sheetData>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19" t="s">
        <v>1400</v>
      </c>
      <c r="B1" s="1819" t="s">
        <v>2238</v>
      </c>
      <c r="C1" s="1819" t="s">
        <v>2239</v>
      </c>
      <c r="D1" s="1819" t="s">
        <v>2240</v>
      </c>
      <c r="E1" s="182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34" t="s">
        <v>1190</v>
      </c>
      <c r="C2" s="2040"/>
      <c r="D2" s="2040"/>
      <c r="E2" s="2040"/>
      <c r="F2" s="2040"/>
      <c r="G2" s="2040"/>
      <c r="H2" s="2040"/>
      <c r="I2" s="2040"/>
      <c r="J2" s="2040"/>
      <c r="K2" s="2041"/>
      <c r="L2" s="686"/>
      <c r="M2" s="2033" t="s">
        <v>1191</v>
      </c>
      <c r="N2" s="2033"/>
      <c r="O2" s="2033"/>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34" t="s">
        <v>1204</v>
      </c>
      <c r="C7" s="2035"/>
      <c r="D7" s="2035"/>
      <c r="E7" s="2035"/>
      <c r="F7" s="2035"/>
      <c r="G7" s="2035"/>
      <c r="H7" s="2035"/>
      <c r="I7" s="2036"/>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37" t="s">
        <v>1231</v>
      </c>
      <c r="C15" s="2038"/>
      <c r="D15" s="2038"/>
      <c r="E15" s="2038"/>
      <c r="F15" s="2038"/>
      <c r="G15" s="2038"/>
      <c r="H15" s="2038"/>
      <c r="I15" s="2039"/>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Schedule'!E5="PB","before","after")</f>
        <v>before</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IaHGiu/S0w4c1cAfv4yWFZkVx3ra8KoIudZ883KACvufkSPZzsa2WjSzx6UNoK12KMVSSxM6Mgkl/tO8g2T+w==" saltValue="/e3PY7tqNHKptQFCKeZ6n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67" customWidth="1"/>
    <col min="3" max="3" width="11.5703125" style="1767" customWidth="1"/>
    <col min="4" max="5" width="12.28515625" style="1767" customWidth="1"/>
    <col min="6" max="6" width="13.7109375" style="1767" customWidth="1"/>
    <col min="7" max="7" width="12.7109375" style="1768" customWidth="1"/>
    <col min="8" max="8" width="13.5703125" style="1767" customWidth="1"/>
    <col min="9" max="9" width="12.140625" style="1767" customWidth="1"/>
    <col min="10" max="10" width="15.85546875" style="1767" customWidth="1"/>
    <col min="11" max="11" width="12.85546875" style="1767" customWidth="1"/>
    <col min="12" max="12" width="14.42578125" style="1767" customWidth="1"/>
    <col min="13" max="13" width="12.85546875" style="1767" customWidth="1"/>
    <col min="14" max="14" width="12.140625" style="1767" customWidth="1"/>
    <col min="15" max="15" width="25.28515625" style="1767" customWidth="1"/>
    <col min="16" max="16" width="13.42578125" style="1767" hidden="1" customWidth="1"/>
    <col min="17" max="17" width="13.7109375" style="1767"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739"/>
      <c r="C1" s="739"/>
      <c r="D1" s="739"/>
      <c r="E1" s="739"/>
      <c r="F1" s="739"/>
      <c r="G1" s="1758"/>
      <c r="H1" s="739"/>
      <c r="I1" s="739"/>
      <c r="J1" s="739"/>
      <c r="K1" s="739"/>
      <c r="L1" s="739"/>
      <c r="M1" s="739"/>
      <c r="N1" s="739"/>
      <c r="O1" s="739"/>
      <c r="P1" s="739"/>
    </row>
    <row r="2" spans="1:22" ht="15.75" thickBot="1" x14ac:dyDescent="0.3">
      <c r="A2" s="537"/>
      <c r="B2" s="2042" t="s">
        <v>1257</v>
      </c>
      <c r="C2" s="2045"/>
      <c r="D2" s="2045"/>
      <c r="E2" s="2045"/>
      <c r="F2" s="2045"/>
      <c r="G2" s="2045"/>
      <c r="H2" s="2045"/>
      <c r="I2" s="2045"/>
      <c r="J2" s="2045"/>
      <c r="K2" s="2045"/>
      <c r="L2" s="2045"/>
      <c r="M2" s="2045"/>
      <c r="N2" s="2046"/>
      <c r="O2" s="1711"/>
      <c r="P2" s="739"/>
      <c r="U2" s="734">
        <f>IF(ISNA(U4),0,1)</f>
        <v>0</v>
      </c>
      <c r="V2" s="734"/>
    </row>
    <row r="3" spans="1:22" ht="15.75" thickBot="1" x14ac:dyDescent="0.3">
      <c r="A3" s="537"/>
      <c r="B3" s="739"/>
      <c r="C3" s="739"/>
      <c r="D3" s="739"/>
      <c r="E3" s="739"/>
      <c r="F3" s="739"/>
      <c r="G3" s="1758"/>
      <c r="H3" s="739"/>
      <c r="I3" s="739"/>
      <c r="J3" s="739"/>
      <c r="K3" s="739"/>
      <c r="L3" s="739"/>
      <c r="M3" s="739"/>
      <c r="N3" s="739"/>
      <c r="O3" s="739"/>
      <c r="P3" s="739"/>
      <c r="U3" s="734">
        <f>IF(ISNA(U5),0,1)</f>
        <v>0</v>
      </c>
      <c r="V3" s="734"/>
    </row>
    <row r="4" spans="1:22" ht="54" customHeight="1" x14ac:dyDescent="0.25">
      <c r="A4" s="537"/>
      <c r="B4" s="716" t="s">
        <v>1258</v>
      </c>
      <c r="C4" s="717" t="s">
        <v>1259</v>
      </c>
      <c r="D4" s="717" t="s">
        <v>1370</v>
      </c>
      <c r="E4" s="717" t="s">
        <v>1260</v>
      </c>
      <c r="F4" s="717" t="s">
        <v>1261</v>
      </c>
      <c r="G4" s="1755" t="s">
        <v>1262</v>
      </c>
      <c r="H4" s="717" t="s">
        <v>1263</v>
      </c>
      <c r="I4" s="717" t="s">
        <v>1264</v>
      </c>
      <c r="J4" s="717" t="s">
        <v>1265</v>
      </c>
      <c r="K4" s="717" t="s">
        <v>1266</v>
      </c>
      <c r="L4" s="717" t="s">
        <v>1267</v>
      </c>
      <c r="M4" s="1238" t="s">
        <v>1268</v>
      </c>
      <c r="N4" s="1778" t="s">
        <v>1269</v>
      </c>
      <c r="O4" s="1708"/>
      <c r="P4" s="739"/>
      <c r="U4" s="734" t="e">
        <f>MATCH("Yes",L11:L30,0)</f>
        <v>#N/A</v>
      </c>
      <c r="V4" s="734"/>
    </row>
    <row r="5" spans="1:22" ht="15.75" thickBot="1" x14ac:dyDescent="0.3">
      <c r="A5" s="537"/>
      <c r="B5" s="1709">
        <v>1</v>
      </c>
      <c r="C5" s="680"/>
      <c r="D5" s="680" t="s">
        <v>660</v>
      </c>
      <c r="E5" s="680" t="s">
        <v>1270</v>
      </c>
      <c r="F5" s="680" t="s">
        <v>1271</v>
      </c>
      <c r="G5" s="1756" t="s">
        <v>646</v>
      </c>
      <c r="H5" s="680" t="s">
        <v>648</v>
      </c>
      <c r="I5" s="680" t="s">
        <v>648</v>
      </c>
      <c r="J5" s="680" t="s">
        <v>646</v>
      </c>
      <c r="K5" s="680" t="s">
        <v>648</v>
      </c>
      <c r="L5" s="680" t="s">
        <v>648</v>
      </c>
      <c r="M5" s="1710" t="str">
        <f>IF('Required Info to Submit'!F13&lt;&gt;"",'Required Info to Submit'!F13,"")</f>
        <v/>
      </c>
      <c r="N5" s="1779" t="s">
        <v>648</v>
      </c>
      <c r="O5" s="1799"/>
      <c r="P5" s="739"/>
      <c r="U5" s="735" t="e">
        <f>MATCH("Yes",J11:J30,0)</f>
        <v>#N/A</v>
      </c>
      <c r="V5" s="735"/>
    </row>
    <row r="6" spans="1:22" x14ac:dyDescent="0.25">
      <c r="A6" s="537"/>
      <c r="B6" s="739"/>
      <c r="C6" s="739"/>
      <c r="D6" s="739"/>
      <c r="E6" s="739"/>
      <c r="F6" s="739"/>
      <c r="G6" s="1758"/>
      <c r="H6" s="739"/>
      <c r="I6" s="739"/>
      <c r="J6" s="739"/>
      <c r="K6" s="739"/>
      <c r="L6" s="739"/>
      <c r="M6" s="739"/>
      <c r="N6" s="739"/>
      <c r="O6" s="739"/>
      <c r="P6" s="739"/>
    </row>
    <row r="7" spans="1:22" ht="15.75" thickBot="1" x14ac:dyDescent="0.3">
      <c r="A7" s="537"/>
      <c r="B7" s="739"/>
      <c r="C7" s="739"/>
      <c r="D7" s="739"/>
      <c r="E7" s="739"/>
      <c r="F7" s="739"/>
      <c r="G7" s="1758"/>
      <c r="H7" s="739"/>
      <c r="I7" s="739"/>
      <c r="J7" s="739"/>
      <c r="K7" s="739"/>
      <c r="L7" s="739"/>
      <c r="M7" s="739"/>
      <c r="N7" s="739"/>
      <c r="O7" s="739"/>
      <c r="P7" s="739"/>
    </row>
    <row r="8" spans="1:22" ht="15.75" thickBot="1" x14ac:dyDescent="0.3">
      <c r="A8" s="537"/>
      <c r="B8" s="2042" t="s">
        <v>1272</v>
      </c>
      <c r="C8" s="2043"/>
      <c r="D8" s="2043"/>
      <c r="E8" s="2043"/>
      <c r="F8" s="2043"/>
      <c r="G8" s="2043"/>
      <c r="H8" s="2043"/>
      <c r="I8" s="2043"/>
      <c r="J8" s="2043"/>
      <c r="K8" s="2043"/>
      <c r="L8" s="2043"/>
      <c r="M8" s="2043"/>
      <c r="N8" s="2043"/>
      <c r="O8" s="2044"/>
      <c r="P8" s="739"/>
    </row>
    <row r="9" spans="1:22" ht="15.75" thickBot="1" x14ac:dyDescent="0.3">
      <c r="A9" s="537"/>
      <c r="B9" s="739"/>
      <c r="C9" s="739"/>
      <c r="D9" s="739"/>
      <c r="E9" s="739"/>
      <c r="F9" s="739"/>
      <c r="G9" s="175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57" t="s">
        <v>1276</v>
      </c>
      <c r="H10" s="721" t="s">
        <v>1277</v>
      </c>
      <c r="I10" s="718" t="s">
        <v>1239</v>
      </c>
      <c r="J10" s="718" t="s">
        <v>1278</v>
      </c>
      <c r="K10" s="718" t="s">
        <v>1279</v>
      </c>
      <c r="L10" s="718" t="s">
        <v>1280</v>
      </c>
      <c r="M10" s="718" t="s">
        <v>1281</v>
      </c>
      <c r="N10" s="718" t="s">
        <v>1221</v>
      </c>
      <c r="O10" s="719" t="s">
        <v>1282</v>
      </c>
      <c r="P10" s="1735"/>
    </row>
    <row r="11" spans="1:22" x14ac:dyDescent="0.25">
      <c r="A11" s="537"/>
      <c r="B11" s="722">
        <v>1</v>
      </c>
      <c r="C11" s="723">
        <v>15</v>
      </c>
      <c r="D11" s="724"/>
      <c r="E11" s="724"/>
      <c r="F11" s="694"/>
      <c r="G11" s="1759">
        <f>VLOOKUP(O11,'PIM Model'!F$10:K$30,6,0)</f>
        <v>0</v>
      </c>
      <c r="H11" s="694"/>
      <c r="I11" s="724" t="str">
        <f t="shared" ref="I11:I30" si="0">IF(S11="$/LB","#",IF(S11="$/CS","$","%"))</f>
        <v>%</v>
      </c>
      <c r="J11" s="743" t="s">
        <v>648</v>
      </c>
      <c r="K11" s="729">
        <v>2.25</v>
      </c>
      <c r="L11" s="694" t="s">
        <v>648</v>
      </c>
      <c r="M11" s="729">
        <v>30</v>
      </c>
      <c r="N11" s="731" t="s">
        <v>479</v>
      </c>
      <c r="O11" s="1769" t="s">
        <v>103</v>
      </c>
      <c r="P11" s="739"/>
      <c r="Q11" s="1770">
        <f>'Agreement Worksheet'!$F$13</f>
        <v>2.25</v>
      </c>
      <c r="S11" t="str">
        <f>VLOOKUP(O11,CHOOSE({1,2},  'PIM Model'!F$10:F$30, 'PIM Model'!D$10:D$30),2,0)</f>
        <v>%</v>
      </c>
    </row>
    <row r="12" spans="1:22" x14ac:dyDescent="0.25">
      <c r="A12" s="537"/>
      <c r="B12" s="725">
        <v>1</v>
      </c>
      <c r="C12" s="723">
        <v>16</v>
      </c>
      <c r="D12" s="726"/>
      <c r="E12" s="726"/>
      <c r="F12" s="694"/>
      <c r="G12" s="1759">
        <f>VLOOKUP(O12,'PIM Model'!F$10:K$30,6,0)</f>
        <v>0</v>
      </c>
      <c r="H12" s="694"/>
      <c r="I12" s="724" t="str">
        <f t="shared" si="0"/>
        <v>%</v>
      </c>
      <c r="J12" s="743" t="s">
        <v>648</v>
      </c>
      <c r="K12" s="729">
        <v>2.25</v>
      </c>
      <c r="L12" s="694" t="s">
        <v>648</v>
      </c>
      <c r="M12" s="729">
        <v>30</v>
      </c>
      <c r="N12" s="731" t="s">
        <v>479</v>
      </c>
      <c r="O12" s="1771" t="s">
        <v>102</v>
      </c>
      <c r="P12" s="739"/>
      <c r="Q12" s="1770">
        <f>'Agreement Worksheet'!$C$13</f>
        <v>30</v>
      </c>
      <c r="S12" s="1707" t="str">
        <f>VLOOKUP(O12,CHOOSE({1,2},  'PIM Model'!F$10:F$30, 'PIM Model'!D$10:D$30),2,0)</f>
        <v>%</v>
      </c>
    </row>
    <row r="13" spans="1:22" ht="26.25" x14ac:dyDescent="0.25">
      <c r="A13" s="537"/>
      <c r="B13" s="722">
        <v>1</v>
      </c>
      <c r="C13" s="723">
        <v>17</v>
      </c>
      <c r="D13" s="724"/>
      <c r="E13" s="724"/>
      <c r="F13" s="694"/>
      <c r="G13" s="1759">
        <f>VLOOKUP(O13,'PIM Model'!F$10:K$30,6,0)</f>
        <v>0</v>
      </c>
      <c r="H13" s="1830"/>
      <c r="I13" s="724" t="str">
        <f>IF(S13="$/LB","#",IF(S13="$/CB","$","%"))</f>
        <v>%</v>
      </c>
      <c r="J13" s="743" t="s">
        <v>648</v>
      </c>
      <c r="K13" s="729">
        <v>2.25</v>
      </c>
      <c r="L13" s="694" t="s">
        <v>648</v>
      </c>
      <c r="M13" s="729">
        <v>30</v>
      </c>
      <c r="N13" s="731" t="s">
        <v>479</v>
      </c>
      <c r="O13" s="1771" t="s">
        <v>101</v>
      </c>
      <c r="P13" s="739"/>
      <c r="Q13" s="1770" t="str">
        <f>'Agreement Worksheet'!$D$13</f>
        <v>%</v>
      </c>
      <c r="S13" s="1707" t="str">
        <f>VLOOKUP(O13,CHOOSE({1,2},  'PIM Model'!F$10:F$30, 'PIM Model'!D$10:D$30),2,0)</f>
        <v>%</v>
      </c>
    </row>
    <row r="14" spans="1:22" x14ac:dyDescent="0.25">
      <c r="A14" s="537"/>
      <c r="B14" s="722">
        <v>1</v>
      </c>
      <c r="C14" s="723">
        <v>18</v>
      </c>
      <c r="D14" s="723"/>
      <c r="E14" s="723"/>
      <c r="F14" s="694"/>
      <c r="G14" s="1759">
        <f>VLOOKUP(O14,'PIM Model'!F$10:K$30,6,0)</f>
        <v>0</v>
      </c>
      <c r="H14" s="1760"/>
      <c r="I14" s="724" t="str">
        <f t="shared" si="0"/>
        <v>%</v>
      </c>
      <c r="J14" s="743" t="s">
        <v>648</v>
      </c>
      <c r="K14" s="729">
        <v>2.25</v>
      </c>
      <c r="L14" s="694" t="s">
        <v>648</v>
      </c>
      <c r="M14" s="729">
        <v>30</v>
      </c>
      <c r="N14" s="731" t="s">
        <v>479</v>
      </c>
      <c r="O14" s="1771" t="s">
        <v>100</v>
      </c>
      <c r="P14" s="739"/>
      <c r="Q14" s="1770"/>
      <c r="S14" s="1707" t="str">
        <f>VLOOKUP(O14,CHOOSE({1,2},  'PIM Model'!F$10:F$30, 'PIM Model'!D$10:D$30),2,0)</f>
        <v>%</v>
      </c>
    </row>
    <row r="15" spans="1:22" ht="26.25" x14ac:dyDescent="0.25">
      <c r="A15" s="537"/>
      <c r="B15" s="722">
        <v>1</v>
      </c>
      <c r="C15" s="723">
        <v>19</v>
      </c>
      <c r="D15" s="723"/>
      <c r="E15" s="723"/>
      <c r="F15" s="694"/>
      <c r="G15" s="1759">
        <f>VLOOKUP(O15,'PIM Model'!F$10:K$30,6,0)</f>
        <v>0</v>
      </c>
      <c r="H15" s="1760"/>
      <c r="I15" s="724" t="str">
        <f t="shared" si="0"/>
        <v>%</v>
      </c>
      <c r="J15" s="743" t="s">
        <v>648</v>
      </c>
      <c r="K15" s="729">
        <v>2.25</v>
      </c>
      <c r="L15" s="694" t="s">
        <v>648</v>
      </c>
      <c r="M15" s="729">
        <v>30</v>
      </c>
      <c r="N15" s="731" t="s">
        <v>479</v>
      </c>
      <c r="O15" s="1771" t="s">
        <v>104</v>
      </c>
      <c r="P15" s="739"/>
      <c r="S15" s="1707" t="str">
        <f>VLOOKUP(O15,CHOOSE({1,2},  'PIM Model'!F$10:F$30, 'PIM Model'!D$10:D$30),2,0)</f>
        <v>%</v>
      </c>
    </row>
    <row r="16" spans="1:22" ht="26.25" x14ac:dyDescent="0.25">
      <c r="A16" s="537"/>
      <c r="B16" s="722">
        <v>1</v>
      </c>
      <c r="C16" s="723">
        <v>20</v>
      </c>
      <c r="D16" s="723"/>
      <c r="E16" s="723"/>
      <c r="F16" s="694"/>
      <c r="G16" s="1759">
        <f>VLOOKUP(O16,'PIM Model'!F$10:K$30,6,0)</f>
        <v>0</v>
      </c>
      <c r="H16" s="1760"/>
      <c r="I16" s="724" t="str">
        <f t="shared" si="0"/>
        <v>%</v>
      </c>
      <c r="J16" s="743" t="s">
        <v>648</v>
      </c>
      <c r="K16" s="729">
        <v>2.25</v>
      </c>
      <c r="L16" s="694" t="s">
        <v>648</v>
      </c>
      <c r="M16" s="729">
        <v>30</v>
      </c>
      <c r="N16" s="731" t="s">
        <v>479</v>
      </c>
      <c r="O16" s="1771" t="s">
        <v>99</v>
      </c>
      <c r="P16" s="739"/>
      <c r="S16" s="1707" t="str">
        <f>VLOOKUP(O16,CHOOSE({1,2},  'PIM Model'!F$10:F$30, 'PIM Model'!D$10:D$30),2,0)</f>
        <v>%</v>
      </c>
    </row>
    <row r="17" spans="1:19" x14ac:dyDescent="0.25">
      <c r="A17" s="537"/>
      <c r="B17" s="722">
        <v>1</v>
      </c>
      <c r="C17" s="723">
        <v>21</v>
      </c>
      <c r="D17" s="723"/>
      <c r="E17" s="723"/>
      <c r="F17" s="694"/>
      <c r="G17" s="1759">
        <f>VLOOKUP(O17,'PIM Model'!F$10:K$30,6,0)</f>
        <v>0</v>
      </c>
      <c r="H17" s="1760"/>
      <c r="I17" s="724" t="str">
        <f t="shared" si="0"/>
        <v>%</v>
      </c>
      <c r="J17" s="743" t="s">
        <v>648</v>
      </c>
      <c r="K17" s="729">
        <v>2.25</v>
      </c>
      <c r="L17" s="694" t="s">
        <v>648</v>
      </c>
      <c r="M17" s="729">
        <v>30</v>
      </c>
      <c r="N17" s="731" t="s">
        <v>479</v>
      </c>
      <c r="O17" s="1771" t="s">
        <v>98</v>
      </c>
      <c r="P17" s="739"/>
      <c r="S17" s="1707" t="str">
        <f>VLOOKUP(O17,CHOOSE({1,2},  'PIM Model'!F$10:F$30, 'PIM Model'!D$10:D$30),2,0)</f>
        <v>%</v>
      </c>
    </row>
    <row r="18" spans="1:19" x14ac:dyDescent="0.25">
      <c r="A18" s="537"/>
      <c r="B18" s="722">
        <v>1</v>
      </c>
      <c r="C18" s="723">
        <v>22</v>
      </c>
      <c r="D18" s="723"/>
      <c r="E18" s="723"/>
      <c r="F18" s="694"/>
      <c r="G18" s="1759">
        <f>VLOOKUP(O18,'PIM Model'!F$10:K$30,6,0)</f>
        <v>0</v>
      </c>
      <c r="H18" s="1760"/>
      <c r="I18" s="724" t="str">
        <f t="shared" si="0"/>
        <v>%</v>
      </c>
      <c r="J18" s="743" t="s">
        <v>648</v>
      </c>
      <c r="K18" s="729">
        <v>2.25</v>
      </c>
      <c r="L18" s="694" t="s">
        <v>648</v>
      </c>
      <c r="M18" s="729">
        <v>30</v>
      </c>
      <c r="N18" s="731" t="s">
        <v>479</v>
      </c>
      <c r="O18" s="1771" t="s">
        <v>97</v>
      </c>
      <c r="P18" s="739"/>
      <c r="S18" s="1707" t="str">
        <f>VLOOKUP(O18,CHOOSE({1,2},  'PIM Model'!F$10:F$30, 'PIM Model'!D$10:D$30),2,0)</f>
        <v>%</v>
      </c>
    </row>
    <row r="19" spans="1:19" x14ac:dyDescent="0.25">
      <c r="A19" s="537"/>
      <c r="B19" s="722">
        <v>1</v>
      </c>
      <c r="C19" s="723">
        <v>23</v>
      </c>
      <c r="D19" s="723"/>
      <c r="E19" s="723"/>
      <c r="F19" s="694"/>
      <c r="G19" s="1759">
        <f>VLOOKUP(O19,'PIM Model'!F$10:K$30,6,0)</f>
        <v>0</v>
      </c>
      <c r="H19" s="1760"/>
      <c r="I19" s="724" t="str">
        <f t="shared" si="0"/>
        <v>%</v>
      </c>
      <c r="J19" s="743" t="s">
        <v>648</v>
      </c>
      <c r="K19" s="729">
        <v>2.25</v>
      </c>
      <c r="L19" s="694" t="s">
        <v>648</v>
      </c>
      <c r="M19" s="729">
        <v>30</v>
      </c>
      <c r="N19" s="731" t="s">
        <v>479</v>
      </c>
      <c r="O19" s="1771" t="s">
        <v>96</v>
      </c>
      <c r="P19" s="739"/>
      <c r="S19" s="1707" t="str">
        <f>VLOOKUP(O19,CHOOSE({1,2},  'PIM Model'!F$10:F$30, 'PIM Model'!D$10:D$30),2,0)</f>
        <v>%</v>
      </c>
    </row>
    <row r="20" spans="1:19" x14ac:dyDescent="0.25">
      <c r="A20" s="537"/>
      <c r="B20" s="722">
        <v>1</v>
      </c>
      <c r="C20" s="723">
        <v>24</v>
      </c>
      <c r="D20" s="723"/>
      <c r="E20" s="723"/>
      <c r="F20" s="694"/>
      <c r="G20" s="1759">
        <f>VLOOKUP(O20,'PIM Model'!F$10:K$30,6,0)</f>
        <v>0</v>
      </c>
      <c r="H20" s="1760"/>
      <c r="I20" s="724" t="str">
        <f t="shared" si="0"/>
        <v>%</v>
      </c>
      <c r="J20" s="743" t="s">
        <v>648</v>
      </c>
      <c r="K20" s="729">
        <v>2.25</v>
      </c>
      <c r="L20" s="694" t="s">
        <v>648</v>
      </c>
      <c r="M20" s="729">
        <v>30</v>
      </c>
      <c r="N20" s="731" t="s">
        <v>479</v>
      </c>
      <c r="O20" s="1771" t="s">
        <v>95</v>
      </c>
      <c r="P20" s="739"/>
      <c r="S20" s="1707" t="str">
        <f>VLOOKUP(O20,CHOOSE({1,2},  'PIM Model'!F$10:F$30, 'PIM Model'!D$10:D$30),2,0)</f>
        <v>%</v>
      </c>
    </row>
    <row r="21" spans="1:19" x14ac:dyDescent="0.25">
      <c r="A21" s="537"/>
      <c r="B21" s="722">
        <v>1</v>
      </c>
      <c r="C21" s="723">
        <v>25</v>
      </c>
      <c r="D21" s="723"/>
      <c r="E21" s="723"/>
      <c r="F21" s="694" t="s">
        <v>1283</v>
      </c>
      <c r="G21" s="1759">
        <f>VLOOKUP(O21,'PIM Model'!F$10:K$30,6,0)</f>
        <v>0</v>
      </c>
      <c r="H21" s="1831"/>
      <c r="I21" s="724" t="str">
        <f>IF(S21="$/LB","#",IF(S21="$/CB","$","%"))</f>
        <v>%</v>
      </c>
      <c r="J21" s="743" t="s">
        <v>648</v>
      </c>
      <c r="K21" s="729">
        <v>2.25</v>
      </c>
      <c r="L21" s="694" t="s">
        <v>648</v>
      </c>
      <c r="M21" s="729">
        <v>30</v>
      </c>
      <c r="N21" s="731" t="s">
        <v>479</v>
      </c>
      <c r="O21" s="1771" t="s">
        <v>94</v>
      </c>
      <c r="P21" s="739"/>
      <c r="S21" s="1707" t="str">
        <f>VLOOKUP(O21,CHOOSE({1,2},  'PIM Model'!F$10:F$30, 'PIM Model'!D$10:D$30),2,0)</f>
        <v>%</v>
      </c>
    </row>
    <row r="22" spans="1:19" x14ac:dyDescent="0.25">
      <c r="A22" s="537"/>
      <c r="B22" s="722">
        <v>1</v>
      </c>
      <c r="C22" s="723">
        <v>26</v>
      </c>
      <c r="D22" s="723"/>
      <c r="E22" s="723"/>
      <c r="F22" s="694"/>
      <c r="G22" s="1759">
        <f>VLOOKUP(O22,'PIM Model'!F$10:K$30,6,0)</f>
        <v>0</v>
      </c>
      <c r="H22" s="1760"/>
      <c r="I22" s="724" t="str">
        <f t="shared" si="0"/>
        <v>%</v>
      </c>
      <c r="J22" s="743" t="s">
        <v>648</v>
      </c>
      <c r="K22" s="729">
        <v>2.25</v>
      </c>
      <c r="L22" s="694" t="s">
        <v>648</v>
      </c>
      <c r="M22" s="729">
        <v>30</v>
      </c>
      <c r="N22" s="731" t="s">
        <v>479</v>
      </c>
      <c r="O22" s="1771" t="s">
        <v>93</v>
      </c>
      <c r="P22" s="739"/>
      <c r="S22" s="1707" t="str">
        <f>VLOOKUP(O22,CHOOSE({1,2},  'PIM Model'!F$10:F$30, 'PIM Model'!D$10:D$30),2,0)</f>
        <v>%</v>
      </c>
    </row>
    <row r="23" spans="1:19" x14ac:dyDescent="0.25">
      <c r="A23" s="537"/>
      <c r="B23" s="722">
        <v>1</v>
      </c>
      <c r="C23" s="723">
        <v>29</v>
      </c>
      <c r="D23" s="723"/>
      <c r="E23" s="723"/>
      <c r="F23" s="694"/>
      <c r="G23" s="1759">
        <f>VLOOKUP(O23,'PIM Model'!F$10:K$30,6,0)</f>
        <v>0</v>
      </c>
      <c r="H23" s="1760"/>
      <c r="I23" s="724" t="str">
        <f t="shared" si="0"/>
        <v>%</v>
      </c>
      <c r="J23" s="743" t="s">
        <v>648</v>
      </c>
      <c r="K23" s="729">
        <v>2.25</v>
      </c>
      <c r="L23" s="694" t="s">
        <v>648</v>
      </c>
      <c r="M23" s="729">
        <v>30</v>
      </c>
      <c r="N23" s="731" t="s">
        <v>479</v>
      </c>
      <c r="O23" s="1771" t="s">
        <v>92</v>
      </c>
      <c r="P23" s="739"/>
      <c r="S23" s="1707" t="str">
        <f>VLOOKUP(O23,CHOOSE({1,2},  'PIM Model'!F$10:F$30, 'PIM Model'!D$10:D$30),2,0)</f>
        <v>%</v>
      </c>
    </row>
    <row r="24" spans="1:19" x14ac:dyDescent="0.25">
      <c r="A24" s="537"/>
      <c r="B24" s="722">
        <v>1</v>
      </c>
      <c r="C24" s="723">
        <v>30</v>
      </c>
      <c r="D24" s="723"/>
      <c r="E24" s="723"/>
      <c r="F24" s="694"/>
      <c r="G24" s="1759">
        <f>VLOOKUP(O24,'PIM Model'!F$10:K$30,6,0)</f>
        <v>0</v>
      </c>
      <c r="H24" s="1760"/>
      <c r="I24" s="724" t="str">
        <f t="shared" si="0"/>
        <v>%</v>
      </c>
      <c r="J24" s="743" t="s">
        <v>648</v>
      </c>
      <c r="K24" s="729">
        <v>2.25</v>
      </c>
      <c r="L24" s="694" t="s">
        <v>648</v>
      </c>
      <c r="M24" s="729">
        <v>30</v>
      </c>
      <c r="N24" s="731" t="s">
        <v>479</v>
      </c>
      <c r="O24" s="1771" t="s">
        <v>91</v>
      </c>
      <c r="P24" s="739"/>
      <c r="S24" s="1707" t="str">
        <f>VLOOKUP(O24,CHOOSE({1,2},  'PIM Model'!F$10:F$30, 'PIM Model'!D$10:D$30),2,0)</f>
        <v>%</v>
      </c>
    </row>
    <row r="25" spans="1:19" x14ac:dyDescent="0.25">
      <c r="A25" s="537"/>
      <c r="B25" s="722">
        <v>1</v>
      </c>
      <c r="C25" s="723">
        <v>31</v>
      </c>
      <c r="D25" s="723"/>
      <c r="E25" s="723"/>
      <c r="F25" s="694"/>
      <c r="G25" s="1759">
        <f>VLOOKUP(O25,'PIM Model'!F$10:K$30,6,0)</f>
        <v>0</v>
      </c>
      <c r="H25" s="1760"/>
      <c r="I25" s="724" t="str">
        <f t="shared" si="0"/>
        <v>%</v>
      </c>
      <c r="J25" s="743" t="s">
        <v>648</v>
      </c>
      <c r="K25" s="729">
        <v>2.25</v>
      </c>
      <c r="L25" s="694" t="s">
        <v>648</v>
      </c>
      <c r="M25" s="729">
        <v>30</v>
      </c>
      <c r="N25" s="731" t="s">
        <v>479</v>
      </c>
      <c r="O25" s="1771" t="s">
        <v>90</v>
      </c>
      <c r="P25" s="739"/>
      <c r="S25" s="1707" t="str">
        <f>VLOOKUP(O25,CHOOSE({1,2},  'PIM Model'!F$10:F$30, 'PIM Model'!D$10:D$30),2,0)</f>
        <v>%</v>
      </c>
    </row>
    <row r="26" spans="1:19" x14ac:dyDescent="0.25">
      <c r="A26" s="537"/>
      <c r="B26" s="722">
        <v>1</v>
      </c>
      <c r="C26" s="723">
        <v>32</v>
      </c>
      <c r="D26" s="723"/>
      <c r="E26" s="723"/>
      <c r="F26" s="694"/>
      <c r="G26" s="1759">
        <f>VLOOKUP(O26,'PIM Model'!F$10:K$30,6,0)</f>
        <v>0</v>
      </c>
      <c r="H26" s="1760"/>
      <c r="I26" s="724" t="str">
        <f t="shared" si="0"/>
        <v>%</v>
      </c>
      <c r="J26" s="743" t="s">
        <v>648</v>
      </c>
      <c r="K26" s="729">
        <v>2.25</v>
      </c>
      <c r="L26" s="694" t="s">
        <v>648</v>
      </c>
      <c r="M26" s="729">
        <v>30</v>
      </c>
      <c r="N26" s="731" t="s">
        <v>479</v>
      </c>
      <c r="O26" s="1771" t="s">
        <v>89</v>
      </c>
      <c r="P26" s="739"/>
      <c r="S26" s="1707" t="str">
        <f>VLOOKUP(O26,CHOOSE({1,2},  'PIM Model'!F$10:F$30, 'PIM Model'!D$10:D$30),2,0)</f>
        <v>%</v>
      </c>
    </row>
    <row r="27" spans="1:19" x14ac:dyDescent="0.25">
      <c r="A27" s="537"/>
      <c r="B27" s="722">
        <v>1</v>
      </c>
      <c r="C27" s="723">
        <v>33</v>
      </c>
      <c r="D27" s="723"/>
      <c r="E27" s="723"/>
      <c r="F27" s="694"/>
      <c r="G27" s="1759">
        <f>VLOOKUP(O27,'PIM Model'!F$10:K$30,6,0)</f>
        <v>0</v>
      </c>
      <c r="H27" s="1760"/>
      <c r="I27" s="724" t="str">
        <f t="shared" si="0"/>
        <v>%</v>
      </c>
      <c r="J27" s="743" t="s">
        <v>648</v>
      </c>
      <c r="K27" s="729">
        <v>2.25</v>
      </c>
      <c r="L27" s="694" t="s">
        <v>648</v>
      </c>
      <c r="M27" s="729">
        <v>30</v>
      </c>
      <c r="N27" s="731" t="s">
        <v>479</v>
      </c>
      <c r="O27" s="1771" t="s">
        <v>88</v>
      </c>
      <c r="P27" s="739"/>
      <c r="S27" s="1707" t="str">
        <f>VLOOKUP(O27,CHOOSE({1,2},  'PIM Model'!F$10:F$30, 'PIM Model'!D$10:D$30),2,0)</f>
        <v>%</v>
      </c>
    </row>
    <row r="28" spans="1:19" x14ac:dyDescent="0.25">
      <c r="A28" s="537"/>
      <c r="B28" s="722">
        <v>1</v>
      </c>
      <c r="C28" s="723">
        <v>34</v>
      </c>
      <c r="D28" s="723"/>
      <c r="E28" s="723"/>
      <c r="F28" s="694"/>
      <c r="G28" s="1759">
        <f>VLOOKUP(O28,'PIM Model'!F$10:K$30,6,0)</f>
        <v>0</v>
      </c>
      <c r="H28" s="1760"/>
      <c r="I28" s="724" t="str">
        <f t="shared" si="0"/>
        <v>%</v>
      </c>
      <c r="J28" s="743" t="s">
        <v>648</v>
      </c>
      <c r="K28" s="729">
        <v>2.25</v>
      </c>
      <c r="L28" s="694" t="s">
        <v>648</v>
      </c>
      <c r="M28" s="729">
        <v>30</v>
      </c>
      <c r="N28" s="731" t="s">
        <v>479</v>
      </c>
      <c r="O28" s="1771" t="s">
        <v>87</v>
      </c>
      <c r="P28" s="739"/>
      <c r="S28" s="1707" t="str">
        <f>VLOOKUP(O28,CHOOSE({1,2},  'PIM Model'!F$10:F$30, 'PIM Model'!D$10:D$30),2,0)</f>
        <v>%</v>
      </c>
    </row>
    <row r="29" spans="1:19" x14ac:dyDescent="0.25">
      <c r="A29" s="537"/>
      <c r="B29" s="722">
        <v>1</v>
      </c>
      <c r="C29" s="723">
        <v>35</v>
      </c>
      <c r="D29" s="723"/>
      <c r="E29" s="723"/>
      <c r="F29" s="694"/>
      <c r="G29" s="1759">
        <f>VLOOKUP(O29,'PIM Model'!F$10:K$30,6,0)</f>
        <v>0</v>
      </c>
      <c r="H29" s="1760"/>
      <c r="I29" s="724" t="str">
        <f t="shared" si="0"/>
        <v>%</v>
      </c>
      <c r="J29" s="743" t="s">
        <v>648</v>
      </c>
      <c r="K29" s="729">
        <v>2.25</v>
      </c>
      <c r="L29" s="694" t="s">
        <v>648</v>
      </c>
      <c r="M29" s="729">
        <v>30</v>
      </c>
      <c r="N29" s="731" t="s">
        <v>479</v>
      </c>
      <c r="O29" s="1771" t="s">
        <v>86</v>
      </c>
      <c r="P29" s="739"/>
      <c r="S29" s="1707" t="str">
        <f>VLOOKUP(O29,CHOOSE({1,2},  'PIM Model'!F$10:F$30, 'PIM Model'!D$10:D$30),2,0)</f>
        <v>%</v>
      </c>
    </row>
    <row r="30" spans="1:19" ht="15.75" thickBot="1" x14ac:dyDescent="0.3">
      <c r="A30" s="537"/>
      <c r="B30" s="688">
        <v>1</v>
      </c>
      <c r="C30" s="727">
        <v>37</v>
      </c>
      <c r="D30" s="727"/>
      <c r="E30" s="727"/>
      <c r="F30" s="680"/>
      <c r="G30" s="1761">
        <f>VLOOKUP(O30,'PIM Model'!F$10:K$30,6,0)</f>
        <v>0</v>
      </c>
      <c r="H30" s="1762"/>
      <c r="I30" s="691" t="str">
        <f t="shared" si="0"/>
        <v>%</v>
      </c>
      <c r="J30" s="744" t="s">
        <v>648</v>
      </c>
      <c r="K30" s="730">
        <v>2.25</v>
      </c>
      <c r="L30" s="680" t="s">
        <v>648</v>
      </c>
      <c r="M30" s="730">
        <v>30</v>
      </c>
      <c r="N30" s="732" t="s">
        <v>479</v>
      </c>
      <c r="O30" s="1772" t="s">
        <v>105</v>
      </c>
      <c r="P30" s="739"/>
      <c r="S30" s="1707" t="str">
        <f>VLOOKUP(O30,CHOOSE({1,2},  'PIM Model'!F$10:F$30, 'PIM Model'!D$10:D$30),2,0)</f>
        <v>%</v>
      </c>
    </row>
    <row r="31" spans="1:19" ht="15.75" hidden="1" thickBot="1" x14ac:dyDescent="0.3">
      <c r="A31" s="537"/>
      <c r="B31" s="739"/>
      <c r="C31" s="739"/>
      <c r="D31" s="739"/>
      <c r="E31" s="739"/>
      <c r="F31" s="739"/>
      <c r="G31" s="1758"/>
      <c r="H31" s="739"/>
      <c r="I31" s="739"/>
      <c r="J31" s="739"/>
      <c r="K31" s="739"/>
      <c r="L31" s="739"/>
      <c r="M31" s="739"/>
      <c r="N31" s="739"/>
      <c r="O31" s="739"/>
      <c r="P31" s="739"/>
    </row>
    <row r="32" spans="1:19" ht="15.75" hidden="1" thickBot="1" x14ac:dyDescent="0.3">
      <c r="A32" s="537"/>
      <c r="B32" s="2042" t="s">
        <v>1284</v>
      </c>
      <c r="C32" s="2045"/>
      <c r="D32" s="2045"/>
      <c r="E32" s="2045"/>
      <c r="F32" s="2045"/>
      <c r="G32" s="2045"/>
      <c r="H32" s="2045"/>
      <c r="I32" s="2045"/>
      <c r="J32" s="2045"/>
      <c r="K32" s="2045"/>
      <c r="L32" s="2045"/>
      <c r="M32" s="2045"/>
      <c r="N32" s="2045"/>
      <c r="O32" s="2045"/>
      <c r="P32" s="2046"/>
    </row>
    <row r="33" spans="1:19" ht="15.75" hidden="1" thickBot="1" x14ac:dyDescent="0.3">
      <c r="A33" s="537"/>
      <c r="B33" s="739"/>
      <c r="C33" s="739"/>
      <c r="D33" s="739"/>
      <c r="E33" s="739"/>
      <c r="F33" s="739"/>
      <c r="G33" s="175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14" t="s">
        <v>1276</v>
      </c>
      <c r="H34" s="1815" t="s">
        <v>1277</v>
      </c>
      <c r="I34" s="1816" t="s">
        <v>1239</v>
      </c>
      <c r="J34" s="1811" t="s">
        <v>1278</v>
      </c>
      <c r="K34" s="718" t="s">
        <v>1279</v>
      </c>
      <c r="L34" s="718" t="s">
        <v>1280</v>
      </c>
      <c r="M34" s="718" t="s">
        <v>1281</v>
      </c>
      <c r="N34" s="718" t="s">
        <v>1221</v>
      </c>
      <c r="O34" s="1238" t="s">
        <v>1282</v>
      </c>
      <c r="P34" s="1239" t="s">
        <v>1910</v>
      </c>
      <c r="Q34" s="1736"/>
    </row>
    <row r="35" spans="1:19" hidden="1" x14ac:dyDescent="0.25">
      <c r="A35" s="537"/>
      <c r="B35" s="725">
        <v>1</v>
      </c>
      <c r="C35" s="723">
        <v>15</v>
      </c>
      <c r="D35" s="724"/>
      <c r="E35" s="724"/>
      <c r="F35" s="694"/>
      <c r="G35" s="1812">
        <f>VLOOKUP(O35,'PIM Model'!F$10:K$30,6,0)</f>
        <v>0</v>
      </c>
      <c r="H35" s="1813"/>
      <c r="I35" s="1441" t="str">
        <f t="shared" ref="I35:I64" si="1">IF(S35="$/LB","#",IF(S35="$/CS","$","%"))</f>
        <v>%</v>
      </c>
      <c r="J35" s="694" t="s">
        <v>648</v>
      </c>
      <c r="K35" s="729">
        <v>2.25</v>
      </c>
      <c r="L35" s="694" t="s">
        <v>648</v>
      </c>
      <c r="M35" s="729">
        <v>30</v>
      </c>
      <c r="N35" s="729" t="s">
        <v>479</v>
      </c>
      <c r="O35" s="1773" t="s">
        <v>103</v>
      </c>
      <c r="P35" s="1786">
        <v>2</v>
      </c>
      <c r="S35" t="str">
        <f>VLOOKUP(O35,CHOOSE({1,2},  'PIM Model'!F$10:F$30, 'PIM Model'!D$10:D$30),2,0)</f>
        <v>%</v>
      </c>
    </row>
    <row r="36" spans="1:19" hidden="1" x14ac:dyDescent="0.25">
      <c r="A36" s="537"/>
      <c r="B36" s="725">
        <v>1</v>
      </c>
      <c r="C36" s="723">
        <v>15</v>
      </c>
      <c r="D36" s="1764">
        <v>131</v>
      </c>
      <c r="E36" s="1764"/>
      <c r="F36" s="694"/>
      <c r="G36" s="1763">
        <f>VLOOKUP(O36,'PIM Model'!F$10:K$30,6,0)</f>
        <v>0</v>
      </c>
      <c r="H36" s="694"/>
      <c r="I36" s="724" t="str">
        <f t="shared" si="1"/>
        <v>%</v>
      </c>
      <c r="J36" s="694" t="s">
        <v>648</v>
      </c>
      <c r="K36" s="729">
        <v>2.25</v>
      </c>
      <c r="L36" s="694" t="s">
        <v>648</v>
      </c>
      <c r="M36" s="729">
        <v>30</v>
      </c>
      <c r="N36" s="729" t="s">
        <v>479</v>
      </c>
      <c r="O36" s="1774" t="s">
        <v>1289</v>
      </c>
      <c r="P36" s="1786">
        <v>3</v>
      </c>
      <c r="S36" s="1707" t="str">
        <f>VLOOKUP(O36,CHOOSE({1,2},  'PIM Model'!F$10:F$30, 'PIM Model'!D$10:D$30),2,0)</f>
        <v>%</v>
      </c>
    </row>
    <row r="37" spans="1:19" hidden="1" x14ac:dyDescent="0.25">
      <c r="A37" s="537"/>
      <c r="B37" s="725">
        <v>1</v>
      </c>
      <c r="C37" s="723">
        <v>15</v>
      </c>
      <c r="D37" s="1764">
        <v>254</v>
      </c>
      <c r="E37" s="1764"/>
      <c r="F37" s="694"/>
      <c r="G37" s="1763">
        <f>VLOOKUP(O37,'PIM Model'!F$10:K$30,6,0)</f>
        <v>0</v>
      </c>
      <c r="H37" s="694"/>
      <c r="I37" s="724" t="str">
        <f t="shared" si="1"/>
        <v>%</v>
      </c>
      <c r="J37" s="694" t="s">
        <v>648</v>
      </c>
      <c r="K37" s="729">
        <v>2.25</v>
      </c>
      <c r="L37" s="694" t="s">
        <v>648</v>
      </c>
      <c r="M37" s="729">
        <v>30</v>
      </c>
      <c r="N37" s="729" t="s">
        <v>479</v>
      </c>
      <c r="O37" s="1774" t="s">
        <v>1289</v>
      </c>
      <c r="P37" s="1240"/>
      <c r="S37" s="1707" t="str">
        <f>VLOOKUP(O37,CHOOSE({1,2},  'PIM Model'!F$10:F$30, 'PIM Model'!D$10:D$30),2,0)</f>
        <v>%</v>
      </c>
    </row>
    <row r="38" spans="1:19" hidden="1" x14ac:dyDescent="0.25">
      <c r="A38" s="537"/>
      <c r="B38" s="725">
        <v>1</v>
      </c>
      <c r="C38" s="723">
        <v>15</v>
      </c>
      <c r="D38" s="1764">
        <v>373</v>
      </c>
      <c r="E38" s="1764"/>
      <c r="F38" s="694"/>
      <c r="G38" s="1763">
        <f>VLOOKUP(O38,'PIM Model'!F$10:K$30,6,0)</f>
        <v>0</v>
      </c>
      <c r="H38" s="694"/>
      <c r="I38" s="724" t="str">
        <f t="shared" si="1"/>
        <v>%</v>
      </c>
      <c r="J38" s="694" t="s">
        <v>648</v>
      </c>
      <c r="K38" s="729">
        <v>2.25</v>
      </c>
      <c r="L38" s="694" t="s">
        <v>648</v>
      </c>
      <c r="M38" s="729">
        <v>30</v>
      </c>
      <c r="N38" s="729" t="s">
        <v>479</v>
      </c>
      <c r="O38" s="1774" t="s">
        <v>1289</v>
      </c>
      <c r="P38" s="1240"/>
      <c r="S38" s="1707" t="str">
        <f>VLOOKUP(O38,CHOOSE({1,2},  'PIM Model'!F$10:F$30, 'PIM Model'!D$10:D$30),2,0)</f>
        <v>%</v>
      </c>
    </row>
    <row r="39" spans="1:19" hidden="1" x14ac:dyDescent="0.25">
      <c r="A39" s="537"/>
      <c r="B39" s="725">
        <v>1</v>
      </c>
      <c r="C39" s="723">
        <v>15</v>
      </c>
      <c r="D39" s="1764">
        <v>132</v>
      </c>
      <c r="E39" s="1764"/>
      <c r="F39" s="694"/>
      <c r="G39" s="1763">
        <f>VLOOKUP(O39,'PIM Model'!F$10:K$30,6,0)</f>
        <v>0</v>
      </c>
      <c r="H39" s="694"/>
      <c r="I39" s="724" t="str">
        <f t="shared" si="1"/>
        <v>%</v>
      </c>
      <c r="J39" s="694" t="s">
        <v>648</v>
      </c>
      <c r="K39" s="729">
        <v>2.25</v>
      </c>
      <c r="L39" s="694" t="s">
        <v>648</v>
      </c>
      <c r="M39" s="729">
        <v>30</v>
      </c>
      <c r="N39" s="729" t="s">
        <v>479</v>
      </c>
      <c r="O39" s="1774" t="s">
        <v>1289</v>
      </c>
      <c r="P39" s="1240"/>
      <c r="S39" s="1707" t="str">
        <f>VLOOKUP(O39,CHOOSE({1,2},  'PIM Model'!F$10:F$30, 'PIM Model'!D$10:D$30),2,0)</f>
        <v>%</v>
      </c>
    </row>
    <row r="40" spans="1:19" hidden="1" x14ac:dyDescent="0.25">
      <c r="A40" s="537"/>
      <c r="B40" s="725">
        <v>1</v>
      </c>
      <c r="C40" s="723">
        <v>15</v>
      </c>
      <c r="D40" s="1764">
        <v>368</v>
      </c>
      <c r="E40" s="1764"/>
      <c r="F40" s="694"/>
      <c r="G40" s="1763">
        <f>VLOOKUP(O40,'PIM Model'!F$10:K$30,6,0)</f>
        <v>0</v>
      </c>
      <c r="H40" s="694"/>
      <c r="I40" s="724" t="str">
        <f t="shared" si="1"/>
        <v>%</v>
      </c>
      <c r="J40" s="694" t="s">
        <v>648</v>
      </c>
      <c r="K40" s="729">
        <v>2.25</v>
      </c>
      <c r="L40" s="694" t="s">
        <v>648</v>
      </c>
      <c r="M40" s="729">
        <v>30</v>
      </c>
      <c r="N40" s="729" t="s">
        <v>479</v>
      </c>
      <c r="O40" s="1774" t="s">
        <v>1289</v>
      </c>
      <c r="P40" s="1240"/>
      <c r="S40" s="1707" t="str">
        <f>VLOOKUP(O40,CHOOSE({1,2},  'PIM Model'!F$10:F$30, 'PIM Model'!D$10:D$30),2,0)</f>
        <v>%</v>
      </c>
    </row>
    <row r="41" spans="1:19" hidden="1" x14ac:dyDescent="0.25">
      <c r="A41" s="537"/>
      <c r="B41" s="725">
        <v>1</v>
      </c>
      <c r="C41" s="723">
        <v>15</v>
      </c>
      <c r="D41" s="1764">
        <v>369</v>
      </c>
      <c r="E41" s="1764"/>
      <c r="F41" s="694"/>
      <c r="G41" s="1763">
        <f>VLOOKUP(O41,'PIM Model'!F$10:K$30,6,0)</f>
        <v>0</v>
      </c>
      <c r="H41" s="694"/>
      <c r="I41" s="724" t="str">
        <f t="shared" si="1"/>
        <v>%</v>
      </c>
      <c r="J41" s="694" t="s">
        <v>648</v>
      </c>
      <c r="K41" s="729">
        <v>2.25</v>
      </c>
      <c r="L41" s="694" t="s">
        <v>648</v>
      </c>
      <c r="M41" s="729">
        <v>30</v>
      </c>
      <c r="N41" s="729" t="s">
        <v>479</v>
      </c>
      <c r="O41" s="1774" t="s">
        <v>1289</v>
      </c>
      <c r="P41" s="1240"/>
      <c r="S41" s="1707" t="str">
        <f>VLOOKUP(O41,CHOOSE({1,2},  'PIM Model'!F$10:F$30, 'PIM Model'!D$10:D$30),2,0)</f>
        <v>%</v>
      </c>
    </row>
    <row r="42" spans="1:19" hidden="1" x14ac:dyDescent="0.25">
      <c r="A42" s="537"/>
      <c r="B42" s="725">
        <v>1</v>
      </c>
      <c r="C42" s="723">
        <v>15</v>
      </c>
      <c r="D42" s="1764">
        <v>384</v>
      </c>
      <c r="E42" s="1764"/>
      <c r="F42" s="694"/>
      <c r="G42" s="1763">
        <f>VLOOKUP(O42,'PIM Model'!F$10:K$30,6,0)</f>
        <v>0</v>
      </c>
      <c r="H42" s="694"/>
      <c r="I42" s="724" t="str">
        <f t="shared" si="1"/>
        <v>%</v>
      </c>
      <c r="J42" s="694" t="s">
        <v>648</v>
      </c>
      <c r="K42" s="729">
        <v>2.25</v>
      </c>
      <c r="L42" s="694" t="s">
        <v>648</v>
      </c>
      <c r="M42" s="729">
        <v>30</v>
      </c>
      <c r="N42" s="729" t="s">
        <v>479</v>
      </c>
      <c r="O42" s="1774" t="s">
        <v>1289</v>
      </c>
      <c r="P42" s="1240"/>
      <c r="S42" s="1707" t="str">
        <f>VLOOKUP(O42,CHOOSE({1,2},  'PIM Model'!F$10:F$30, 'PIM Model'!D$10:D$30),2,0)</f>
        <v>%</v>
      </c>
    </row>
    <row r="43" spans="1:19" hidden="1" x14ac:dyDescent="0.25">
      <c r="A43" s="537"/>
      <c r="B43" s="725">
        <v>1</v>
      </c>
      <c r="C43" s="723">
        <v>15</v>
      </c>
      <c r="D43" s="1764">
        <v>381</v>
      </c>
      <c r="E43" s="1764"/>
      <c r="F43" s="694"/>
      <c r="G43" s="1763">
        <f>VLOOKUP(O43,'PIM Model'!F$10:K$30,6,0)</f>
        <v>0</v>
      </c>
      <c r="H43" s="694"/>
      <c r="I43" s="724" t="str">
        <f t="shared" si="1"/>
        <v>%</v>
      </c>
      <c r="J43" s="694" t="s">
        <v>648</v>
      </c>
      <c r="K43" s="729">
        <v>2.25</v>
      </c>
      <c r="L43" s="694" t="s">
        <v>648</v>
      </c>
      <c r="M43" s="729">
        <v>30</v>
      </c>
      <c r="N43" s="729" t="s">
        <v>479</v>
      </c>
      <c r="O43" s="1774" t="s">
        <v>1289</v>
      </c>
      <c r="P43" s="1240"/>
      <c r="S43" s="1707" t="str">
        <f>VLOOKUP(O43,CHOOSE({1,2},  'PIM Model'!F$10:F$30, 'PIM Model'!D$10:D$30),2,0)</f>
        <v>%</v>
      </c>
    </row>
    <row r="44" spans="1:19" hidden="1" x14ac:dyDescent="0.25">
      <c r="A44" s="537"/>
      <c r="B44" s="725">
        <v>1</v>
      </c>
      <c r="C44" s="723">
        <v>15</v>
      </c>
      <c r="D44" s="1764">
        <v>377</v>
      </c>
      <c r="E44" s="1764"/>
      <c r="F44" s="694"/>
      <c r="G44" s="1763">
        <f>VLOOKUP(O44,'PIM Model'!F$10:K$30,6,0)</f>
        <v>0</v>
      </c>
      <c r="H44" s="694"/>
      <c r="I44" s="724" t="str">
        <f t="shared" si="1"/>
        <v>%</v>
      </c>
      <c r="J44" s="694" t="s">
        <v>648</v>
      </c>
      <c r="K44" s="729">
        <v>2.25</v>
      </c>
      <c r="L44" s="694" t="s">
        <v>648</v>
      </c>
      <c r="M44" s="729">
        <v>30</v>
      </c>
      <c r="N44" s="729" t="s">
        <v>479</v>
      </c>
      <c r="O44" s="1774" t="s">
        <v>1289</v>
      </c>
      <c r="P44" s="1240"/>
      <c r="S44" s="1707" t="str">
        <f>VLOOKUP(O44,CHOOSE({1,2},  'PIM Model'!F$10:F$30, 'PIM Model'!D$10:D$30),2,0)</f>
        <v>%</v>
      </c>
    </row>
    <row r="45" spans="1:19" hidden="1" x14ac:dyDescent="0.25">
      <c r="A45" s="537"/>
      <c r="B45" s="725">
        <v>1</v>
      </c>
      <c r="C45" s="723">
        <v>15</v>
      </c>
      <c r="D45" s="1764">
        <v>388</v>
      </c>
      <c r="E45" s="1764"/>
      <c r="F45" s="694"/>
      <c r="G45" s="1763">
        <f>VLOOKUP(O45,'PIM Model'!F$10:K$30,6,0)</f>
        <v>0</v>
      </c>
      <c r="H45" s="694"/>
      <c r="I45" s="724" t="str">
        <f t="shared" si="1"/>
        <v>%</v>
      </c>
      <c r="J45" s="694" t="s">
        <v>648</v>
      </c>
      <c r="K45" s="729">
        <v>2.25</v>
      </c>
      <c r="L45" s="694" t="s">
        <v>648</v>
      </c>
      <c r="M45" s="729">
        <v>30</v>
      </c>
      <c r="N45" s="729" t="s">
        <v>479</v>
      </c>
      <c r="O45" s="1774" t="s">
        <v>1289</v>
      </c>
      <c r="P45" s="1240"/>
      <c r="S45" s="1707" t="str">
        <f>VLOOKUP(O45,CHOOSE({1,2},  'PIM Model'!F$10:F$30, 'PIM Model'!D$10:D$30),2,0)</f>
        <v>%</v>
      </c>
    </row>
    <row r="46" spans="1:19" hidden="1" x14ac:dyDescent="0.25">
      <c r="A46" s="537"/>
      <c r="B46" s="725">
        <v>1</v>
      </c>
      <c r="C46" s="723">
        <v>16</v>
      </c>
      <c r="D46" s="726"/>
      <c r="E46" s="726"/>
      <c r="F46" s="694"/>
      <c r="G46" s="1763">
        <f>VLOOKUP(O46,'PIM Model'!F$10:K$30,6,0)</f>
        <v>0</v>
      </c>
      <c r="H46" s="694"/>
      <c r="I46" s="724" t="str">
        <f t="shared" si="1"/>
        <v>%</v>
      </c>
      <c r="J46" s="694" t="s">
        <v>648</v>
      </c>
      <c r="K46" s="729">
        <v>2.25</v>
      </c>
      <c r="L46" s="694" t="s">
        <v>648</v>
      </c>
      <c r="M46" s="729">
        <v>30</v>
      </c>
      <c r="N46" s="729" t="s">
        <v>479</v>
      </c>
      <c r="O46" s="1775" t="s">
        <v>102</v>
      </c>
      <c r="P46" s="1786">
        <v>4</v>
      </c>
      <c r="S46" s="1707" t="str">
        <f>VLOOKUP(O46,CHOOSE({1,2},  'PIM Model'!F$10:F$30, 'PIM Model'!D$10:D$30),2,0)</f>
        <v>%</v>
      </c>
    </row>
    <row r="47" spans="1:19" ht="26.25" hidden="1" x14ac:dyDescent="0.25">
      <c r="A47" s="537"/>
      <c r="B47" s="722">
        <v>1</v>
      </c>
      <c r="C47" s="723">
        <v>17</v>
      </c>
      <c r="D47" s="724"/>
      <c r="E47" s="724"/>
      <c r="F47" s="694"/>
      <c r="G47" s="1763">
        <f>VLOOKUP(O47,'PIM Model'!F$10:K$30,6,0)</f>
        <v>0</v>
      </c>
      <c r="H47" s="694"/>
      <c r="I47" s="724" t="str">
        <f t="shared" si="1"/>
        <v>%</v>
      </c>
      <c r="J47" s="694" t="s">
        <v>648</v>
      </c>
      <c r="K47" s="729">
        <v>2.25</v>
      </c>
      <c r="L47" s="694" t="s">
        <v>648</v>
      </c>
      <c r="M47" s="729">
        <v>30</v>
      </c>
      <c r="N47" s="729" t="s">
        <v>479</v>
      </c>
      <c r="O47" s="1775" t="s">
        <v>101</v>
      </c>
      <c r="P47" s="1786">
        <v>10</v>
      </c>
      <c r="S47" s="1707" t="str">
        <f>VLOOKUP(O47,CHOOSE({1,2},  'PIM Model'!F$10:F$30, 'PIM Model'!D$10:D$30),2,0)</f>
        <v>%</v>
      </c>
    </row>
    <row r="48" spans="1:19" hidden="1" x14ac:dyDescent="0.25">
      <c r="A48" s="537"/>
      <c r="B48" s="722">
        <v>1</v>
      </c>
      <c r="C48" s="723">
        <v>18</v>
      </c>
      <c r="D48" s="723"/>
      <c r="E48" s="723"/>
      <c r="F48" s="694"/>
      <c r="G48" s="1763">
        <f>VLOOKUP(O48,'PIM Model'!F$10:K$30,6,0)</f>
        <v>0</v>
      </c>
      <c r="H48" s="1760"/>
      <c r="I48" s="724" t="str">
        <f t="shared" si="1"/>
        <v>%</v>
      </c>
      <c r="J48" s="694" t="s">
        <v>648</v>
      </c>
      <c r="K48" s="729">
        <v>2.25</v>
      </c>
      <c r="L48" s="694" t="s">
        <v>648</v>
      </c>
      <c r="M48" s="729">
        <v>30</v>
      </c>
      <c r="N48" s="729" t="s">
        <v>479</v>
      </c>
      <c r="O48" s="1775" t="s">
        <v>100</v>
      </c>
      <c r="P48" s="1786">
        <v>5</v>
      </c>
      <c r="S48" s="1707" t="str">
        <f>VLOOKUP(O48,CHOOSE({1,2},  'PIM Model'!F$10:F$30, 'PIM Model'!D$10:D$30),2,0)</f>
        <v>%</v>
      </c>
    </row>
    <row r="49" spans="1:19" ht="26.25" hidden="1" x14ac:dyDescent="0.25">
      <c r="A49" s="537"/>
      <c r="B49" s="722">
        <v>1</v>
      </c>
      <c r="C49" s="723">
        <v>19</v>
      </c>
      <c r="D49" s="723"/>
      <c r="E49" s="723"/>
      <c r="F49" s="694"/>
      <c r="G49" s="1763">
        <f>VLOOKUP(O49,'PIM Model'!F$10:K$30,6,0)</f>
        <v>0</v>
      </c>
      <c r="H49" s="1760"/>
      <c r="I49" s="724" t="str">
        <f t="shared" si="1"/>
        <v>%</v>
      </c>
      <c r="J49" s="694" t="s">
        <v>648</v>
      </c>
      <c r="K49" s="729">
        <v>2.25</v>
      </c>
      <c r="L49" s="694" t="s">
        <v>648</v>
      </c>
      <c r="M49" s="729">
        <v>30</v>
      </c>
      <c r="N49" s="729" t="s">
        <v>479</v>
      </c>
      <c r="O49" s="1775" t="s">
        <v>104</v>
      </c>
      <c r="P49" s="1786">
        <v>6</v>
      </c>
      <c r="S49" s="1707" t="str">
        <f>VLOOKUP(O49,CHOOSE({1,2},  'PIM Model'!F$10:F$30, 'PIM Model'!D$10:D$30),2,0)</f>
        <v>%</v>
      </c>
    </row>
    <row r="50" spans="1:19" ht="26.25" hidden="1" x14ac:dyDescent="0.25">
      <c r="A50" s="537"/>
      <c r="B50" s="722">
        <v>1</v>
      </c>
      <c r="C50" s="723">
        <v>20</v>
      </c>
      <c r="D50" s="723"/>
      <c r="E50" s="723"/>
      <c r="F50" s="694"/>
      <c r="G50" s="1763">
        <f>VLOOKUP(O50,'PIM Model'!F$10:K$30,6,0)</f>
        <v>0</v>
      </c>
      <c r="H50" s="1760"/>
      <c r="I50" s="724" t="str">
        <f t="shared" si="1"/>
        <v>%</v>
      </c>
      <c r="J50" s="694" t="s">
        <v>648</v>
      </c>
      <c r="K50" s="729">
        <v>2.25</v>
      </c>
      <c r="L50" s="694" t="s">
        <v>648</v>
      </c>
      <c r="M50" s="729">
        <v>30</v>
      </c>
      <c r="N50" s="729" t="s">
        <v>479</v>
      </c>
      <c r="O50" s="1775" t="s">
        <v>99</v>
      </c>
      <c r="P50" s="1786">
        <v>1</v>
      </c>
      <c r="S50" s="1707" t="str">
        <f>VLOOKUP(O50,CHOOSE({1,2},  'PIM Model'!F$10:F$30, 'PIM Model'!D$10:D$30),2,0)</f>
        <v>%</v>
      </c>
    </row>
    <row r="51" spans="1:19" hidden="1" x14ac:dyDescent="0.25">
      <c r="A51" s="537"/>
      <c r="B51" s="722">
        <v>1</v>
      </c>
      <c r="C51" s="723">
        <v>21</v>
      </c>
      <c r="D51" s="723"/>
      <c r="E51" s="723"/>
      <c r="F51" s="694"/>
      <c r="G51" s="1763">
        <f>VLOOKUP(O51,'PIM Model'!F$10:K$30,6,0)</f>
        <v>0</v>
      </c>
      <c r="H51" s="1760"/>
      <c r="I51" s="724" t="str">
        <f t="shared" si="1"/>
        <v>%</v>
      </c>
      <c r="J51" s="694" t="s">
        <v>648</v>
      </c>
      <c r="K51" s="729">
        <v>2.25</v>
      </c>
      <c r="L51" s="694" t="s">
        <v>648</v>
      </c>
      <c r="M51" s="729">
        <v>30</v>
      </c>
      <c r="N51" s="729" t="s">
        <v>479</v>
      </c>
      <c r="O51" s="1775" t="s">
        <v>98</v>
      </c>
      <c r="P51" s="1786">
        <v>7</v>
      </c>
      <c r="S51" s="1707" t="str">
        <f>VLOOKUP(O51,CHOOSE({1,2},  'PIM Model'!F$10:F$30, 'PIM Model'!D$10:D$30),2,0)</f>
        <v>%</v>
      </c>
    </row>
    <row r="52" spans="1:19" hidden="1" x14ac:dyDescent="0.25">
      <c r="A52" s="537"/>
      <c r="B52" s="722">
        <v>1</v>
      </c>
      <c r="C52" s="723">
        <v>22</v>
      </c>
      <c r="D52" s="723"/>
      <c r="E52" s="723"/>
      <c r="F52" s="694"/>
      <c r="G52" s="1763">
        <f>VLOOKUP(O52,'PIM Model'!F$10:K$30,6,0)</f>
        <v>0</v>
      </c>
      <c r="H52" s="1760"/>
      <c r="I52" s="724" t="str">
        <f t="shared" si="1"/>
        <v>%</v>
      </c>
      <c r="J52" s="694" t="s">
        <v>648</v>
      </c>
      <c r="K52" s="729">
        <v>2.25</v>
      </c>
      <c r="L52" s="694" t="s">
        <v>648</v>
      </c>
      <c r="M52" s="729">
        <v>30</v>
      </c>
      <c r="N52" s="729" t="s">
        <v>479</v>
      </c>
      <c r="O52" s="1775" t="s">
        <v>97</v>
      </c>
      <c r="P52" s="1786">
        <v>11</v>
      </c>
      <c r="S52" s="1707" t="str">
        <f>VLOOKUP(O52,CHOOSE({1,2},  'PIM Model'!F$10:F$30, 'PIM Model'!D$10:D$30),2,0)</f>
        <v>%</v>
      </c>
    </row>
    <row r="53" spans="1:19" hidden="1" x14ac:dyDescent="0.25">
      <c r="A53" s="537"/>
      <c r="B53" s="722">
        <v>1</v>
      </c>
      <c r="C53" s="723">
        <v>23</v>
      </c>
      <c r="D53" s="723"/>
      <c r="E53" s="723"/>
      <c r="F53" s="694"/>
      <c r="G53" s="1763">
        <f>VLOOKUP(O53,'PIM Model'!F$10:K$30,6,0)</f>
        <v>0</v>
      </c>
      <c r="H53" s="1760"/>
      <c r="I53" s="724" t="str">
        <f t="shared" si="1"/>
        <v>%</v>
      </c>
      <c r="J53" s="694" t="s">
        <v>648</v>
      </c>
      <c r="K53" s="729">
        <v>2.25</v>
      </c>
      <c r="L53" s="694" t="s">
        <v>648</v>
      </c>
      <c r="M53" s="729">
        <v>30</v>
      </c>
      <c r="N53" s="729" t="s">
        <v>479</v>
      </c>
      <c r="O53" s="1775" t="s">
        <v>96</v>
      </c>
      <c r="P53" s="1786">
        <v>9</v>
      </c>
      <c r="S53" s="1707" t="str">
        <f>VLOOKUP(O53,CHOOSE({1,2},  'PIM Model'!F$10:F$30, 'PIM Model'!D$10:D$30),2,0)</f>
        <v>%</v>
      </c>
    </row>
    <row r="54" spans="1:19" hidden="1" x14ac:dyDescent="0.25">
      <c r="A54" s="537"/>
      <c r="B54" s="722">
        <v>1</v>
      </c>
      <c r="C54" s="723">
        <v>24</v>
      </c>
      <c r="D54" s="723"/>
      <c r="E54" s="723"/>
      <c r="F54" s="694"/>
      <c r="G54" s="1763">
        <f>VLOOKUP(O54,'PIM Model'!F$10:K$30,6,0)</f>
        <v>0</v>
      </c>
      <c r="H54" s="1760"/>
      <c r="I54" s="724" t="str">
        <f t="shared" si="1"/>
        <v>%</v>
      </c>
      <c r="J54" s="694" t="s">
        <v>648</v>
      </c>
      <c r="K54" s="729">
        <v>2.25</v>
      </c>
      <c r="L54" s="694" t="s">
        <v>648</v>
      </c>
      <c r="M54" s="729">
        <v>30</v>
      </c>
      <c r="N54" s="729" t="s">
        <v>479</v>
      </c>
      <c r="O54" s="1775" t="s">
        <v>95</v>
      </c>
      <c r="P54" s="1786">
        <v>8</v>
      </c>
      <c r="S54" s="1707" t="str">
        <f>VLOOKUP(O54,CHOOSE({1,2},  'PIM Model'!F$10:F$30, 'PIM Model'!D$10:D$30),2,0)</f>
        <v>%</v>
      </c>
    </row>
    <row r="55" spans="1:19" hidden="1" x14ac:dyDescent="0.25">
      <c r="A55" s="537"/>
      <c r="B55" s="722">
        <v>1</v>
      </c>
      <c r="C55" s="723">
        <v>25</v>
      </c>
      <c r="D55" s="723"/>
      <c r="E55" s="723"/>
      <c r="F55" s="694" t="s">
        <v>1283</v>
      </c>
      <c r="G55" s="1763">
        <f>VLOOKUP(O55,'PIM Model'!F$10:K$30,6,0)</f>
        <v>0</v>
      </c>
      <c r="H55" s="1760"/>
      <c r="I55" s="724" t="str">
        <f t="shared" si="1"/>
        <v>%</v>
      </c>
      <c r="J55" s="694" t="s">
        <v>648</v>
      </c>
      <c r="K55" s="1435">
        <v>2.25</v>
      </c>
      <c r="L55" s="694" t="s">
        <v>648</v>
      </c>
      <c r="M55" s="729">
        <v>30</v>
      </c>
      <c r="N55" s="729" t="s">
        <v>479</v>
      </c>
      <c r="O55" s="1775" t="s">
        <v>94</v>
      </c>
      <c r="P55" s="1786">
        <v>18</v>
      </c>
      <c r="S55" s="1707" t="str">
        <f>VLOOKUP(O55,CHOOSE({1,2},  'PIM Model'!F$10:F$30, 'PIM Model'!D$10:D$30),2,0)</f>
        <v>%</v>
      </c>
    </row>
    <row r="56" spans="1:19" hidden="1" x14ac:dyDescent="0.25">
      <c r="A56" s="537"/>
      <c r="B56" s="722">
        <v>1</v>
      </c>
      <c r="C56" s="723">
        <v>26</v>
      </c>
      <c r="D56" s="723"/>
      <c r="E56" s="723"/>
      <c r="F56" s="694"/>
      <c r="G56" s="1763">
        <f>VLOOKUP(O56,'PIM Model'!F$10:K$30,6,0)</f>
        <v>0</v>
      </c>
      <c r="H56" s="1760"/>
      <c r="I56" s="724" t="str">
        <f t="shared" si="1"/>
        <v>%</v>
      </c>
      <c r="J56" s="694" t="s">
        <v>648</v>
      </c>
      <c r="K56" s="729">
        <v>2.25</v>
      </c>
      <c r="L56" s="694" t="s">
        <v>648</v>
      </c>
      <c r="M56" s="729">
        <v>30</v>
      </c>
      <c r="N56" s="729" t="s">
        <v>479</v>
      </c>
      <c r="O56" s="1775" t="s">
        <v>93</v>
      </c>
      <c r="P56" s="1786">
        <v>12</v>
      </c>
      <c r="S56" s="1707" t="str">
        <f>VLOOKUP(O56,CHOOSE({1,2},  'PIM Model'!F$10:F$30, 'PIM Model'!D$10:D$30),2,0)</f>
        <v>%</v>
      </c>
    </row>
    <row r="57" spans="1:19" hidden="1" x14ac:dyDescent="0.25">
      <c r="A57" s="537"/>
      <c r="B57" s="722">
        <v>1</v>
      </c>
      <c r="C57" s="723">
        <v>29</v>
      </c>
      <c r="D57" s="723"/>
      <c r="E57" s="723"/>
      <c r="F57" s="694"/>
      <c r="G57" s="1763">
        <f>VLOOKUP(O57,'PIM Model'!F$10:K$30,6,0)</f>
        <v>0</v>
      </c>
      <c r="H57" s="1760"/>
      <c r="I57" s="724" t="str">
        <f t="shared" si="1"/>
        <v>%</v>
      </c>
      <c r="J57" s="694" t="s">
        <v>648</v>
      </c>
      <c r="K57" s="729">
        <v>2.25</v>
      </c>
      <c r="L57" s="694" t="s">
        <v>648</v>
      </c>
      <c r="M57" s="729">
        <v>30</v>
      </c>
      <c r="N57" s="729" t="s">
        <v>479</v>
      </c>
      <c r="O57" s="1775" t="s">
        <v>92</v>
      </c>
      <c r="P57" s="1786">
        <v>14</v>
      </c>
      <c r="S57" s="1707" t="str">
        <f>VLOOKUP(O57,CHOOSE({1,2},  'PIM Model'!F$10:F$30, 'PIM Model'!D$10:D$30),2,0)</f>
        <v>%</v>
      </c>
    </row>
    <row r="58" spans="1:19" hidden="1" x14ac:dyDescent="0.25">
      <c r="A58" s="537"/>
      <c r="B58" s="722">
        <v>1</v>
      </c>
      <c r="C58" s="723">
        <v>30</v>
      </c>
      <c r="D58" s="723"/>
      <c r="E58" s="723"/>
      <c r="F58" s="694"/>
      <c r="G58" s="1763">
        <f>VLOOKUP(O58,'PIM Model'!F$10:K$30,6,0)</f>
        <v>0</v>
      </c>
      <c r="H58" s="1760"/>
      <c r="I58" s="724" t="str">
        <f t="shared" si="1"/>
        <v>%</v>
      </c>
      <c r="J58" s="694" t="s">
        <v>648</v>
      </c>
      <c r="K58" s="729">
        <v>2.25</v>
      </c>
      <c r="L58" s="694" t="s">
        <v>648</v>
      </c>
      <c r="M58" s="729">
        <v>30</v>
      </c>
      <c r="N58" s="729" t="s">
        <v>479</v>
      </c>
      <c r="O58" s="1775" t="s">
        <v>91</v>
      </c>
      <c r="P58" s="1786">
        <v>15</v>
      </c>
      <c r="S58" s="1707" t="str">
        <f>VLOOKUP(O58,CHOOSE({1,2},  'PIM Model'!F$10:F$30, 'PIM Model'!D$10:D$30),2,0)</f>
        <v>%</v>
      </c>
    </row>
    <row r="59" spans="1:19" hidden="1" x14ac:dyDescent="0.25">
      <c r="A59" s="537"/>
      <c r="B59" s="722">
        <v>1</v>
      </c>
      <c r="C59" s="723">
        <v>31</v>
      </c>
      <c r="D59" s="723"/>
      <c r="E59" s="723"/>
      <c r="F59" s="694"/>
      <c r="G59" s="1763">
        <f>VLOOKUP(O59,'PIM Model'!F$10:K$30,6,0)</f>
        <v>0</v>
      </c>
      <c r="H59" s="1760"/>
      <c r="I59" s="724" t="str">
        <f t="shared" si="1"/>
        <v>%</v>
      </c>
      <c r="J59" s="694" t="s">
        <v>648</v>
      </c>
      <c r="K59" s="729">
        <v>2.25</v>
      </c>
      <c r="L59" s="694" t="s">
        <v>648</v>
      </c>
      <c r="M59" s="729">
        <v>30</v>
      </c>
      <c r="N59" s="729" t="s">
        <v>479</v>
      </c>
      <c r="O59" s="1775" t="s">
        <v>90</v>
      </c>
      <c r="P59" s="1786">
        <v>16</v>
      </c>
      <c r="S59" s="1707" t="str">
        <f>VLOOKUP(O59,CHOOSE({1,2},  'PIM Model'!F$10:F$30, 'PIM Model'!D$10:D$30),2,0)</f>
        <v>%</v>
      </c>
    </row>
    <row r="60" spans="1:19" hidden="1" x14ac:dyDescent="0.25">
      <c r="A60" s="537"/>
      <c r="B60" s="722">
        <v>1</v>
      </c>
      <c r="C60" s="723">
        <v>32</v>
      </c>
      <c r="D60" s="723"/>
      <c r="E60" s="723"/>
      <c r="F60" s="694"/>
      <c r="G60" s="1763">
        <f>VLOOKUP(O60,'PIM Model'!F$10:K$30,6,0)</f>
        <v>0</v>
      </c>
      <c r="H60" s="1760"/>
      <c r="I60" s="724" t="str">
        <f t="shared" si="1"/>
        <v>%</v>
      </c>
      <c r="J60" s="694" t="s">
        <v>648</v>
      </c>
      <c r="K60" s="729">
        <v>2.25</v>
      </c>
      <c r="L60" s="694" t="s">
        <v>648</v>
      </c>
      <c r="M60" s="729">
        <v>30</v>
      </c>
      <c r="N60" s="729" t="s">
        <v>479</v>
      </c>
      <c r="O60" s="1775" t="s">
        <v>89</v>
      </c>
      <c r="P60" s="1786">
        <v>17</v>
      </c>
      <c r="S60" s="1707" t="str">
        <f>VLOOKUP(O60,CHOOSE({1,2},  'PIM Model'!F$10:F$30, 'PIM Model'!D$10:D$30),2,0)</f>
        <v>%</v>
      </c>
    </row>
    <row r="61" spans="1:19" hidden="1" x14ac:dyDescent="0.25">
      <c r="A61" s="537"/>
      <c r="B61" s="722">
        <v>1</v>
      </c>
      <c r="C61" s="723">
        <v>33</v>
      </c>
      <c r="D61" s="723"/>
      <c r="E61" s="723"/>
      <c r="F61" s="694"/>
      <c r="G61" s="1763">
        <f>VLOOKUP(O61,'PIM Model'!F$10:K$30,6,0)</f>
        <v>0</v>
      </c>
      <c r="H61" s="1760"/>
      <c r="I61" s="724" t="str">
        <f t="shared" si="1"/>
        <v>%</v>
      </c>
      <c r="J61" s="694" t="s">
        <v>648</v>
      </c>
      <c r="K61" s="729">
        <v>2.25</v>
      </c>
      <c r="L61" s="694" t="s">
        <v>648</v>
      </c>
      <c r="M61" s="729">
        <v>30</v>
      </c>
      <c r="N61" s="729" t="s">
        <v>479</v>
      </c>
      <c r="O61" s="1775" t="s">
        <v>88</v>
      </c>
      <c r="P61" s="1786">
        <v>20</v>
      </c>
      <c r="S61" s="1707" t="str">
        <f>VLOOKUP(O61,CHOOSE({1,2},  'PIM Model'!F$10:F$30, 'PIM Model'!D$10:D$30),2,0)</f>
        <v>%</v>
      </c>
    </row>
    <row r="62" spans="1:19" hidden="1" x14ac:dyDescent="0.25">
      <c r="A62" s="537"/>
      <c r="B62" s="722">
        <v>1</v>
      </c>
      <c r="C62" s="723">
        <v>34</v>
      </c>
      <c r="D62" s="723"/>
      <c r="E62" s="723"/>
      <c r="F62" s="694"/>
      <c r="G62" s="1763">
        <f>VLOOKUP(O62,'PIM Model'!F$10:K$30,6,0)</f>
        <v>0</v>
      </c>
      <c r="H62" s="1760"/>
      <c r="I62" s="724" t="str">
        <f t="shared" si="1"/>
        <v>%</v>
      </c>
      <c r="J62" s="694" t="s">
        <v>648</v>
      </c>
      <c r="K62" s="729">
        <v>2.25</v>
      </c>
      <c r="L62" s="694" t="s">
        <v>648</v>
      </c>
      <c r="M62" s="729">
        <v>30</v>
      </c>
      <c r="N62" s="729" t="s">
        <v>479</v>
      </c>
      <c r="O62" s="1775" t="s">
        <v>87</v>
      </c>
      <c r="P62" s="1786">
        <v>21</v>
      </c>
      <c r="S62" s="1707" t="str">
        <f>VLOOKUP(O62,CHOOSE({1,2},  'PIM Model'!F$10:F$30, 'PIM Model'!D$10:D$30),2,0)</f>
        <v>%</v>
      </c>
    </row>
    <row r="63" spans="1:19" hidden="1" x14ac:dyDescent="0.25">
      <c r="A63" s="537"/>
      <c r="B63" s="722">
        <v>1</v>
      </c>
      <c r="C63" s="723">
        <v>35</v>
      </c>
      <c r="D63" s="723"/>
      <c r="E63" s="723"/>
      <c r="F63" s="694"/>
      <c r="G63" s="1763">
        <f>VLOOKUP(O63,'PIM Model'!F$10:K$30,6,0)</f>
        <v>0</v>
      </c>
      <c r="H63" s="1760"/>
      <c r="I63" s="724" t="str">
        <f t="shared" si="1"/>
        <v>%</v>
      </c>
      <c r="J63" s="694" t="s">
        <v>648</v>
      </c>
      <c r="K63" s="729">
        <v>2.25</v>
      </c>
      <c r="L63" s="694" t="s">
        <v>648</v>
      </c>
      <c r="M63" s="729">
        <v>30</v>
      </c>
      <c r="N63" s="729" t="s">
        <v>479</v>
      </c>
      <c r="O63" s="1775" t="s">
        <v>86</v>
      </c>
      <c r="P63" s="1786">
        <v>19</v>
      </c>
      <c r="S63" s="1707" t="str">
        <f>VLOOKUP(O63,CHOOSE({1,2},  'PIM Model'!F$10:F$30, 'PIM Model'!D$10:D$30),2,0)</f>
        <v>%</v>
      </c>
    </row>
    <row r="64" spans="1:19" ht="15.75" hidden="1" thickBot="1" x14ac:dyDescent="0.3">
      <c r="A64" s="537"/>
      <c r="B64" s="688">
        <v>1</v>
      </c>
      <c r="C64" s="727">
        <v>37</v>
      </c>
      <c r="D64" s="727"/>
      <c r="E64" s="727"/>
      <c r="F64" s="680"/>
      <c r="G64" s="1761">
        <f>VLOOKUP(O64,'PIM Model'!F$10:K$30,6,0)</f>
        <v>0</v>
      </c>
      <c r="H64" s="1762"/>
      <c r="I64" s="691" t="str">
        <f t="shared" si="1"/>
        <v>%</v>
      </c>
      <c r="J64" s="680" t="s">
        <v>648</v>
      </c>
      <c r="K64" s="730">
        <v>2.25</v>
      </c>
      <c r="L64" s="680" t="s">
        <v>648</v>
      </c>
      <c r="M64" s="730">
        <v>30</v>
      </c>
      <c r="N64" s="730" t="s">
        <v>479</v>
      </c>
      <c r="O64" s="1776" t="s">
        <v>105</v>
      </c>
      <c r="P64" s="1491">
        <v>13</v>
      </c>
      <c r="S64" s="1707" t="str">
        <f>VLOOKUP(O64,CHOOSE({1,2},  'PIM Model'!F$10:F$30, 'PIM Model'!D$10:D$30),2,0)</f>
        <v>%</v>
      </c>
    </row>
    <row r="65" spans="1:17" hidden="1" x14ac:dyDescent="0.25">
      <c r="A65" s="537"/>
      <c r="B65" s="739"/>
      <c r="C65" s="739"/>
      <c r="D65" s="739"/>
      <c r="E65" s="739"/>
      <c r="F65" s="739"/>
      <c r="G65" s="1758"/>
      <c r="H65" s="739"/>
      <c r="I65" s="739"/>
      <c r="J65" s="739"/>
      <c r="K65" s="739"/>
      <c r="L65" s="739"/>
      <c r="M65" s="739"/>
      <c r="N65" s="739"/>
      <c r="O65" s="739"/>
      <c r="P65" s="739"/>
    </row>
    <row r="66" spans="1:17" ht="15.75" thickBot="1" x14ac:dyDescent="0.3">
      <c r="A66" s="537"/>
      <c r="B66" s="739"/>
      <c r="C66" s="739"/>
      <c r="D66" s="739"/>
      <c r="E66" s="739"/>
      <c r="F66" s="739"/>
      <c r="G66" s="1758"/>
      <c r="H66" s="739"/>
      <c r="I66" s="739"/>
      <c r="J66" s="739"/>
      <c r="K66" s="739"/>
      <c r="L66" s="739"/>
      <c r="M66" s="739"/>
      <c r="N66" s="739"/>
      <c r="O66" s="739"/>
      <c r="P66" s="739"/>
    </row>
    <row r="67" spans="1:17" s="1787" customFormat="1" ht="15.75" thickBot="1" x14ac:dyDescent="0.3">
      <c r="A67" s="537"/>
      <c r="B67" s="2047" t="s">
        <v>2227</v>
      </c>
      <c r="C67" s="2048"/>
      <c r="D67" s="2048"/>
      <c r="E67" s="2048"/>
      <c r="F67" s="2048"/>
      <c r="G67" s="2048"/>
      <c r="H67" s="2048"/>
      <c r="I67" s="2048"/>
      <c r="J67" s="2048"/>
      <c r="K67" s="2048"/>
      <c r="L67" s="2048"/>
      <c r="M67" s="2048"/>
      <c r="N67" s="2048"/>
      <c r="O67" s="2048"/>
      <c r="P67" s="2048"/>
      <c r="Q67" s="2049"/>
    </row>
    <row r="68" spans="1:17" s="1787" customFormat="1" ht="36.75" customHeight="1" x14ac:dyDescent="0.25">
      <c r="A68" s="537"/>
      <c r="B68" s="1796" t="s">
        <v>1258</v>
      </c>
      <c r="C68" s="1024" t="s">
        <v>1273</v>
      </c>
      <c r="D68" s="1024" t="s">
        <v>1274</v>
      </c>
      <c r="E68" s="1024" t="s">
        <v>2228</v>
      </c>
      <c r="F68" s="1817" t="s">
        <v>1275</v>
      </c>
      <c r="G68" s="1801" t="s">
        <v>1276</v>
      </c>
      <c r="H68" s="1800" t="s">
        <v>1277</v>
      </c>
      <c r="I68" s="1802" t="s">
        <v>1239</v>
      </c>
      <c r="J68" s="1024" t="s">
        <v>1278</v>
      </c>
      <c r="K68" s="1024" t="s">
        <v>1279</v>
      </c>
      <c r="L68" s="1024" t="s">
        <v>1280</v>
      </c>
      <c r="M68" s="1024" t="s">
        <v>1281</v>
      </c>
      <c r="N68" s="1024" t="s">
        <v>1221</v>
      </c>
      <c r="O68" s="1797" t="s">
        <v>1282</v>
      </c>
      <c r="P68" s="1795" t="s">
        <v>1910</v>
      </c>
      <c r="Q68" s="1818" t="s">
        <v>2229</v>
      </c>
    </row>
    <row r="69" spans="1:17" x14ac:dyDescent="0.25">
      <c r="A69" s="537"/>
      <c r="B69" s="1765"/>
      <c r="C69" s="1760"/>
      <c r="D69" s="1760"/>
      <c r="E69" s="1760"/>
      <c r="F69" s="1760"/>
      <c r="G69" s="1766"/>
      <c r="H69" s="1760"/>
      <c r="I69" s="1760"/>
      <c r="J69" s="1760"/>
      <c r="K69" s="1760"/>
      <c r="L69" s="1760"/>
      <c r="M69" s="1760"/>
      <c r="N69" s="1760"/>
      <c r="O69" s="1760"/>
      <c r="P69" s="1760"/>
      <c r="Q69" s="1810"/>
    </row>
    <row r="70" spans="1:17" x14ac:dyDescent="0.25">
      <c r="A70" s="537"/>
      <c r="B70" s="739"/>
      <c r="C70" s="739"/>
      <c r="D70" s="739"/>
      <c r="E70" s="739"/>
      <c r="F70" s="739"/>
      <c r="G70" s="1758"/>
      <c r="H70" s="739"/>
      <c r="I70" s="739"/>
      <c r="J70" s="739"/>
      <c r="K70" s="739"/>
      <c r="L70" s="739"/>
      <c r="M70" s="739"/>
      <c r="N70" s="739"/>
      <c r="O70" s="739"/>
      <c r="P70" s="739"/>
      <c r="Q70" s="1777"/>
    </row>
    <row r="71" spans="1:17" x14ac:dyDescent="0.25">
      <c r="A71" s="537"/>
      <c r="B71" s="739"/>
      <c r="C71" s="739"/>
      <c r="D71" s="739"/>
      <c r="E71" s="739"/>
      <c r="F71" s="739"/>
      <c r="G71" s="1758"/>
      <c r="H71" s="739"/>
      <c r="I71" s="739"/>
      <c r="J71" s="739"/>
      <c r="K71" s="739"/>
      <c r="L71" s="739"/>
      <c r="M71" s="739"/>
      <c r="N71" s="739"/>
      <c r="O71" s="739"/>
      <c r="P71" s="739"/>
      <c r="Q71" s="1777"/>
    </row>
    <row r="72" spans="1:17" x14ac:dyDescent="0.25">
      <c r="A72" s="537"/>
      <c r="B72" s="739"/>
      <c r="C72" s="739"/>
      <c r="D72" s="739"/>
      <c r="E72" s="739"/>
      <c r="F72" s="739"/>
      <c r="G72" s="1758"/>
      <c r="H72" s="739"/>
      <c r="I72" s="739"/>
      <c r="J72" s="739"/>
      <c r="K72" s="739"/>
      <c r="L72" s="739"/>
      <c r="M72" s="739"/>
      <c r="N72" s="739"/>
      <c r="O72" s="739"/>
      <c r="P72" s="739"/>
      <c r="Q72" s="1777"/>
    </row>
    <row r="73" spans="1:17" x14ac:dyDescent="0.25">
      <c r="A73" s="537"/>
      <c r="B73" s="739"/>
      <c r="C73" s="739"/>
      <c r="D73" s="739"/>
      <c r="E73" s="739"/>
      <c r="F73" s="739"/>
      <c r="G73" s="1758"/>
      <c r="H73" s="739"/>
      <c r="I73" s="739"/>
      <c r="J73" s="739"/>
      <c r="K73" s="739"/>
      <c r="L73" s="739"/>
      <c r="M73" s="739"/>
      <c r="N73" s="739"/>
      <c r="O73" s="739"/>
      <c r="P73" s="739"/>
      <c r="Q73" s="1777"/>
    </row>
    <row r="74" spans="1:17" x14ac:dyDescent="0.25">
      <c r="A74" s="537"/>
      <c r="B74" s="739"/>
      <c r="C74" s="739"/>
      <c r="D74" s="739"/>
      <c r="E74" s="739"/>
      <c r="F74" s="739"/>
      <c r="G74" s="1758"/>
      <c r="H74" s="739"/>
      <c r="I74" s="739"/>
      <c r="J74" s="739"/>
      <c r="K74" s="739"/>
      <c r="L74" s="739"/>
      <c r="M74" s="739"/>
      <c r="N74" s="739"/>
      <c r="O74" s="739"/>
      <c r="P74" s="739"/>
      <c r="Q74" s="1777"/>
    </row>
    <row r="75" spans="1:17" x14ac:dyDescent="0.25">
      <c r="A75" s="537"/>
      <c r="B75" s="739"/>
      <c r="C75" s="739"/>
      <c r="D75" s="739"/>
      <c r="E75" s="739"/>
      <c r="F75" s="739"/>
      <c r="G75" s="1758"/>
      <c r="H75" s="739"/>
      <c r="I75" s="739"/>
      <c r="J75" s="739"/>
      <c r="K75" s="739"/>
      <c r="L75" s="739"/>
      <c r="M75" s="739"/>
      <c r="N75" s="739"/>
      <c r="O75" s="739"/>
      <c r="P75" s="739"/>
      <c r="Q75" s="1777"/>
    </row>
    <row r="76" spans="1:17" x14ac:dyDescent="0.25">
      <c r="A76" s="537"/>
      <c r="B76" s="739"/>
      <c r="C76" s="739"/>
      <c r="D76" s="739"/>
      <c r="E76" s="739"/>
      <c r="F76" s="739"/>
      <c r="G76" s="1758"/>
      <c r="H76" s="739"/>
      <c r="I76" s="739"/>
      <c r="J76" s="739"/>
      <c r="K76" s="739"/>
      <c r="L76" s="739"/>
      <c r="M76" s="739"/>
      <c r="N76" s="739"/>
      <c r="O76" s="739"/>
      <c r="P76" s="739"/>
      <c r="Q76" s="1777"/>
    </row>
    <row r="77" spans="1:17" x14ac:dyDescent="0.25">
      <c r="A77" s="537"/>
      <c r="B77" s="739"/>
      <c r="C77" s="739"/>
      <c r="D77" s="739"/>
      <c r="E77" s="739"/>
      <c r="F77" s="739"/>
      <c r="G77" s="1758"/>
      <c r="H77" s="739"/>
      <c r="I77" s="739"/>
      <c r="J77" s="739"/>
      <c r="K77" s="739"/>
      <c r="L77" s="739"/>
      <c r="M77" s="739"/>
      <c r="N77" s="739"/>
      <c r="O77" s="739"/>
      <c r="P77" s="739"/>
      <c r="Q77" s="1777"/>
    </row>
    <row r="78" spans="1:17" x14ac:dyDescent="0.25">
      <c r="A78" s="537"/>
      <c r="B78" s="739"/>
      <c r="C78" s="739"/>
      <c r="D78" s="739"/>
      <c r="E78" s="739"/>
      <c r="F78" s="739"/>
      <c r="G78" s="1758"/>
      <c r="H78" s="739"/>
      <c r="I78" s="739"/>
      <c r="J78" s="739"/>
      <c r="K78" s="739"/>
      <c r="L78" s="739"/>
      <c r="M78" s="739"/>
      <c r="N78" s="739"/>
      <c r="O78" s="739"/>
      <c r="P78" s="739"/>
      <c r="Q78" s="1777"/>
    </row>
    <row r="79" spans="1:17" x14ac:dyDescent="0.25">
      <c r="A79" s="537"/>
      <c r="B79" s="739"/>
      <c r="C79" s="739"/>
      <c r="D79" s="739"/>
      <c r="E79" s="739"/>
      <c r="F79" s="739"/>
      <c r="G79" s="1758"/>
      <c r="H79" s="739"/>
      <c r="I79" s="739"/>
      <c r="J79" s="739"/>
      <c r="K79" s="739"/>
      <c r="L79" s="739"/>
      <c r="M79" s="739"/>
      <c r="N79" s="739"/>
      <c r="O79" s="739"/>
      <c r="P79" s="739"/>
      <c r="Q79" s="1777"/>
    </row>
    <row r="80" spans="1:17" x14ac:dyDescent="0.25">
      <c r="A80" s="537"/>
      <c r="B80" s="739"/>
      <c r="C80" s="739"/>
      <c r="D80" s="739"/>
      <c r="E80" s="739"/>
      <c r="F80" s="739"/>
      <c r="G80" s="1758"/>
      <c r="H80" s="739"/>
      <c r="I80" s="739"/>
      <c r="J80" s="739"/>
      <c r="K80" s="739"/>
      <c r="L80" s="739"/>
      <c r="M80" s="739"/>
      <c r="N80" s="739"/>
      <c r="O80" s="739"/>
      <c r="P80" s="739"/>
      <c r="Q80" s="1777"/>
    </row>
    <row r="81" spans="1:17" x14ac:dyDescent="0.25">
      <c r="A81" s="537"/>
      <c r="B81" s="739"/>
      <c r="C81" s="739"/>
      <c r="D81" s="739"/>
      <c r="E81" s="739"/>
      <c r="F81" s="739"/>
      <c r="G81" s="1758"/>
      <c r="H81" s="739"/>
      <c r="I81" s="739"/>
      <c r="J81" s="739"/>
      <c r="K81" s="739"/>
      <c r="L81" s="739"/>
      <c r="M81" s="739"/>
      <c r="N81" s="739"/>
      <c r="O81" s="739"/>
      <c r="P81" s="739"/>
      <c r="Q81" s="1777"/>
    </row>
    <row r="82" spans="1:17" x14ac:dyDescent="0.25">
      <c r="A82" s="537"/>
      <c r="B82" s="739"/>
      <c r="C82" s="739"/>
      <c r="D82" s="739"/>
      <c r="E82" s="739"/>
      <c r="F82" s="739"/>
      <c r="G82" s="1758"/>
      <c r="H82" s="739"/>
      <c r="I82" s="739"/>
      <c r="J82" s="739"/>
      <c r="K82" s="739"/>
      <c r="L82" s="739"/>
      <c r="M82" s="739"/>
      <c r="N82" s="739"/>
      <c r="O82" s="739"/>
      <c r="P82" s="739"/>
      <c r="Q82" s="1777"/>
    </row>
    <row r="83" spans="1:17" x14ac:dyDescent="0.25">
      <c r="A83" s="537"/>
      <c r="B83" s="739"/>
      <c r="C83" s="739"/>
      <c r="D83" s="739"/>
      <c r="E83" s="739"/>
      <c r="F83" s="739"/>
      <c r="G83" s="1758"/>
      <c r="H83" s="739"/>
      <c r="I83" s="739"/>
      <c r="J83" s="739"/>
      <c r="K83" s="739"/>
      <c r="L83" s="739"/>
      <c r="M83" s="739"/>
      <c r="N83" s="739"/>
      <c r="O83" s="739"/>
      <c r="P83" s="739"/>
      <c r="Q83" s="1777"/>
    </row>
    <row r="84" spans="1:17" x14ac:dyDescent="0.25">
      <c r="A84" s="537"/>
      <c r="B84" s="739"/>
      <c r="C84" s="739"/>
      <c r="D84" s="739"/>
      <c r="E84" s="739"/>
      <c r="F84" s="739"/>
      <c r="G84" s="1758"/>
      <c r="H84" s="739"/>
      <c r="I84" s="739"/>
      <c r="J84" s="739"/>
      <c r="K84" s="739"/>
      <c r="L84" s="739"/>
      <c r="M84" s="739"/>
      <c r="N84" s="739"/>
      <c r="O84" s="739"/>
      <c r="P84" s="739"/>
      <c r="Q84" s="1777"/>
    </row>
    <row r="85" spans="1:17" x14ac:dyDescent="0.25">
      <c r="A85" s="537"/>
      <c r="B85" s="739"/>
      <c r="C85" s="739"/>
      <c r="D85" s="739"/>
      <c r="E85" s="739"/>
      <c r="F85" s="739"/>
      <c r="G85" s="1758"/>
      <c r="H85" s="739"/>
      <c r="I85" s="739"/>
      <c r="J85" s="739"/>
      <c r="K85" s="739"/>
      <c r="L85" s="739"/>
      <c r="M85" s="739"/>
      <c r="N85" s="739"/>
      <c r="O85" s="739"/>
      <c r="P85" s="739"/>
      <c r="Q85" s="1777"/>
    </row>
    <row r="86" spans="1:17" x14ac:dyDescent="0.25">
      <c r="A86" s="537"/>
      <c r="B86" s="739"/>
      <c r="C86" s="739"/>
      <c r="D86" s="739"/>
      <c r="E86" s="739"/>
      <c r="F86" s="739"/>
      <c r="G86" s="1758"/>
      <c r="H86" s="739"/>
      <c r="I86" s="739"/>
      <c r="J86" s="739"/>
      <c r="K86" s="739"/>
      <c r="L86" s="739"/>
      <c r="M86" s="739"/>
      <c r="N86" s="739"/>
      <c r="O86" s="739"/>
      <c r="P86" s="739"/>
      <c r="Q86" s="1777"/>
    </row>
    <row r="87" spans="1:17" x14ac:dyDescent="0.25">
      <c r="A87" s="537"/>
      <c r="B87" s="739"/>
      <c r="C87" s="739"/>
      <c r="D87" s="739"/>
      <c r="E87" s="739"/>
      <c r="F87" s="739"/>
      <c r="G87" s="1758"/>
      <c r="H87" s="739"/>
      <c r="I87" s="739"/>
      <c r="J87" s="739"/>
      <c r="K87" s="739"/>
      <c r="L87" s="739"/>
      <c r="M87" s="739"/>
      <c r="N87" s="739"/>
      <c r="O87" s="739"/>
      <c r="P87" s="739"/>
      <c r="Q87" s="1777"/>
    </row>
    <row r="88" spans="1:17" x14ac:dyDescent="0.25">
      <c r="A88" s="537"/>
      <c r="B88" s="739"/>
      <c r="C88" s="739"/>
      <c r="D88" s="739"/>
      <c r="E88" s="739"/>
      <c r="F88" s="739"/>
      <c r="G88" s="1758"/>
      <c r="H88" s="739"/>
      <c r="I88" s="739"/>
      <c r="J88" s="739"/>
      <c r="K88" s="739"/>
      <c r="L88" s="739"/>
      <c r="M88" s="739"/>
      <c r="N88" s="739"/>
      <c r="O88" s="739"/>
      <c r="P88" s="739"/>
      <c r="Q88" s="1777"/>
    </row>
    <row r="89" spans="1:17" x14ac:dyDescent="0.25">
      <c r="A89" s="537"/>
      <c r="B89" s="739"/>
      <c r="C89" s="739"/>
      <c r="D89" s="739"/>
      <c r="E89" s="739"/>
      <c r="F89" s="739"/>
      <c r="G89" s="1758"/>
      <c r="H89" s="739"/>
      <c r="I89" s="739"/>
      <c r="J89" s="739"/>
      <c r="K89" s="739"/>
      <c r="L89" s="739"/>
      <c r="M89" s="739"/>
      <c r="N89" s="739"/>
      <c r="O89" s="739"/>
      <c r="P89" s="739"/>
      <c r="Q89" s="1777"/>
    </row>
    <row r="90" spans="1:17" x14ac:dyDescent="0.25">
      <c r="A90" s="537"/>
      <c r="B90" s="739"/>
      <c r="C90" s="739"/>
      <c r="D90" s="739"/>
      <c r="E90" s="739"/>
      <c r="F90" s="739"/>
      <c r="G90" s="1758"/>
      <c r="H90" s="739"/>
      <c r="I90" s="739"/>
      <c r="J90" s="739"/>
      <c r="K90" s="739"/>
      <c r="L90" s="739"/>
      <c r="M90" s="739"/>
      <c r="N90" s="739"/>
      <c r="O90" s="739"/>
      <c r="Q90" s="1777"/>
    </row>
    <row r="91" spans="1:17" x14ac:dyDescent="0.25">
      <c r="A91" s="537"/>
      <c r="B91" s="739"/>
      <c r="C91" s="739"/>
      <c r="D91" s="739"/>
      <c r="E91" s="739"/>
      <c r="F91" s="739"/>
      <c r="G91" s="1758"/>
      <c r="H91" s="739"/>
      <c r="I91" s="739"/>
      <c r="J91" s="739"/>
      <c r="K91" s="739"/>
      <c r="L91" s="739"/>
      <c r="M91" s="739"/>
      <c r="N91" s="739"/>
      <c r="O91" s="739"/>
      <c r="Q91" s="1777"/>
    </row>
    <row r="92" spans="1:17" x14ac:dyDescent="0.25">
      <c r="A92" s="537"/>
      <c r="B92" s="739"/>
      <c r="C92" s="739"/>
      <c r="D92" s="739"/>
      <c r="E92" s="739"/>
      <c r="F92" s="739"/>
      <c r="G92" s="1758"/>
      <c r="H92" s="739"/>
      <c r="I92" s="739"/>
      <c r="J92" s="739"/>
      <c r="K92" s="739"/>
      <c r="L92" s="739"/>
      <c r="M92" s="739"/>
      <c r="N92" s="739"/>
      <c r="O92" s="739"/>
      <c r="Q92" s="1777"/>
    </row>
    <row r="93" spans="1:17" x14ac:dyDescent="0.25">
      <c r="A93" s="537"/>
      <c r="B93" s="739"/>
      <c r="C93" s="739"/>
      <c r="D93" s="739"/>
      <c r="E93" s="739"/>
      <c r="F93" s="739"/>
      <c r="G93" s="1758"/>
      <c r="H93" s="739"/>
      <c r="I93" s="739"/>
      <c r="J93" s="739"/>
      <c r="K93" s="739"/>
      <c r="L93" s="739"/>
      <c r="M93" s="739"/>
      <c r="N93" s="739"/>
      <c r="O93" s="739"/>
      <c r="Q93" s="1777"/>
    </row>
    <row r="94" spans="1:17" x14ac:dyDescent="0.25">
      <c r="A94" s="537"/>
      <c r="B94" s="739"/>
      <c r="C94" s="739"/>
      <c r="D94" s="739"/>
      <c r="E94" s="739"/>
      <c r="F94" s="739"/>
      <c r="G94" s="1758"/>
      <c r="H94" s="739"/>
      <c r="I94" s="739"/>
      <c r="J94" s="739"/>
      <c r="K94" s="739"/>
      <c r="L94" s="739"/>
      <c r="M94" s="739"/>
      <c r="N94" s="739"/>
      <c r="O94" s="739"/>
      <c r="Q94" s="1777"/>
    </row>
    <row r="95" spans="1:17" x14ac:dyDescent="0.25">
      <c r="A95" s="537"/>
      <c r="B95" s="739"/>
      <c r="C95" s="739"/>
      <c r="D95" s="739"/>
      <c r="E95" s="739"/>
      <c r="F95" s="739"/>
      <c r="G95" s="1758"/>
      <c r="H95" s="739"/>
      <c r="I95" s="739"/>
      <c r="J95" s="739"/>
      <c r="K95" s="739"/>
      <c r="L95" s="739"/>
      <c r="M95" s="739"/>
      <c r="N95" s="739"/>
      <c r="O95" s="739"/>
      <c r="Q95" s="1777"/>
    </row>
    <row r="96" spans="1:17" x14ac:dyDescent="0.25">
      <c r="A96" s="537"/>
      <c r="B96" s="739"/>
      <c r="C96" s="739"/>
      <c r="D96" s="739"/>
      <c r="E96" s="739"/>
      <c r="F96" s="739"/>
      <c r="G96" s="1758"/>
      <c r="H96" s="739"/>
      <c r="I96" s="739"/>
      <c r="J96" s="739"/>
      <c r="K96" s="739"/>
      <c r="L96" s="739"/>
      <c r="M96" s="739"/>
      <c r="N96" s="739"/>
      <c r="O96" s="739"/>
      <c r="Q96" s="1777"/>
    </row>
    <row r="97" spans="1:17" x14ac:dyDescent="0.25">
      <c r="A97" s="537"/>
      <c r="B97" s="739"/>
      <c r="C97" s="739"/>
      <c r="D97" s="739"/>
      <c r="E97" s="739"/>
      <c r="F97" s="739"/>
      <c r="G97" s="1758"/>
      <c r="H97" s="739"/>
      <c r="I97" s="739"/>
      <c r="J97" s="739"/>
      <c r="K97" s="739"/>
      <c r="L97" s="739"/>
      <c r="M97" s="739"/>
      <c r="N97" s="739"/>
      <c r="O97" s="739"/>
      <c r="Q97" s="1777"/>
    </row>
    <row r="98" spans="1:17" x14ac:dyDescent="0.25">
      <c r="A98" s="537"/>
      <c r="B98" s="739"/>
      <c r="C98" s="739"/>
      <c r="D98" s="739"/>
      <c r="E98" s="739"/>
      <c r="F98" s="739"/>
      <c r="G98" s="1758"/>
      <c r="H98" s="739"/>
      <c r="I98" s="739"/>
      <c r="J98" s="739"/>
      <c r="K98" s="739"/>
      <c r="L98" s="739"/>
      <c r="M98" s="739"/>
      <c r="N98" s="739"/>
      <c r="O98" s="739"/>
      <c r="Q98" s="1777"/>
    </row>
    <row r="99" spans="1:17" x14ac:dyDescent="0.25">
      <c r="A99" s="537"/>
      <c r="B99" s="739"/>
      <c r="C99" s="739"/>
      <c r="D99" s="739"/>
      <c r="E99" s="739"/>
      <c r="F99" s="739"/>
      <c r="G99" s="1758"/>
      <c r="H99" s="739"/>
      <c r="I99" s="739"/>
      <c r="J99" s="739"/>
      <c r="K99" s="739"/>
      <c r="L99" s="739"/>
      <c r="M99" s="739"/>
      <c r="N99" s="739"/>
      <c r="O99" s="739"/>
      <c r="Q99" s="1777"/>
    </row>
    <row r="100" spans="1:17" x14ac:dyDescent="0.25">
      <c r="A100" s="537"/>
      <c r="B100" s="739"/>
      <c r="C100" s="739"/>
      <c r="D100" s="739"/>
      <c r="E100" s="739"/>
      <c r="F100" s="739"/>
      <c r="G100" s="1758"/>
      <c r="H100" s="739"/>
      <c r="I100" s="739"/>
      <c r="J100" s="739"/>
      <c r="K100" s="739"/>
      <c r="L100" s="739"/>
      <c r="M100" s="739"/>
      <c r="N100" s="739"/>
      <c r="O100" s="739"/>
      <c r="Q100" s="1777"/>
    </row>
    <row r="101" spans="1:17" x14ac:dyDescent="0.25">
      <c r="A101" s="537"/>
      <c r="B101" s="739"/>
      <c r="C101" s="739"/>
      <c r="D101" s="739"/>
      <c r="E101" s="739"/>
      <c r="F101" s="739"/>
      <c r="G101" s="1758"/>
      <c r="H101" s="739"/>
      <c r="I101" s="739"/>
      <c r="J101" s="739"/>
      <c r="K101" s="739"/>
      <c r="L101" s="739"/>
      <c r="M101" s="739"/>
      <c r="N101" s="739"/>
      <c r="O101" s="739"/>
      <c r="Q101" s="1777"/>
    </row>
    <row r="102" spans="1:17" x14ac:dyDescent="0.25">
      <c r="A102" s="537"/>
      <c r="B102" s="739"/>
      <c r="C102" s="739"/>
      <c r="D102" s="739"/>
      <c r="E102" s="739"/>
      <c r="F102" s="739"/>
      <c r="G102" s="1758"/>
      <c r="H102" s="739"/>
      <c r="I102" s="739"/>
      <c r="J102" s="739"/>
      <c r="K102" s="739"/>
      <c r="L102" s="739"/>
      <c r="M102" s="739"/>
      <c r="N102" s="739"/>
      <c r="O102" s="739"/>
      <c r="Q102" s="1777"/>
    </row>
    <row r="103" spans="1:17" x14ac:dyDescent="0.25">
      <c r="A103" s="537"/>
      <c r="B103" s="739"/>
      <c r="C103" s="739"/>
      <c r="D103" s="739"/>
      <c r="E103" s="739"/>
      <c r="F103" s="739"/>
      <c r="G103" s="1758"/>
      <c r="H103" s="739"/>
      <c r="I103" s="739"/>
      <c r="J103" s="739"/>
      <c r="K103" s="739"/>
      <c r="L103" s="739"/>
      <c r="M103" s="739"/>
      <c r="N103" s="739"/>
      <c r="O103" s="739"/>
      <c r="Q103" s="1777"/>
    </row>
    <row r="104" spans="1:17" x14ac:dyDescent="0.25">
      <c r="A104" s="537"/>
      <c r="B104" s="739"/>
      <c r="C104" s="739"/>
      <c r="D104" s="739"/>
      <c r="E104" s="739"/>
      <c r="F104" s="739"/>
      <c r="G104" s="1758"/>
      <c r="H104" s="739"/>
      <c r="I104" s="739"/>
      <c r="J104" s="739"/>
      <c r="K104" s="739"/>
      <c r="L104" s="739"/>
      <c r="M104" s="739"/>
      <c r="N104" s="739"/>
      <c r="O104" s="739"/>
      <c r="Q104" s="1777"/>
    </row>
    <row r="105" spans="1:17" x14ac:dyDescent="0.25">
      <c r="A105" s="537"/>
      <c r="B105" s="739"/>
      <c r="C105" s="739"/>
      <c r="D105" s="739"/>
      <c r="E105" s="739"/>
      <c r="F105" s="739"/>
      <c r="G105" s="1758"/>
      <c r="H105" s="739"/>
      <c r="I105" s="739"/>
      <c r="J105" s="739"/>
      <c r="K105" s="739"/>
      <c r="L105" s="739"/>
      <c r="M105" s="739"/>
      <c r="N105" s="739"/>
      <c r="O105" s="739"/>
      <c r="Q105" s="1777"/>
    </row>
    <row r="106" spans="1:17" x14ac:dyDescent="0.25">
      <c r="A106" s="537"/>
      <c r="B106" s="739"/>
      <c r="C106" s="739"/>
      <c r="D106" s="739"/>
      <c r="E106" s="739"/>
      <c r="F106" s="739"/>
      <c r="G106" s="1758"/>
      <c r="H106" s="739"/>
      <c r="I106" s="739"/>
      <c r="J106" s="739"/>
      <c r="K106" s="739"/>
      <c r="L106" s="739"/>
      <c r="M106" s="739"/>
      <c r="N106" s="739"/>
      <c r="O106" s="739"/>
      <c r="Q106" s="1777"/>
    </row>
    <row r="107" spans="1:17" x14ac:dyDescent="0.25">
      <c r="A107" s="537"/>
      <c r="B107" s="739"/>
      <c r="C107" s="739"/>
      <c r="D107" s="739"/>
      <c r="E107" s="739"/>
      <c r="F107" s="739"/>
      <c r="G107" s="1758"/>
      <c r="H107" s="739"/>
      <c r="I107" s="739"/>
      <c r="J107" s="739"/>
      <c r="K107" s="739"/>
      <c r="L107" s="739"/>
      <c r="M107" s="739"/>
      <c r="N107" s="739"/>
      <c r="O107" s="739"/>
      <c r="Q107" s="1777"/>
    </row>
    <row r="108" spans="1:17" x14ac:dyDescent="0.25">
      <c r="A108" s="537"/>
      <c r="B108" s="739"/>
      <c r="C108" s="739"/>
      <c r="D108" s="739"/>
      <c r="E108" s="739"/>
      <c r="F108" s="739"/>
      <c r="G108" s="1758"/>
      <c r="H108" s="739"/>
      <c r="I108" s="739"/>
      <c r="J108" s="739"/>
      <c r="K108" s="739"/>
      <c r="L108" s="739"/>
      <c r="M108" s="739"/>
      <c r="N108" s="739"/>
      <c r="O108" s="739"/>
      <c r="Q108" s="1777"/>
    </row>
    <row r="109" spans="1:17" x14ac:dyDescent="0.25">
      <c r="A109" s="537"/>
      <c r="B109" s="739"/>
      <c r="C109" s="739"/>
      <c r="D109" s="739"/>
      <c r="E109" s="739"/>
      <c r="F109" s="739"/>
      <c r="G109" s="1758"/>
      <c r="H109" s="739"/>
      <c r="I109" s="739"/>
      <c r="J109" s="739"/>
      <c r="K109" s="739"/>
      <c r="L109" s="739"/>
      <c r="M109" s="739"/>
      <c r="N109" s="739"/>
      <c r="O109" s="739"/>
      <c r="Q109" s="1777"/>
    </row>
    <row r="110" spans="1:17" x14ac:dyDescent="0.25">
      <c r="A110" s="537"/>
      <c r="B110" s="739"/>
      <c r="C110" s="739"/>
      <c r="D110" s="739"/>
      <c r="E110" s="739"/>
      <c r="F110" s="739"/>
      <c r="G110" s="1758"/>
      <c r="H110" s="739"/>
      <c r="I110" s="739"/>
      <c r="J110" s="739"/>
      <c r="K110" s="739"/>
      <c r="L110" s="739"/>
      <c r="M110" s="739"/>
      <c r="N110" s="739"/>
      <c r="O110" s="739"/>
      <c r="Q110" s="1777"/>
    </row>
    <row r="111" spans="1:17" x14ac:dyDescent="0.25">
      <c r="A111" s="537"/>
      <c r="B111" s="739"/>
      <c r="C111" s="739"/>
      <c r="D111" s="739"/>
      <c r="E111" s="739"/>
      <c r="F111" s="739"/>
      <c r="G111" s="1758"/>
      <c r="H111" s="739"/>
      <c r="I111" s="739"/>
      <c r="J111" s="739"/>
      <c r="K111" s="739"/>
      <c r="L111" s="739"/>
      <c r="M111" s="739"/>
      <c r="N111" s="739"/>
      <c r="O111" s="739"/>
      <c r="Q111" s="1777"/>
    </row>
    <row r="112" spans="1:17" x14ac:dyDescent="0.25">
      <c r="A112" s="537"/>
      <c r="B112" s="739"/>
      <c r="C112" s="739"/>
      <c r="D112" s="739"/>
      <c r="E112" s="739"/>
      <c r="F112" s="739"/>
      <c r="G112" s="1758"/>
      <c r="H112" s="739"/>
      <c r="I112" s="739"/>
      <c r="J112" s="739"/>
      <c r="K112" s="739"/>
      <c r="L112" s="739"/>
      <c r="M112" s="739"/>
      <c r="N112" s="739"/>
      <c r="O112" s="739"/>
      <c r="Q112" s="1777"/>
    </row>
    <row r="113" spans="1:17" x14ac:dyDescent="0.25">
      <c r="A113" s="537"/>
      <c r="B113" s="739"/>
      <c r="C113" s="739"/>
      <c r="D113" s="739"/>
      <c r="E113" s="739"/>
      <c r="F113" s="739"/>
      <c r="G113" s="1758"/>
      <c r="H113" s="739"/>
      <c r="I113" s="739"/>
      <c r="J113" s="739"/>
      <c r="K113" s="739"/>
      <c r="L113" s="739"/>
      <c r="M113" s="739"/>
      <c r="N113" s="739"/>
      <c r="O113" s="739"/>
      <c r="Q113" s="1777"/>
    </row>
    <row r="114" spans="1:17" x14ac:dyDescent="0.25">
      <c r="A114" s="537"/>
      <c r="B114" s="739"/>
      <c r="C114" s="739"/>
      <c r="D114" s="739"/>
      <c r="E114" s="739"/>
      <c r="F114" s="739"/>
      <c r="G114" s="1758"/>
      <c r="H114" s="739"/>
      <c r="I114" s="739"/>
      <c r="J114" s="739"/>
      <c r="K114" s="739"/>
      <c r="L114" s="739"/>
      <c r="M114" s="739"/>
      <c r="N114" s="739"/>
      <c r="O114" s="739"/>
      <c r="Q114" s="1777"/>
    </row>
    <row r="115" spans="1:17" x14ac:dyDescent="0.25">
      <c r="A115" s="537"/>
      <c r="B115" s="739"/>
      <c r="C115" s="739"/>
      <c r="D115" s="739"/>
      <c r="E115" s="739"/>
      <c r="F115" s="739"/>
      <c r="G115" s="1758"/>
      <c r="H115" s="739"/>
      <c r="I115" s="739"/>
      <c r="J115" s="739"/>
      <c r="K115" s="739"/>
      <c r="L115" s="739"/>
      <c r="M115" s="739"/>
      <c r="N115" s="739"/>
      <c r="O115" s="739"/>
      <c r="Q115" s="1777"/>
    </row>
    <row r="116" spans="1:17" x14ac:dyDescent="0.25">
      <c r="A116" s="537"/>
      <c r="B116" s="739"/>
      <c r="C116" s="739"/>
      <c r="D116" s="739"/>
      <c r="E116" s="739"/>
      <c r="F116" s="739"/>
      <c r="G116" s="1758"/>
      <c r="H116" s="739"/>
      <c r="I116" s="739"/>
      <c r="J116" s="739"/>
      <c r="K116" s="739"/>
      <c r="L116" s="739"/>
      <c r="M116" s="739"/>
      <c r="N116" s="739"/>
      <c r="O116" s="739"/>
      <c r="Q116" s="1777"/>
    </row>
    <row r="117" spans="1:17" x14ac:dyDescent="0.25">
      <c r="A117" s="537"/>
      <c r="B117" s="739"/>
      <c r="C117" s="739"/>
      <c r="D117" s="739"/>
      <c r="E117" s="739"/>
      <c r="F117" s="739"/>
      <c r="G117" s="1758"/>
      <c r="H117" s="739"/>
      <c r="I117" s="739"/>
      <c r="J117" s="739"/>
      <c r="K117" s="739"/>
      <c r="L117" s="739"/>
      <c r="M117" s="739"/>
      <c r="N117" s="739"/>
      <c r="O117" s="739"/>
      <c r="Q117" s="1777"/>
    </row>
    <row r="118" spans="1:17" x14ac:dyDescent="0.25">
      <c r="A118" s="537"/>
      <c r="B118" s="739"/>
      <c r="C118" s="739"/>
      <c r="D118" s="739"/>
      <c r="E118" s="739"/>
      <c r="F118" s="739"/>
      <c r="G118" s="1758"/>
      <c r="H118" s="739"/>
      <c r="I118" s="739"/>
      <c r="J118" s="739"/>
      <c r="K118" s="739"/>
      <c r="L118" s="739"/>
      <c r="M118" s="739"/>
      <c r="N118" s="739"/>
      <c r="O118" s="739"/>
      <c r="Q118" s="1777"/>
    </row>
    <row r="119" spans="1:17" x14ac:dyDescent="0.25">
      <c r="A119" s="537"/>
      <c r="B119" s="739"/>
      <c r="C119" s="739"/>
      <c r="D119" s="739"/>
      <c r="E119" s="739"/>
      <c r="F119" s="739"/>
      <c r="G119" s="1758"/>
      <c r="H119" s="739"/>
      <c r="I119" s="739"/>
      <c r="J119" s="739"/>
      <c r="K119" s="739"/>
      <c r="L119" s="739"/>
      <c r="M119" s="739"/>
      <c r="N119" s="739"/>
      <c r="O119" s="739"/>
      <c r="Q119" s="1777"/>
    </row>
    <row r="120" spans="1:17" x14ac:dyDescent="0.25">
      <c r="A120" s="537"/>
      <c r="B120" s="739"/>
      <c r="C120" s="739"/>
      <c r="D120" s="739"/>
      <c r="E120" s="739"/>
      <c r="F120" s="739"/>
      <c r="G120" s="1758"/>
      <c r="H120" s="739"/>
      <c r="I120" s="739"/>
      <c r="J120" s="739"/>
      <c r="K120" s="739"/>
      <c r="L120" s="739"/>
      <c r="M120" s="739"/>
      <c r="N120" s="739"/>
      <c r="O120" s="739"/>
      <c r="Q120" s="1777"/>
    </row>
    <row r="121" spans="1:17" x14ac:dyDescent="0.25">
      <c r="A121" s="537"/>
      <c r="B121" s="739"/>
      <c r="C121" s="739"/>
      <c r="D121" s="739"/>
      <c r="E121" s="739"/>
      <c r="F121" s="739"/>
      <c r="G121" s="1758"/>
      <c r="H121" s="739"/>
      <c r="I121" s="739"/>
      <c r="J121" s="739"/>
      <c r="K121" s="739"/>
      <c r="L121" s="739"/>
      <c r="M121" s="739"/>
      <c r="N121" s="739"/>
      <c r="O121" s="739"/>
      <c r="Q121" s="1777"/>
    </row>
    <row r="122" spans="1:17" x14ac:dyDescent="0.25">
      <c r="A122" s="537"/>
      <c r="B122" s="739"/>
      <c r="C122" s="739"/>
      <c r="D122" s="739"/>
      <c r="E122" s="739"/>
      <c r="F122" s="739"/>
      <c r="G122" s="1758"/>
      <c r="H122" s="739"/>
      <c r="I122" s="739"/>
      <c r="J122" s="739"/>
      <c r="K122" s="739"/>
      <c r="L122" s="739"/>
      <c r="M122" s="739"/>
      <c r="N122" s="739"/>
      <c r="O122" s="739"/>
      <c r="Q122" s="1777"/>
    </row>
    <row r="123" spans="1:17" x14ac:dyDescent="0.25">
      <c r="A123" s="537"/>
      <c r="B123" s="739"/>
      <c r="C123" s="739"/>
      <c r="D123" s="739"/>
      <c r="E123" s="739"/>
      <c r="F123" s="739"/>
      <c r="G123" s="1758"/>
      <c r="H123" s="739"/>
      <c r="I123" s="739"/>
      <c r="J123" s="739"/>
      <c r="K123" s="739"/>
      <c r="L123" s="739"/>
      <c r="M123" s="739"/>
      <c r="N123" s="739"/>
      <c r="O123" s="739"/>
      <c r="Q123" s="1777"/>
    </row>
    <row r="124" spans="1:17" x14ac:dyDescent="0.25">
      <c r="A124" s="537"/>
      <c r="B124" s="739"/>
      <c r="C124" s="739"/>
      <c r="D124" s="739"/>
      <c r="E124" s="739"/>
      <c r="F124" s="739"/>
      <c r="G124" s="1758"/>
      <c r="H124" s="739"/>
      <c r="I124" s="739"/>
      <c r="J124" s="739"/>
      <c r="K124" s="739"/>
      <c r="L124" s="739"/>
      <c r="M124" s="739"/>
      <c r="N124" s="739"/>
      <c r="O124" s="739"/>
      <c r="Q124" s="1777"/>
    </row>
    <row r="125" spans="1:17" x14ac:dyDescent="0.25">
      <c r="A125" s="537"/>
      <c r="B125" s="739"/>
      <c r="C125" s="739"/>
      <c r="D125" s="739"/>
      <c r="E125" s="739"/>
      <c r="F125" s="739"/>
      <c r="G125" s="1758"/>
      <c r="H125" s="739"/>
      <c r="I125" s="739"/>
      <c r="J125" s="739"/>
      <c r="K125" s="739"/>
      <c r="L125" s="739"/>
      <c r="M125" s="739"/>
      <c r="N125" s="739"/>
      <c r="O125" s="739"/>
      <c r="Q125" s="1777"/>
    </row>
    <row r="126" spans="1:17" x14ac:dyDescent="0.25">
      <c r="A126" s="537"/>
      <c r="B126" s="739"/>
      <c r="C126" s="739"/>
      <c r="D126" s="739"/>
      <c r="E126" s="739"/>
      <c r="F126" s="739"/>
      <c r="G126" s="1758"/>
      <c r="H126" s="739"/>
      <c r="I126" s="739"/>
      <c r="J126" s="739"/>
      <c r="K126" s="739"/>
      <c r="L126" s="739"/>
      <c r="M126" s="739"/>
      <c r="N126" s="739"/>
      <c r="O126" s="739"/>
      <c r="Q126" s="1777"/>
    </row>
    <row r="127" spans="1:17" x14ac:dyDescent="0.25">
      <c r="A127" s="537"/>
      <c r="B127" s="739"/>
      <c r="C127" s="739"/>
      <c r="D127" s="739"/>
      <c r="E127" s="739"/>
      <c r="F127" s="739"/>
      <c r="G127" s="1758"/>
      <c r="H127" s="739"/>
      <c r="I127" s="739"/>
      <c r="J127" s="739"/>
      <c r="K127" s="739"/>
      <c r="L127" s="739"/>
      <c r="M127" s="739"/>
      <c r="N127" s="739"/>
      <c r="O127" s="739"/>
      <c r="Q127" s="1777"/>
    </row>
    <row r="128" spans="1:17" x14ac:dyDescent="0.25">
      <c r="A128" s="537"/>
      <c r="B128" s="739"/>
      <c r="C128" s="739"/>
      <c r="D128" s="739"/>
      <c r="E128" s="739"/>
      <c r="F128" s="739"/>
      <c r="G128" s="1758"/>
      <c r="H128" s="739"/>
      <c r="I128" s="739"/>
      <c r="J128" s="739"/>
      <c r="K128" s="739"/>
      <c r="L128" s="739"/>
      <c r="M128" s="739"/>
      <c r="N128" s="739"/>
      <c r="O128" s="739"/>
      <c r="Q128" s="1777"/>
    </row>
    <row r="129" spans="1:17" x14ac:dyDescent="0.25">
      <c r="A129" s="537"/>
      <c r="B129" s="739"/>
      <c r="C129" s="739"/>
      <c r="D129" s="739"/>
      <c r="E129" s="739"/>
      <c r="F129" s="739"/>
      <c r="G129" s="1758"/>
      <c r="H129" s="739"/>
      <c r="I129" s="739"/>
      <c r="J129" s="739"/>
      <c r="K129" s="739"/>
      <c r="L129" s="739"/>
      <c r="M129" s="739"/>
      <c r="N129" s="739"/>
      <c r="O129" s="739"/>
      <c r="Q129" s="1777"/>
    </row>
    <row r="130" spans="1:17" x14ac:dyDescent="0.25">
      <c r="A130" s="537"/>
      <c r="B130" s="739"/>
      <c r="C130" s="739"/>
      <c r="D130" s="739"/>
      <c r="E130" s="739"/>
      <c r="F130" s="739"/>
      <c r="G130" s="1758"/>
      <c r="H130" s="739"/>
      <c r="I130" s="739"/>
      <c r="J130" s="739"/>
      <c r="K130" s="739"/>
      <c r="L130" s="739"/>
      <c r="M130" s="739"/>
      <c r="N130" s="739"/>
      <c r="O130" s="739"/>
      <c r="Q130" s="1777"/>
    </row>
    <row r="131" spans="1:17" x14ac:dyDescent="0.25">
      <c r="A131" s="537"/>
      <c r="B131" s="739"/>
      <c r="C131" s="739"/>
      <c r="D131" s="739"/>
      <c r="E131" s="739"/>
      <c r="F131" s="739"/>
      <c r="G131" s="1758"/>
      <c r="H131" s="739"/>
      <c r="I131" s="739"/>
      <c r="J131" s="739"/>
      <c r="K131" s="739"/>
      <c r="L131" s="739"/>
      <c r="M131" s="739"/>
      <c r="N131" s="739"/>
      <c r="O131" s="739"/>
      <c r="Q131" s="1777"/>
    </row>
    <row r="132" spans="1:17" x14ac:dyDescent="0.25">
      <c r="A132" s="537"/>
      <c r="B132" s="739"/>
      <c r="C132" s="739"/>
      <c r="D132" s="739"/>
      <c r="E132" s="739"/>
      <c r="F132" s="739"/>
      <c r="G132" s="1758"/>
      <c r="H132" s="739"/>
      <c r="I132" s="739"/>
      <c r="J132" s="739"/>
      <c r="K132" s="739"/>
      <c r="L132" s="739"/>
      <c r="M132" s="739"/>
      <c r="N132" s="739"/>
      <c r="O132" s="739"/>
      <c r="Q132" s="1777"/>
    </row>
    <row r="133" spans="1:17" x14ac:dyDescent="0.25">
      <c r="A133" s="537"/>
      <c r="B133" s="739"/>
      <c r="C133" s="739"/>
      <c r="D133" s="739"/>
      <c r="E133" s="739"/>
      <c r="F133" s="739"/>
      <c r="G133" s="1758"/>
      <c r="H133" s="739"/>
      <c r="I133" s="739"/>
      <c r="J133" s="739"/>
      <c r="K133" s="739"/>
      <c r="L133" s="739"/>
      <c r="M133" s="739"/>
      <c r="N133" s="739"/>
      <c r="O133" s="739"/>
      <c r="Q133" s="1777"/>
    </row>
    <row r="134" spans="1:17" x14ac:dyDescent="0.25">
      <c r="A134" s="537"/>
      <c r="B134" s="739"/>
      <c r="C134" s="739"/>
      <c r="D134" s="739"/>
      <c r="E134" s="739"/>
      <c r="F134" s="739"/>
      <c r="G134" s="1758"/>
      <c r="H134" s="739"/>
      <c r="I134" s="739"/>
      <c r="J134" s="739"/>
      <c r="K134" s="739"/>
      <c r="L134" s="739"/>
      <c r="M134" s="739"/>
      <c r="N134" s="739"/>
      <c r="O134" s="739"/>
      <c r="Q134" s="1777"/>
    </row>
    <row r="135" spans="1:17" x14ac:dyDescent="0.25">
      <c r="A135" s="537"/>
      <c r="B135" s="739"/>
      <c r="C135" s="739"/>
      <c r="D135" s="739"/>
      <c r="E135" s="739"/>
      <c r="F135" s="739"/>
      <c r="G135" s="1758"/>
      <c r="H135" s="739"/>
      <c r="I135" s="739"/>
      <c r="J135" s="739"/>
      <c r="K135" s="739"/>
      <c r="L135" s="739"/>
      <c r="M135" s="739"/>
      <c r="N135" s="739"/>
      <c r="O135" s="739"/>
      <c r="Q135" s="1777"/>
    </row>
    <row r="136" spans="1:17" x14ac:dyDescent="0.25">
      <c r="A136" s="537"/>
      <c r="B136" s="739"/>
      <c r="C136" s="739"/>
      <c r="D136" s="739"/>
      <c r="E136" s="739"/>
      <c r="F136" s="739"/>
      <c r="G136" s="1758"/>
      <c r="H136" s="739"/>
      <c r="I136" s="739"/>
      <c r="J136" s="739"/>
      <c r="K136" s="739"/>
      <c r="L136" s="739"/>
      <c r="M136" s="739"/>
      <c r="N136" s="739"/>
      <c r="O136" s="739"/>
      <c r="Q136" s="1777"/>
    </row>
    <row r="137" spans="1:17" x14ac:dyDescent="0.25">
      <c r="A137" s="537"/>
      <c r="B137" s="739"/>
      <c r="C137" s="739"/>
      <c r="D137" s="739"/>
      <c r="E137" s="739"/>
      <c r="F137" s="739"/>
      <c r="G137" s="1758"/>
      <c r="H137" s="739"/>
      <c r="I137" s="739"/>
      <c r="J137" s="739"/>
      <c r="K137" s="739"/>
      <c r="L137" s="739"/>
      <c r="M137" s="739"/>
      <c r="N137" s="739"/>
      <c r="O137" s="739"/>
      <c r="Q137" s="1777"/>
    </row>
    <row r="138" spans="1:17" x14ac:dyDescent="0.25">
      <c r="A138" s="537"/>
      <c r="B138" s="739"/>
      <c r="C138" s="739"/>
      <c r="D138" s="739"/>
      <c r="E138" s="739"/>
      <c r="F138" s="739"/>
      <c r="G138" s="1758"/>
      <c r="H138" s="739"/>
      <c r="I138" s="739"/>
      <c r="J138" s="739"/>
      <c r="K138" s="739"/>
      <c r="L138" s="739"/>
      <c r="M138" s="739"/>
      <c r="N138" s="739"/>
      <c r="O138" s="739"/>
      <c r="Q138" s="1777"/>
    </row>
    <row r="139" spans="1:17" x14ac:dyDescent="0.25">
      <c r="A139" s="537"/>
      <c r="B139" s="739"/>
      <c r="C139" s="739"/>
      <c r="D139" s="739"/>
      <c r="E139" s="739"/>
      <c r="F139" s="739"/>
      <c r="G139" s="1758"/>
      <c r="H139" s="739"/>
      <c r="I139" s="739"/>
      <c r="J139" s="739"/>
      <c r="K139" s="739"/>
      <c r="L139" s="739"/>
      <c r="M139" s="739"/>
      <c r="N139" s="739"/>
      <c r="O139" s="739"/>
      <c r="Q139" s="1777"/>
    </row>
    <row r="140" spans="1:17" x14ac:dyDescent="0.25">
      <c r="A140" s="537"/>
      <c r="B140" s="739"/>
      <c r="C140" s="739"/>
      <c r="D140" s="739"/>
      <c r="E140" s="739"/>
      <c r="F140" s="739"/>
      <c r="G140" s="1758"/>
      <c r="H140" s="739"/>
      <c r="I140" s="739"/>
      <c r="J140" s="739"/>
      <c r="K140" s="739"/>
      <c r="L140" s="739"/>
      <c r="M140" s="739"/>
      <c r="N140" s="739"/>
      <c r="O140" s="739"/>
      <c r="Q140" s="1777"/>
    </row>
    <row r="141" spans="1:17" x14ac:dyDescent="0.25">
      <c r="A141" s="537"/>
      <c r="B141" s="739"/>
      <c r="C141" s="739"/>
      <c r="D141" s="739"/>
      <c r="E141" s="739"/>
      <c r="F141" s="739"/>
      <c r="G141" s="1758"/>
      <c r="H141" s="739"/>
      <c r="I141" s="739"/>
      <c r="J141" s="739"/>
      <c r="K141" s="739"/>
      <c r="L141" s="739"/>
      <c r="M141" s="739"/>
      <c r="N141" s="739"/>
      <c r="O141" s="739"/>
      <c r="Q141" s="1777"/>
    </row>
    <row r="142" spans="1:17" x14ac:dyDescent="0.25">
      <c r="A142" s="537"/>
      <c r="B142" s="739"/>
      <c r="C142" s="739"/>
      <c r="D142" s="739"/>
      <c r="E142" s="739"/>
      <c r="F142" s="739"/>
      <c r="G142" s="1758"/>
      <c r="H142" s="739"/>
      <c r="I142" s="739"/>
      <c r="J142" s="739"/>
      <c r="K142" s="739"/>
      <c r="L142" s="739"/>
      <c r="M142" s="739"/>
      <c r="N142" s="739"/>
      <c r="O142" s="739"/>
      <c r="Q142" s="1777"/>
    </row>
    <row r="143" spans="1:17" x14ac:dyDescent="0.25">
      <c r="A143" s="537"/>
      <c r="B143" s="739"/>
      <c r="C143" s="739"/>
      <c r="D143" s="739"/>
      <c r="E143" s="739"/>
      <c r="F143" s="739"/>
      <c r="G143" s="1758"/>
      <c r="H143" s="739"/>
      <c r="I143" s="739"/>
      <c r="J143" s="739"/>
      <c r="K143" s="739"/>
      <c r="L143" s="739"/>
      <c r="M143" s="739"/>
      <c r="N143" s="739"/>
      <c r="O143" s="739"/>
      <c r="Q143" s="1777"/>
    </row>
    <row r="144" spans="1:17" x14ac:dyDescent="0.25">
      <c r="A144" s="537"/>
      <c r="B144" s="739"/>
      <c r="C144" s="739"/>
      <c r="D144" s="739"/>
      <c r="E144" s="739"/>
      <c r="F144" s="739"/>
      <c r="G144" s="1758"/>
      <c r="H144" s="739"/>
      <c r="I144" s="739"/>
      <c r="J144" s="739"/>
      <c r="K144" s="739"/>
      <c r="L144" s="739"/>
      <c r="M144" s="739"/>
      <c r="N144" s="739"/>
      <c r="O144" s="739"/>
      <c r="Q144" s="1777"/>
    </row>
    <row r="145" spans="1:17" x14ac:dyDescent="0.25">
      <c r="A145" s="537"/>
      <c r="B145" s="739"/>
      <c r="C145" s="739"/>
      <c r="D145" s="739"/>
      <c r="E145" s="739"/>
      <c r="F145" s="739"/>
      <c r="G145" s="1758"/>
      <c r="H145" s="739"/>
      <c r="I145" s="739"/>
      <c r="J145" s="739"/>
      <c r="K145" s="739"/>
      <c r="L145" s="739"/>
      <c r="M145" s="739"/>
      <c r="N145" s="739"/>
      <c r="O145" s="739"/>
      <c r="Q145" s="1777"/>
    </row>
    <row r="146" spans="1:17" x14ac:dyDescent="0.25">
      <c r="A146" s="537"/>
      <c r="B146" s="739"/>
      <c r="C146" s="739"/>
      <c r="D146" s="739"/>
      <c r="E146" s="739"/>
      <c r="F146" s="739"/>
      <c r="G146" s="1758"/>
      <c r="H146" s="739"/>
      <c r="I146" s="739"/>
      <c r="J146" s="739"/>
      <c r="K146" s="739"/>
      <c r="L146" s="739"/>
      <c r="M146" s="739"/>
      <c r="N146" s="739"/>
      <c r="O146" s="739"/>
      <c r="Q146" s="1777"/>
    </row>
    <row r="147" spans="1:17" x14ac:dyDescent="0.25">
      <c r="A147" s="537"/>
      <c r="B147" s="739"/>
      <c r="C147" s="739"/>
      <c r="D147" s="739"/>
      <c r="E147" s="739"/>
      <c r="F147" s="739"/>
      <c r="G147" s="1758"/>
      <c r="H147" s="739"/>
      <c r="I147" s="739"/>
      <c r="J147" s="739"/>
      <c r="K147" s="739"/>
      <c r="L147" s="739"/>
      <c r="M147" s="739"/>
      <c r="N147" s="739"/>
      <c r="O147" s="739"/>
      <c r="Q147" s="1777"/>
    </row>
    <row r="148" spans="1:17" x14ac:dyDescent="0.25">
      <c r="A148" s="537"/>
      <c r="B148" s="739"/>
      <c r="C148" s="739"/>
      <c r="D148" s="739"/>
      <c r="E148" s="739"/>
      <c r="F148" s="739"/>
      <c r="G148" s="1758"/>
      <c r="H148" s="739"/>
      <c r="I148" s="739"/>
      <c r="J148" s="739"/>
      <c r="K148" s="739"/>
      <c r="L148" s="739"/>
      <c r="M148" s="739"/>
      <c r="N148" s="739"/>
      <c r="O148" s="739"/>
      <c r="Q148" s="1777"/>
    </row>
    <row r="149" spans="1:17" x14ac:dyDescent="0.25">
      <c r="A149" s="537"/>
      <c r="B149" s="739"/>
      <c r="C149" s="739"/>
      <c r="D149" s="739"/>
      <c r="E149" s="739"/>
      <c r="F149" s="739"/>
      <c r="G149" s="1758"/>
      <c r="H149" s="739"/>
      <c r="I149" s="739"/>
      <c r="J149" s="739"/>
      <c r="K149" s="739"/>
      <c r="L149" s="739"/>
      <c r="M149" s="739"/>
      <c r="N149" s="739"/>
      <c r="O149" s="739"/>
      <c r="Q149" s="1777"/>
    </row>
    <row r="150" spans="1:17" x14ac:dyDescent="0.25">
      <c r="A150" s="537"/>
      <c r="B150" s="739"/>
      <c r="C150" s="739"/>
      <c r="D150" s="739"/>
      <c r="E150" s="739"/>
      <c r="F150" s="739"/>
      <c r="G150" s="1758"/>
      <c r="H150" s="739"/>
      <c r="I150" s="739"/>
      <c r="J150" s="739"/>
      <c r="K150" s="739"/>
      <c r="L150" s="739"/>
      <c r="M150" s="739"/>
      <c r="N150" s="739"/>
      <c r="O150" s="739"/>
      <c r="Q150" s="1777"/>
    </row>
    <row r="151" spans="1:17" x14ac:dyDescent="0.25">
      <c r="A151" s="537"/>
      <c r="B151" s="739"/>
      <c r="C151" s="739"/>
      <c r="D151" s="739"/>
      <c r="E151" s="739"/>
      <c r="F151" s="739"/>
      <c r="G151" s="1758"/>
      <c r="H151" s="739"/>
      <c r="I151" s="739"/>
      <c r="J151" s="739"/>
      <c r="K151" s="739"/>
      <c r="L151" s="739"/>
      <c r="M151" s="739"/>
      <c r="N151" s="739"/>
      <c r="O151" s="739"/>
      <c r="Q151" s="1777"/>
    </row>
    <row r="152" spans="1:17" x14ac:dyDescent="0.25">
      <c r="Q152" s="1777"/>
    </row>
    <row r="153" spans="1:17" x14ac:dyDescent="0.25">
      <c r="Q153" s="1777"/>
    </row>
    <row r="154" spans="1:17" x14ac:dyDescent="0.25">
      <c r="Q154" s="1777"/>
    </row>
    <row r="155" spans="1:17" x14ac:dyDescent="0.25">
      <c r="Q155" s="1777"/>
    </row>
    <row r="156" spans="1:17" x14ac:dyDescent="0.25">
      <c r="Q156" s="1777"/>
    </row>
    <row r="157" spans="1:17" x14ac:dyDescent="0.25">
      <c r="Q157" s="1777"/>
    </row>
    <row r="158" spans="1:17" x14ac:dyDescent="0.25">
      <c r="Q158" s="1777"/>
    </row>
    <row r="159" spans="1:17" x14ac:dyDescent="0.25">
      <c r="Q159" s="1777"/>
    </row>
    <row r="160" spans="1:17" x14ac:dyDescent="0.25">
      <c r="Q160" s="1777"/>
    </row>
    <row r="161" spans="17:17" x14ac:dyDescent="0.25">
      <c r="Q161" s="1777"/>
    </row>
    <row r="162" spans="17:17" x14ac:dyDescent="0.25">
      <c r="Q162" s="1777"/>
    </row>
    <row r="163" spans="17:17" x14ac:dyDescent="0.25">
      <c r="Q163" s="1777"/>
    </row>
    <row r="164" spans="17:17" x14ac:dyDescent="0.25">
      <c r="Q164" s="1777"/>
    </row>
    <row r="165" spans="17:17" x14ac:dyDescent="0.25">
      <c r="Q165" s="1777"/>
    </row>
    <row r="166" spans="17:17" x14ac:dyDescent="0.25">
      <c r="Q166" s="1777"/>
    </row>
    <row r="167" spans="17:17" x14ac:dyDescent="0.25">
      <c r="Q167" s="1777"/>
    </row>
    <row r="168" spans="17:17" x14ac:dyDescent="0.25">
      <c r="Q168" s="1777"/>
    </row>
    <row r="169" spans="17:17" x14ac:dyDescent="0.25">
      <c r="Q169" s="1777"/>
    </row>
    <row r="170" spans="17:17" x14ac:dyDescent="0.25">
      <c r="Q170" s="1777"/>
    </row>
    <row r="171" spans="17:17" x14ac:dyDescent="0.25">
      <c r="Q171" s="1777"/>
    </row>
    <row r="172" spans="17:17" x14ac:dyDescent="0.25">
      <c r="Q172" s="1777"/>
    </row>
    <row r="173" spans="17:17" x14ac:dyDescent="0.25">
      <c r="Q173" s="1777"/>
    </row>
    <row r="174" spans="17:17" x14ac:dyDescent="0.25">
      <c r="Q174" s="1777"/>
    </row>
    <row r="175" spans="17:17" x14ac:dyDescent="0.25">
      <c r="Q175" s="1777"/>
    </row>
    <row r="176" spans="17:17" x14ac:dyDescent="0.25">
      <c r="Q176" s="1777"/>
    </row>
    <row r="177" spans="17:17" x14ac:dyDescent="0.25">
      <c r="Q177" s="1777"/>
    </row>
    <row r="178" spans="17:17" x14ac:dyDescent="0.25">
      <c r="Q178" s="1777"/>
    </row>
    <row r="179" spans="17:17" x14ac:dyDescent="0.25">
      <c r="Q179" s="1777"/>
    </row>
    <row r="180" spans="17:17" x14ac:dyDescent="0.25">
      <c r="Q180" s="1777"/>
    </row>
    <row r="181" spans="17:17" x14ac:dyDescent="0.25">
      <c r="Q181" s="1777"/>
    </row>
    <row r="182" spans="17:17" x14ac:dyDescent="0.25">
      <c r="Q182" s="1777"/>
    </row>
    <row r="183" spans="17:17" x14ac:dyDescent="0.25">
      <c r="Q183" s="1777"/>
    </row>
    <row r="184" spans="17:17" x14ac:dyDescent="0.25">
      <c r="Q184" s="1777"/>
    </row>
    <row r="185" spans="17:17" x14ac:dyDescent="0.25">
      <c r="Q185" s="1777"/>
    </row>
    <row r="186" spans="17:17" x14ac:dyDescent="0.25">
      <c r="Q186" s="1777"/>
    </row>
    <row r="187" spans="17:17" x14ac:dyDescent="0.25">
      <c r="Q187" s="1777"/>
    </row>
    <row r="188" spans="17:17" x14ac:dyDescent="0.25">
      <c r="Q188" s="1777"/>
    </row>
    <row r="189" spans="17:17" x14ac:dyDescent="0.25">
      <c r="Q189" s="1777"/>
    </row>
    <row r="190" spans="17:17" x14ac:dyDescent="0.25">
      <c r="Q190" s="1777"/>
    </row>
    <row r="191" spans="17:17" x14ac:dyDescent="0.25">
      <c r="Q191" s="1777"/>
    </row>
    <row r="192" spans="17:17" x14ac:dyDescent="0.25">
      <c r="Q192" s="1777"/>
    </row>
    <row r="193" spans="17:17" x14ac:dyDescent="0.25">
      <c r="Q193" s="1777"/>
    </row>
    <row r="194" spans="17:17" x14ac:dyDescent="0.25">
      <c r="Q194" s="1777"/>
    </row>
    <row r="195" spans="17:17" x14ac:dyDescent="0.25">
      <c r="Q195" s="1777"/>
    </row>
    <row r="196" spans="17:17" x14ac:dyDescent="0.25">
      <c r="Q196" s="1777"/>
    </row>
    <row r="197" spans="17:17" x14ac:dyDescent="0.25">
      <c r="Q197" s="1777"/>
    </row>
    <row r="198" spans="17:17" x14ac:dyDescent="0.25">
      <c r="Q198" s="1777"/>
    </row>
    <row r="199" spans="17:17" x14ac:dyDescent="0.25">
      <c r="Q199" s="1777"/>
    </row>
    <row r="200" spans="17:17" x14ac:dyDescent="0.25">
      <c r="Q200" s="1777"/>
    </row>
    <row r="201" spans="17:17" x14ac:dyDescent="0.25">
      <c r="Q201" s="1777"/>
    </row>
    <row r="202" spans="17:17" x14ac:dyDescent="0.25">
      <c r="Q202" s="1777"/>
    </row>
    <row r="203" spans="17:17" x14ac:dyDescent="0.25">
      <c r="Q203" s="1777"/>
    </row>
    <row r="204" spans="17:17" x14ac:dyDescent="0.25">
      <c r="Q204" s="1777"/>
    </row>
    <row r="205" spans="17:17" x14ac:dyDescent="0.25">
      <c r="Q205" s="1777"/>
    </row>
    <row r="206" spans="17:17" x14ac:dyDescent="0.25">
      <c r="Q206" s="1777"/>
    </row>
    <row r="207" spans="17:17" x14ac:dyDescent="0.25">
      <c r="Q207" s="1777"/>
    </row>
    <row r="208" spans="17:17" x14ac:dyDescent="0.25">
      <c r="Q208" s="1777"/>
    </row>
    <row r="209" spans="17:17" x14ac:dyDescent="0.25">
      <c r="Q209" s="1777"/>
    </row>
    <row r="210" spans="17:17" x14ac:dyDescent="0.25">
      <c r="Q210" s="1777"/>
    </row>
    <row r="211" spans="17:17" x14ac:dyDescent="0.25">
      <c r="Q211" s="1777"/>
    </row>
    <row r="212" spans="17:17" x14ac:dyDescent="0.25">
      <c r="Q212" s="1777"/>
    </row>
    <row r="213" spans="17:17" x14ac:dyDescent="0.25">
      <c r="Q213" s="1777"/>
    </row>
    <row r="214" spans="17:17" x14ac:dyDescent="0.25">
      <c r="Q214" s="1777"/>
    </row>
    <row r="215" spans="17:17" x14ac:dyDescent="0.25">
      <c r="Q215" s="1777"/>
    </row>
    <row r="216" spans="17:17" x14ac:dyDescent="0.25">
      <c r="Q216" s="1777"/>
    </row>
    <row r="217" spans="17:17" x14ac:dyDescent="0.25">
      <c r="Q217" s="1777"/>
    </row>
    <row r="218" spans="17:17" x14ac:dyDescent="0.25">
      <c r="Q218" s="1777"/>
    </row>
    <row r="219" spans="17:17" x14ac:dyDescent="0.25">
      <c r="Q219" s="1777"/>
    </row>
    <row r="220" spans="17:17" x14ac:dyDescent="0.25">
      <c r="Q220" s="1777"/>
    </row>
    <row r="221" spans="17:17" x14ac:dyDescent="0.25">
      <c r="Q221" s="1777"/>
    </row>
    <row r="222" spans="17:17" x14ac:dyDescent="0.25">
      <c r="Q222" s="1777"/>
    </row>
    <row r="223" spans="17:17" x14ac:dyDescent="0.25">
      <c r="Q223" s="1777"/>
    </row>
    <row r="224" spans="17:17" x14ac:dyDescent="0.25">
      <c r="Q224" s="1777"/>
    </row>
    <row r="225" spans="17:17" x14ac:dyDescent="0.25">
      <c r="Q225" s="1777"/>
    </row>
    <row r="226" spans="17:17" x14ac:dyDescent="0.25">
      <c r="Q226" s="1777"/>
    </row>
    <row r="227" spans="17:17" x14ac:dyDescent="0.25">
      <c r="Q227" s="1777"/>
    </row>
    <row r="228" spans="17:17" x14ac:dyDescent="0.25">
      <c r="Q228" s="1777"/>
    </row>
    <row r="229" spans="17:17" x14ac:dyDescent="0.25">
      <c r="Q229" s="1777"/>
    </row>
    <row r="230" spans="17:17" x14ac:dyDescent="0.25">
      <c r="Q230" s="1777"/>
    </row>
    <row r="231" spans="17:17" x14ac:dyDescent="0.25">
      <c r="Q231" s="1777"/>
    </row>
    <row r="232" spans="17:17" x14ac:dyDescent="0.25">
      <c r="Q232" s="1777"/>
    </row>
    <row r="233" spans="17:17" x14ac:dyDescent="0.25">
      <c r="Q233" s="1777"/>
    </row>
    <row r="234" spans="17:17" x14ac:dyDescent="0.25">
      <c r="Q234" s="1777"/>
    </row>
    <row r="235" spans="17:17" x14ac:dyDescent="0.25">
      <c r="Q235" s="1777"/>
    </row>
    <row r="236" spans="17:17" x14ac:dyDescent="0.25">
      <c r="Q236" s="1777"/>
    </row>
    <row r="237" spans="17:17" x14ac:dyDescent="0.25">
      <c r="Q237" s="1777"/>
    </row>
    <row r="238" spans="17:17" x14ac:dyDescent="0.25">
      <c r="Q238" s="1777"/>
    </row>
    <row r="239" spans="17:17" x14ac:dyDescent="0.25">
      <c r="Q239" s="1777"/>
    </row>
    <row r="240" spans="17:17" x14ac:dyDescent="0.25">
      <c r="Q240" s="1777"/>
    </row>
    <row r="241" spans="17:17" x14ac:dyDescent="0.25">
      <c r="Q241" s="1777"/>
    </row>
    <row r="242" spans="17:17" x14ac:dyDescent="0.25">
      <c r="Q242" s="1777"/>
    </row>
    <row r="243" spans="17:17" x14ac:dyDescent="0.25">
      <c r="Q243" s="1777"/>
    </row>
    <row r="244" spans="17:17" x14ac:dyDescent="0.25">
      <c r="Q244" s="1777"/>
    </row>
    <row r="245" spans="17:17" x14ac:dyDescent="0.25">
      <c r="Q245" s="1777"/>
    </row>
    <row r="246" spans="17:17" x14ac:dyDescent="0.25">
      <c r="Q246" s="1777"/>
    </row>
    <row r="247" spans="17:17" x14ac:dyDescent="0.25">
      <c r="Q247" s="1777"/>
    </row>
    <row r="248" spans="17:17" x14ac:dyDescent="0.25">
      <c r="Q248" s="1777"/>
    </row>
    <row r="249" spans="17:17" x14ac:dyDescent="0.25">
      <c r="Q249" s="1777"/>
    </row>
    <row r="250" spans="17:17" x14ac:dyDescent="0.25">
      <c r="Q250" s="1777"/>
    </row>
    <row r="251" spans="17:17" x14ac:dyDescent="0.25">
      <c r="Q251" s="1777"/>
    </row>
    <row r="252" spans="17:17" x14ac:dyDescent="0.25">
      <c r="Q252" s="1777"/>
    </row>
    <row r="253" spans="17:17" x14ac:dyDescent="0.25">
      <c r="Q253" s="1777"/>
    </row>
    <row r="254" spans="17:17" x14ac:dyDescent="0.25">
      <c r="Q254" s="1777"/>
    </row>
    <row r="255" spans="17:17" x14ac:dyDescent="0.25">
      <c r="Q255" s="1777"/>
    </row>
    <row r="256" spans="17:17" x14ac:dyDescent="0.25">
      <c r="Q256" s="1777"/>
    </row>
    <row r="257" spans="17:17" x14ac:dyDescent="0.25">
      <c r="Q257" s="1777"/>
    </row>
    <row r="258" spans="17:17" x14ac:dyDescent="0.25">
      <c r="Q258" s="1777"/>
    </row>
    <row r="259" spans="17:17" x14ac:dyDescent="0.25">
      <c r="Q259" s="1777"/>
    </row>
    <row r="260" spans="17:17" x14ac:dyDescent="0.25">
      <c r="Q260" s="1777"/>
    </row>
    <row r="261" spans="17:17" x14ac:dyDescent="0.25">
      <c r="Q261" s="1777"/>
    </row>
    <row r="262" spans="17:17" x14ac:dyDescent="0.25">
      <c r="Q262" s="1777"/>
    </row>
    <row r="263" spans="17:17" x14ac:dyDescent="0.25">
      <c r="Q263" s="1777"/>
    </row>
    <row r="264" spans="17:17" x14ac:dyDescent="0.25">
      <c r="Q264" s="1777"/>
    </row>
    <row r="265" spans="17:17" x14ac:dyDescent="0.25">
      <c r="Q265" s="1777"/>
    </row>
    <row r="266" spans="17:17" x14ac:dyDescent="0.25">
      <c r="Q266" s="1777"/>
    </row>
    <row r="267" spans="17:17" x14ac:dyDescent="0.25">
      <c r="Q267" s="1777"/>
    </row>
    <row r="268" spans="17:17" x14ac:dyDescent="0.25">
      <c r="Q268" s="1777"/>
    </row>
    <row r="269" spans="17:17" x14ac:dyDescent="0.25">
      <c r="Q269" s="1777"/>
    </row>
    <row r="270" spans="17:17" x14ac:dyDescent="0.25">
      <c r="Q270" s="1777"/>
    </row>
    <row r="271" spans="17:17" x14ac:dyDescent="0.25">
      <c r="Q271" s="1777"/>
    </row>
    <row r="272" spans="17:17" x14ac:dyDescent="0.25">
      <c r="Q272" s="1777"/>
    </row>
    <row r="273" spans="17:17" x14ac:dyDescent="0.25">
      <c r="Q273" s="1777"/>
    </row>
    <row r="274" spans="17:17" x14ac:dyDescent="0.25">
      <c r="Q274" s="1777"/>
    </row>
    <row r="275" spans="17:17" x14ac:dyDescent="0.25">
      <c r="Q275" s="1777"/>
    </row>
    <row r="276" spans="17:17" x14ac:dyDescent="0.25">
      <c r="Q276" s="1777"/>
    </row>
    <row r="277" spans="17:17" x14ac:dyDescent="0.25">
      <c r="Q277" s="1777"/>
    </row>
    <row r="278" spans="17:17" x14ac:dyDescent="0.25">
      <c r="Q278" s="1777"/>
    </row>
    <row r="279" spans="17:17" x14ac:dyDescent="0.25">
      <c r="Q279" s="1777"/>
    </row>
    <row r="280" spans="17:17" x14ac:dyDescent="0.25">
      <c r="Q280" s="1777"/>
    </row>
    <row r="281" spans="17:17" x14ac:dyDescent="0.25">
      <c r="Q281" s="1777"/>
    </row>
    <row r="282" spans="17:17" x14ac:dyDescent="0.25">
      <c r="Q282" s="1777"/>
    </row>
    <row r="283" spans="17:17" x14ac:dyDescent="0.25">
      <c r="Q283" s="1777"/>
    </row>
    <row r="284" spans="17:17" x14ac:dyDescent="0.25">
      <c r="Q284" s="1777"/>
    </row>
    <row r="285" spans="17:17" x14ac:dyDescent="0.25">
      <c r="Q285" s="1777"/>
    </row>
    <row r="286" spans="17:17" x14ac:dyDescent="0.25">
      <c r="Q286" s="1777"/>
    </row>
    <row r="287" spans="17:17" x14ac:dyDescent="0.25">
      <c r="Q287" s="1777"/>
    </row>
    <row r="288" spans="17:17" x14ac:dyDescent="0.25">
      <c r="Q288" s="1777"/>
    </row>
    <row r="289" spans="17:17" x14ac:dyDescent="0.25">
      <c r="Q289" s="1777"/>
    </row>
    <row r="290" spans="17:17" x14ac:dyDescent="0.25">
      <c r="Q290" s="1777"/>
    </row>
    <row r="291" spans="17:17" x14ac:dyDescent="0.25">
      <c r="Q291" s="1777"/>
    </row>
    <row r="292" spans="17:17" x14ac:dyDescent="0.25">
      <c r="Q292" s="1777"/>
    </row>
    <row r="293" spans="17:17" x14ac:dyDescent="0.25">
      <c r="Q293" s="1777"/>
    </row>
    <row r="294" spans="17:17" x14ac:dyDescent="0.25">
      <c r="Q294" s="1777"/>
    </row>
    <row r="295" spans="17:17" x14ac:dyDescent="0.25">
      <c r="Q295" s="1777"/>
    </row>
    <row r="296" spans="17:17" x14ac:dyDescent="0.25">
      <c r="Q296" s="1777"/>
    </row>
    <row r="297" spans="17:17" x14ac:dyDescent="0.25">
      <c r="Q297" s="1777"/>
    </row>
    <row r="298" spans="17:17" x14ac:dyDescent="0.25">
      <c r="Q298" s="1777"/>
    </row>
    <row r="299" spans="17:17" x14ac:dyDescent="0.25">
      <c r="Q299" s="1777"/>
    </row>
    <row r="300" spans="17:17" x14ac:dyDescent="0.25">
      <c r="Q300" s="1777"/>
    </row>
    <row r="301" spans="17:17" x14ac:dyDescent="0.25">
      <c r="Q301" s="1777"/>
    </row>
    <row r="302" spans="17:17" x14ac:dyDescent="0.25">
      <c r="Q302" s="1777"/>
    </row>
    <row r="303" spans="17:17" x14ac:dyDescent="0.25">
      <c r="Q303" s="1777"/>
    </row>
    <row r="304" spans="17:17" x14ac:dyDescent="0.25">
      <c r="Q304" s="1777"/>
    </row>
    <row r="305" spans="17:17" x14ac:dyDescent="0.25">
      <c r="Q305" s="1777"/>
    </row>
    <row r="306" spans="17:17" x14ac:dyDescent="0.25">
      <c r="Q306" s="1777"/>
    </row>
    <row r="307" spans="17:17" x14ac:dyDescent="0.25">
      <c r="Q307" s="1777"/>
    </row>
    <row r="308" spans="17:17" x14ac:dyDescent="0.25">
      <c r="Q308" s="1777"/>
    </row>
    <row r="309" spans="17:17" x14ac:dyDescent="0.25">
      <c r="Q309" s="1777"/>
    </row>
    <row r="310" spans="17:17" x14ac:dyDescent="0.25">
      <c r="Q310" s="1777"/>
    </row>
    <row r="311" spans="17:17" x14ac:dyDescent="0.25">
      <c r="Q311" s="1777"/>
    </row>
    <row r="312" spans="17:17" x14ac:dyDescent="0.25">
      <c r="Q312" s="1777"/>
    </row>
    <row r="313" spans="17:17" x14ac:dyDescent="0.25">
      <c r="Q313" s="1777"/>
    </row>
    <row r="314" spans="17:17" x14ac:dyDescent="0.25">
      <c r="Q314" s="1777"/>
    </row>
    <row r="315" spans="17:17" x14ac:dyDescent="0.25">
      <c r="Q315" s="1777"/>
    </row>
    <row r="316" spans="17:17" x14ac:dyDescent="0.25">
      <c r="Q316" s="1777"/>
    </row>
    <row r="317" spans="17:17" x14ac:dyDescent="0.25">
      <c r="Q317" s="1777"/>
    </row>
    <row r="318" spans="17:17" x14ac:dyDescent="0.25">
      <c r="Q318" s="1777"/>
    </row>
    <row r="319" spans="17:17" x14ac:dyDescent="0.25">
      <c r="Q319" s="1777"/>
    </row>
    <row r="320" spans="17:17" x14ac:dyDescent="0.25">
      <c r="Q320" s="1777"/>
    </row>
    <row r="321" spans="17:17" x14ac:dyDescent="0.25">
      <c r="Q321" s="1777"/>
    </row>
    <row r="322" spans="17:17" x14ac:dyDescent="0.25">
      <c r="Q322" s="1777"/>
    </row>
    <row r="323" spans="17:17" x14ac:dyDescent="0.25">
      <c r="Q323" s="1777"/>
    </row>
    <row r="324" spans="17:17" x14ac:dyDescent="0.25">
      <c r="Q324" s="1777"/>
    </row>
    <row r="325" spans="17:17" x14ac:dyDescent="0.25">
      <c r="Q325" s="1777"/>
    </row>
    <row r="326" spans="17:17" x14ac:dyDescent="0.25">
      <c r="Q326" s="1777"/>
    </row>
    <row r="327" spans="17:17" x14ac:dyDescent="0.25">
      <c r="Q327" s="1777"/>
    </row>
    <row r="328" spans="17:17" x14ac:dyDescent="0.25">
      <c r="Q328" s="1777"/>
    </row>
    <row r="329" spans="17:17" x14ac:dyDescent="0.25">
      <c r="Q329" s="1777"/>
    </row>
    <row r="330" spans="17:17" x14ac:dyDescent="0.25">
      <c r="Q330" s="1777"/>
    </row>
    <row r="331" spans="17:17" x14ac:dyDescent="0.25">
      <c r="Q331" s="1777"/>
    </row>
    <row r="332" spans="17:17" x14ac:dyDescent="0.25">
      <c r="Q332" s="1777"/>
    </row>
    <row r="333" spans="17:17" x14ac:dyDescent="0.25">
      <c r="Q333" s="1777"/>
    </row>
    <row r="334" spans="17:17" x14ac:dyDescent="0.25">
      <c r="Q334" s="1777"/>
    </row>
    <row r="335" spans="17:17" x14ac:dyDescent="0.25">
      <c r="Q335" s="1777"/>
    </row>
    <row r="336" spans="17:17" x14ac:dyDescent="0.25">
      <c r="Q336" s="1777"/>
    </row>
    <row r="337" spans="17:17" x14ac:dyDescent="0.25">
      <c r="Q337" s="1777"/>
    </row>
    <row r="338" spans="17:17" x14ac:dyDescent="0.25">
      <c r="Q338" s="1777"/>
    </row>
    <row r="339" spans="17:17" x14ac:dyDescent="0.25">
      <c r="Q339" s="1777"/>
    </row>
    <row r="340" spans="17:17" x14ac:dyDescent="0.25">
      <c r="Q340" s="1777"/>
    </row>
    <row r="341" spans="17:17" x14ac:dyDescent="0.25">
      <c r="Q341" s="1777"/>
    </row>
    <row r="342" spans="17:17" x14ac:dyDescent="0.25">
      <c r="Q342" s="1777"/>
    </row>
    <row r="343" spans="17:17" x14ac:dyDescent="0.25">
      <c r="Q343" s="1777"/>
    </row>
    <row r="344" spans="17:17" x14ac:dyDescent="0.25">
      <c r="Q344" s="1777"/>
    </row>
    <row r="345" spans="17:17" x14ac:dyDescent="0.25">
      <c r="Q345" s="1777"/>
    </row>
    <row r="346" spans="17:17" x14ac:dyDescent="0.25">
      <c r="Q346" s="1777"/>
    </row>
    <row r="347" spans="17:17" x14ac:dyDescent="0.25">
      <c r="Q347" s="1777"/>
    </row>
    <row r="348" spans="17:17" x14ac:dyDescent="0.25">
      <c r="Q348" s="1777"/>
    </row>
    <row r="349" spans="17:17" x14ac:dyDescent="0.25">
      <c r="Q349" s="1777"/>
    </row>
    <row r="350" spans="17:17" x14ac:dyDescent="0.25">
      <c r="Q350" s="1777"/>
    </row>
    <row r="351" spans="17:17" x14ac:dyDescent="0.25">
      <c r="Q351" s="1777"/>
    </row>
    <row r="352" spans="17:17" x14ac:dyDescent="0.25">
      <c r="Q352" s="1777"/>
    </row>
    <row r="353" spans="17:17" x14ac:dyDescent="0.25">
      <c r="Q353" s="1777"/>
    </row>
    <row r="354" spans="17:17" x14ac:dyDescent="0.25">
      <c r="Q354" s="1777"/>
    </row>
    <row r="355" spans="17:17" x14ac:dyDescent="0.25">
      <c r="Q355" s="1777"/>
    </row>
    <row r="356" spans="17:17" x14ac:dyDescent="0.25">
      <c r="Q356" s="1777"/>
    </row>
    <row r="357" spans="17:17" x14ac:dyDescent="0.25">
      <c r="Q357" s="1777"/>
    </row>
    <row r="358" spans="17:17" x14ac:dyDescent="0.25">
      <c r="Q358" s="1777"/>
    </row>
    <row r="359" spans="17:17" x14ac:dyDescent="0.25">
      <c r="Q359" s="1777"/>
    </row>
    <row r="360" spans="17:17" x14ac:dyDescent="0.25">
      <c r="Q360" s="1777"/>
    </row>
    <row r="361" spans="17:17" x14ac:dyDescent="0.25">
      <c r="Q361" s="1777"/>
    </row>
    <row r="362" spans="17:17" x14ac:dyDescent="0.25">
      <c r="Q362" s="1777"/>
    </row>
    <row r="363" spans="17:17" x14ac:dyDescent="0.25">
      <c r="Q363" s="1777"/>
    </row>
    <row r="364" spans="17:17" x14ac:dyDescent="0.25">
      <c r="Q364" s="1777"/>
    </row>
    <row r="365" spans="17:17" x14ac:dyDescent="0.25">
      <c r="Q365" s="1777"/>
    </row>
    <row r="366" spans="17:17" x14ac:dyDescent="0.25">
      <c r="Q366" s="1777"/>
    </row>
    <row r="367" spans="17:17" x14ac:dyDescent="0.25">
      <c r="Q367" s="1777"/>
    </row>
    <row r="368" spans="17:17" x14ac:dyDescent="0.25">
      <c r="Q368" s="1777"/>
    </row>
    <row r="369" spans="17:17" x14ac:dyDescent="0.25">
      <c r="Q369" s="1777"/>
    </row>
    <row r="370" spans="17:17" x14ac:dyDescent="0.25">
      <c r="Q370" s="1777"/>
    </row>
    <row r="371" spans="17:17" x14ac:dyDescent="0.25">
      <c r="Q371" s="1777"/>
    </row>
    <row r="372" spans="17:17" x14ac:dyDescent="0.25">
      <c r="Q372" s="1777"/>
    </row>
    <row r="373" spans="17:17" x14ac:dyDescent="0.25">
      <c r="Q373" s="1777"/>
    </row>
    <row r="374" spans="17:17" x14ac:dyDescent="0.25">
      <c r="Q374" s="1777"/>
    </row>
    <row r="375" spans="17:17" x14ac:dyDescent="0.25">
      <c r="Q375" s="1777"/>
    </row>
    <row r="376" spans="17:17" x14ac:dyDescent="0.25">
      <c r="Q376" s="1777"/>
    </row>
    <row r="377" spans="17:17" x14ac:dyDescent="0.25">
      <c r="Q377" s="1777"/>
    </row>
    <row r="378" spans="17:17" x14ac:dyDescent="0.25">
      <c r="Q378" s="1777"/>
    </row>
    <row r="379" spans="17:17" x14ac:dyDescent="0.25">
      <c r="Q379" s="1777"/>
    </row>
    <row r="380" spans="17:17" x14ac:dyDescent="0.25">
      <c r="Q380" s="1777"/>
    </row>
    <row r="381" spans="17:17" x14ac:dyDescent="0.25">
      <c r="Q381" s="1777"/>
    </row>
    <row r="382" spans="17:17" x14ac:dyDescent="0.25">
      <c r="Q382" s="1777"/>
    </row>
    <row r="383" spans="17:17" x14ac:dyDescent="0.25">
      <c r="Q383" s="1777"/>
    </row>
    <row r="384" spans="17:17" x14ac:dyDescent="0.25">
      <c r="Q384" s="1777"/>
    </row>
    <row r="385" spans="17:17" x14ac:dyDescent="0.25">
      <c r="Q385" s="1777"/>
    </row>
    <row r="386" spans="17:17" x14ac:dyDescent="0.25">
      <c r="Q386" s="1777"/>
    </row>
    <row r="387" spans="17:17" x14ac:dyDescent="0.25">
      <c r="Q387" s="1777"/>
    </row>
    <row r="388" spans="17:17" x14ac:dyDescent="0.25">
      <c r="Q388" s="1777"/>
    </row>
    <row r="389" spans="17:17" x14ac:dyDescent="0.25">
      <c r="Q389" s="1777"/>
    </row>
    <row r="390" spans="17:17" x14ac:dyDescent="0.25">
      <c r="Q390" s="1777"/>
    </row>
    <row r="391" spans="17:17" x14ac:dyDescent="0.25">
      <c r="Q391" s="1777"/>
    </row>
    <row r="392" spans="17:17" x14ac:dyDescent="0.25">
      <c r="Q392" s="1777"/>
    </row>
    <row r="393" spans="17:17" x14ac:dyDescent="0.25">
      <c r="Q393" s="1777"/>
    </row>
    <row r="394" spans="17:17" x14ac:dyDescent="0.25">
      <c r="Q394" s="1777"/>
    </row>
    <row r="395" spans="17:17" x14ac:dyDescent="0.25">
      <c r="Q395" s="1777"/>
    </row>
    <row r="396" spans="17:17" x14ac:dyDescent="0.25">
      <c r="Q396" s="1777"/>
    </row>
    <row r="397" spans="17:17" x14ac:dyDescent="0.25">
      <c r="Q397" s="1777"/>
    </row>
    <row r="398" spans="17:17" x14ac:dyDescent="0.25">
      <c r="Q398" s="1777"/>
    </row>
    <row r="399" spans="17:17" x14ac:dyDescent="0.25">
      <c r="Q399" s="1777"/>
    </row>
    <row r="400" spans="17:17" x14ac:dyDescent="0.25">
      <c r="Q400" s="1777"/>
    </row>
    <row r="401" spans="17:17" x14ac:dyDescent="0.25">
      <c r="Q401" s="1777"/>
    </row>
    <row r="402" spans="17:17" x14ac:dyDescent="0.25">
      <c r="Q402" s="1777"/>
    </row>
    <row r="403" spans="17:17" x14ac:dyDescent="0.25">
      <c r="Q403" s="1777"/>
    </row>
    <row r="404" spans="17:17" x14ac:dyDescent="0.25">
      <c r="Q404" s="1777"/>
    </row>
    <row r="405" spans="17:17" x14ac:dyDescent="0.25">
      <c r="Q405" s="1777"/>
    </row>
    <row r="406" spans="17:17" x14ac:dyDescent="0.25">
      <c r="Q406" s="1777"/>
    </row>
    <row r="407" spans="17:17" x14ac:dyDescent="0.25">
      <c r="Q407" s="1777"/>
    </row>
    <row r="408" spans="17:17" x14ac:dyDescent="0.25">
      <c r="Q408" s="1777"/>
    </row>
    <row r="409" spans="17:17" x14ac:dyDescent="0.25">
      <c r="Q409" s="1777"/>
    </row>
    <row r="410" spans="17:17" x14ac:dyDescent="0.25">
      <c r="Q410" s="1777"/>
    </row>
    <row r="411" spans="17:17" x14ac:dyDescent="0.25">
      <c r="Q411" s="1777"/>
    </row>
    <row r="412" spans="17:17" x14ac:dyDescent="0.25">
      <c r="Q412" s="1777"/>
    </row>
    <row r="413" spans="17:17" x14ac:dyDescent="0.25">
      <c r="Q413" s="1777"/>
    </row>
    <row r="414" spans="17:17" x14ac:dyDescent="0.25">
      <c r="Q414" s="1777"/>
    </row>
    <row r="415" spans="17:17" x14ac:dyDescent="0.25">
      <c r="Q415" s="1777"/>
    </row>
    <row r="416" spans="17:17" x14ac:dyDescent="0.25">
      <c r="Q416" s="1777"/>
    </row>
    <row r="417" spans="17:17" x14ac:dyDescent="0.25">
      <c r="Q417" s="1777"/>
    </row>
    <row r="418" spans="17:17" x14ac:dyDescent="0.25">
      <c r="Q418" s="1777"/>
    </row>
    <row r="419" spans="17:17" x14ac:dyDescent="0.25">
      <c r="Q419" s="1777"/>
    </row>
    <row r="420" spans="17:17" x14ac:dyDescent="0.25">
      <c r="Q420" s="1777"/>
    </row>
    <row r="421" spans="17:17" x14ac:dyDescent="0.25">
      <c r="Q421" s="1777"/>
    </row>
    <row r="422" spans="17:17" x14ac:dyDescent="0.25">
      <c r="Q422" s="1777"/>
    </row>
    <row r="423" spans="17:17" x14ac:dyDescent="0.25">
      <c r="Q423" s="1777"/>
    </row>
    <row r="424" spans="17:17" x14ac:dyDescent="0.25">
      <c r="Q424" s="1777"/>
    </row>
    <row r="425" spans="17:17" x14ac:dyDescent="0.25">
      <c r="Q425" s="1777"/>
    </row>
    <row r="426" spans="17:17" x14ac:dyDescent="0.25">
      <c r="Q426" s="1777"/>
    </row>
    <row r="427" spans="17:17" x14ac:dyDescent="0.25">
      <c r="Q427" s="1777"/>
    </row>
    <row r="428" spans="17:17" x14ac:dyDescent="0.25">
      <c r="Q428" s="1777"/>
    </row>
    <row r="429" spans="17:17" x14ac:dyDescent="0.25">
      <c r="Q429" s="1777"/>
    </row>
    <row r="430" spans="17:17" x14ac:dyDescent="0.25">
      <c r="Q430" s="1777"/>
    </row>
    <row r="431" spans="17:17" x14ac:dyDescent="0.25">
      <c r="Q431" s="1777"/>
    </row>
    <row r="432" spans="17:17" x14ac:dyDescent="0.25">
      <c r="Q432" s="1777"/>
    </row>
    <row r="433" spans="17:17" x14ac:dyDescent="0.25">
      <c r="Q433" s="1777"/>
    </row>
    <row r="434" spans="17:17" x14ac:dyDescent="0.25">
      <c r="Q434" s="1777"/>
    </row>
    <row r="435" spans="17:17" x14ac:dyDescent="0.25">
      <c r="Q435" s="1777"/>
    </row>
    <row r="436" spans="17:17" x14ac:dyDescent="0.25">
      <c r="Q436" s="1777"/>
    </row>
    <row r="437" spans="17:17" x14ac:dyDescent="0.25">
      <c r="Q437" s="1777"/>
    </row>
    <row r="438" spans="17:17" x14ac:dyDescent="0.25">
      <c r="Q438" s="1777"/>
    </row>
    <row r="439" spans="17:17" x14ac:dyDescent="0.25">
      <c r="Q439" s="1777"/>
    </row>
    <row r="440" spans="17:17" x14ac:dyDescent="0.25">
      <c r="Q440" s="1777"/>
    </row>
    <row r="441" spans="17:17" x14ac:dyDescent="0.25">
      <c r="Q441" s="1777"/>
    </row>
    <row r="442" spans="17:17" x14ac:dyDescent="0.25">
      <c r="Q442" s="1777"/>
    </row>
    <row r="443" spans="17:17" x14ac:dyDescent="0.25">
      <c r="Q443" s="1777"/>
    </row>
    <row r="444" spans="17:17" x14ac:dyDescent="0.25">
      <c r="Q444" s="1777"/>
    </row>
    <row r="445" spans="17:17" x14ac:dyDescent="0.25">
      <c r="Q445" s="1777"/>
    </row>
    <row r="446" spans="17:17" x14ac:dyDescent="0.25">
      <c r="Q446" s="1777"/>
    </row>
    <row r="447" spans="17:17" x14ac:dyDescent="0.25">
      <c r="Q447" s="1777"/>
    </row>
    <row r="448" spans="17:17" x14ac:dyDescent="0.25">
      <c r="Q448" s="1777"/>
    </row>
    <row r="449" spans="17:17" x14ac:dyDescent="0.25">
      <c r="Q449" s="1777"/>
    </row>
    <row r="450" spans="17:17" x14ac:dyDescent="0.25">
      <c r="Q450" s="1777"/>
    </row>
    <row r="451" spans="17:17" x14ac:dyDescent="0.25">
      <c r="Q451" s="1777"/>
    </row>
    <row r="452" spans="17:17" x14ac:dyDescent="0.25">
      <c r="Q452" s="1777"/>
    </row>
    <row r="453" spans="17:17" x14ac:dyDescent="0.25">
      <c r="Q453" s="1777"/>
    </row>
    <row r="454" spans="17:17" x14ac:dyDescent="0.25">
      <c r="Q454" s="1777"/>
    </row>
    <row r="455" spans="17:17" x14ac:dyDescent="0.25">
      <c r="Q455" s="1777"/>
    </row>
    <row r="456" spans="17:17" x14ac:dyDescent="0.25">
      <c r="Q456" s="1777"/>
    </row>
    <row r="457" spans="17:17" x14ac:dyDescent="0.25">
      <c r="Q457" s="1777"/>
    </row>
    <row r="458" spans="17:17" x14ac:dyDescent="0.25">
      <c r="Q458" s="1777"/>
    </row>
    <row r="459" spans="17:17" x14ac:dyDescent="0.25">
      <c r="Q459" s="1777"/>
    </row>
    <row r="460" spans="17:17" x14ac:dyDescent="0.25">
      <c r="Q460" s="1777"/>
    </row>
    <row r="461" spans="17:17" x14ac:dyDescent="0.25">
      <c r="Q461" s="1777"/>
    </row>
    <row r="462" spans="17:17" x14ac:dyDescent="0.25">
      <c r="Q462" s="1777"/>
    </row>
    <row r="463" spans="17:17" x14ac:dyDescent="0.25">
      <c r="Q463" s="1777"/>
    </row>
    <row r="464" spans="17:17" x14ac:dyDescent="0.25">
      <c r="Q464" s="1777"/>
    </row>
    <row r="465" spans="17:17" x14ac:dyDescent="0.25">
      <c r="Q465" s="1777"/>
    </row>
    <row r="466" spans="17:17" x14ac:dyDescent="0.25">
      <c r="Q466" s="1777"/>
    </row>
    <row r="467" spans="17:17" x14ac:dyDescent="0.25">
      <c r="Q467" s="1777"/>
    </row>
    <row r="468" spans="17:17" x14ac:dyDescent="0.25">
      <c r="Q468" s="1777"/>
    </row>
    <row r="469" spans="17:17" x14ac:dyDescent="0.25">
      <c r="Q469" s="1777"/>
    </row>
    <row r="470" spans="17:17" x14ac:dyDescent="0.25">
      <c r="Q470" s="1777"/>
    </row>
    <row r="471" spans="17:17" x14ac:dyDescent="0.25">
      <c r="Q471" s="1777"/>
    </row>
    <row r="472" spans="17:17" x14ac:dyDescent="0.25">
      <c r="Q472" s="1777"/>
    </row>
    <row r="473" spans="17:17" x14ac:dyDescent="0.25">
      <c r="Q473" s="1777"/>
    </row>
    <row r="474" spans="17:17" x14ac:dyDescent="0.25">
      <c r="Q474" s="1777"/>
    </row>
    <row r="475" spans="17:17" x14ac:dyDescent="0.25">
      <c r="Q475" s="1777"/>
    </row>
    <row r="476" spans="17:17" x14ac:dyDescent="0.25">
      <c r="Q476" s="1777"/>
    </row>
    <row r="477" spans="17:17" x14ac:dyDescent="0.25">
      <c r="Q477" s="1777"/>
    </row>
    <row r="478" spans="17:17" x14ac:dyDescent="0.25">
      <c r="Q478" s="1777"/>
    </row>
    <row r="479" spans="17:17" x14ac:dyDescent="0.25">
      <c r="Q479" s="1777"/>
    </row>
    <row r="480" spans="17:17" x14ac:dyDescent="0.25">
      <c r="Q480" s="1777"/>
    </row>
    <row r="481" spans="17:17" x14ac:dyDescent="0.25">
      <c r="Q481" s="1777"/>
    </row>
    <row r="482" spans="17:17" x14ac:dyDescent="0.25">
      <c r="Q482" s="1777"/>
    </row>
    <row r="483" spans="17:17" x14ac:dyDescent="0.25">
      <c r="Q483" s="1777"/>
    </row>
    <row r="484" spans="17:17" x14ac:dyDescent="0.25">
      <c r="Q484" s="1777"/>
    </row>
    <row r="485" spans="17:17" x14ac:dyDescent="0.25">
      <c r="Q485" s="1777"/>
    </row>
    <row r="486" spans="17:17" x14ac:dyDescent="0.25">
      <c r="Q486" s="1777"/>
    </row>
    <row r="487" spans="17:17" x14ac:dyDescent="0.25">
      <c r="Q487" s="1777"/>
    </row>
    <row r="488" spans="17:17" x14ac:dyDescent="0.25">
      <c r="Q488" s="1777"/>
    </row>
    <row r="489" spans="17:17" x14ac:dyDescent="0.25">
      <c r="Q489" s="1777"/>
    </row>
    <row r="490" spans="17:17" x14ac:dyDescent="0.25">
      <c r="Q490" s="1777"/>
    </row>
    <row r="491" spans="17:17" x14ac:dyDescent="0.25">
      <c r="Q491" s="1777"/>
    </row>
    <row r="492" spans="17:17" x14ac:dyDescent="0.25">
      <c r="Q492" s="1777"/>
    </row>
    <row r="493" spans="17:17" x14ac:dyDescent="0.25">
      <c r="Q493" s="1777"/>
    </row>
    <row r="494" spans="17:17" x14ac:dyDescent="0.25">
      <c r="Q494" s="1777"/>
    </row>
    <row r="495" spans="17:17" x14ac:dyDescent="0.25">
      <c r="Q495" s="1777"/>
    </row>
    <row r="496" spans="17:17" x14ac:dyDescent="0.25">
      <c r="Q496" s="1777"/>
    </row>
    <row r="497" spans="17:17" x14ac:dyDescent="0.25">
      <c r="Q497" s="1777"/>
    </row>
    <row r="498" spans="17:17" x14ac:dyDescent="0.25">
      <c r="Q498" s="1777"/>
    </row>
    <row r="499" spans="17:17" x14ac:dyDescent="0.25">
      <c r="Q499" s="1777"/>
    </row>
    <row r="500" spans="17:17" x14ac:dyDescent="0.25">
      <c r="Q500" s="1777"/>
    </row>
    <row r="501" spans="17:17" x14ac:dyDescent="0.25">
      <c r="Q501" s="1777"/>
    </row>
    <row r="502" spans="17:17" x14ac:dyDescent="0.25">
      <c r="Q502" s="1777"/>
    </row>
    <row r="503" spans="17:17" x14ac:dyDescent="0.25">
      <c r="Q503" s="1777"/>
    </row>
    <row r="504" spans="17:17" x14ac:dyDescent="0.25">
      <c r="Q504" s="1777"/>
    </row>
    <row r="505" spans="17:17" x14ac:dyDescent="0.25">
      <c r="Q505" s="1777"/>
    </row>
    <row r="506" spans="17:17" x14ac:dyDescent="0.25">
      <c r="Q506" s="1777"/>
    </row>
    <row r="507" spans="17:17" x14ac:dyDescent="0.25">
      <c r="Q507" s="1777"/>
    </row>
    <row r="508" spans="17:17" x14ac:dyDescent="0.25">
      <c r="Q508" s="1777"/>
    </row>
    <row r="509" spans="17:17" x14ac:dyDescent="0.25">
      <c r="Q509" s="1777"/>
    </row>
    <row r="510" spans="17:17" x14ac:dyDescent="0.25">
      <c r="Q510" s="1777"/>
    </row>
    <row r="511" spans="17:17" x14ac:dyDescent="0.25">
      <c r="Q511" s="1777"/>
    </row>
    <row r="512" spans="17:17" x14ac:dyDescent="0.25">
      <c r="Q512" s="1777"/>
    </row>
    <row r="513" spans="17:17" x14ac:dyDescent="0.25">
      <c r="Q513" s="1777"/>
    </row>
    <row r="514" spans="17:17" x14ac:dyDescent="0.25">
      <c r="Q514" s="1777"/>
    </row>
    <row r="515" spans="17:17" x14ac:dyDescent="0.25">
      <c r="Q515" s="1777"/>
    </row>
    <row r="516" spans="17:17" x14ac:dyDescent="0.25">
      <c r="Q516" s="1777"/>
    </row>
    <row r="517" spans="17:17" x14ac:dyDescent="0.25">
      <c r="Q517" s="1777"/>
    </row>
    <row r="518" spans="17:17" x14ac:dyDescent="0.25">
      <c r="Q518" s="1777"/>
    </row>
    <row r="519" spans="17:17" x14ac:dyDescent="0.25">
      <c r="Q519" s="1777"/>
    </row>
    <row r="520" spans="17:17" x14ac:dyDescent="0.25">
      <c r="Q520" s="1777"/>
    </row>
    <row r="521" spans="17:17" x14ac:dyDescent="0.25">
      <c r="Q521" s="1777"/>
    </row>
    <row r="522" spans="17:17" x14ac:dyDescent="0.25">
      <c r="Q522" s="1777"/>
    </row>
    <row r="523" spans="17:17" x14ac:dyDescent="0.25">
      <c r="Q523" s="1777"/>
    </row>
    <row r="524" spans="17:17" x14ac:dyDescent="0.25">
      <c r="Q524" s="1777"/>
    </row>
    <row r="525" spans="17:17" x14ac:dyDescent="0.25">
      <c r="Q525" s="1777"/>
    </row>
    <row r="526" spans="17:17" x14ac:dyDescent="0.25">
      <c r="Q526" s="1777"/>
    </row>
    <row r="527" spans="17:17" x14ac:dyDescent="0.25">
      <c r="Q527" s="1777"/>
    </row>
    <row r="528" spans="17:17" x14ac:dyDescent="0.25">
      <c r="Q528" s="1777"/>
    </row>
    <row r="529" spans="17:17" x14ac:dyDescent="0.25">
      <c r="Q529" s="1777"/>
    </row>
    <row r="530" spans="17:17" x14ac:dyDescent="0.25">
      <c r="Q530" s="1777"/>
    </row>
    <row r="531" spans="17:17" x14ac:dyDescent="0.25">
      <c r="Q531" s="1777"/>
    </row>
    <row r="532" spans="17:17" x14ac:dyDescent="0.25">
      <c r="Q532" s="1777"/>
    </row>
    <row r="533" spans="17:17" x14ac:dyDescent="0.25">
      <c r="Q533" s="1777"/>
    </row>
    <row r="534" spans="17:17" x14ac:dyDescent="0.25">
      <c r="Q534" s="1777"/>
    </row>
    <row r="535" spans="17:17" x14ac:dyDescent="0.25">
      <c r="Q535" s="1777"/>
    </row>
    <row r="536" spans="17:17" x14ac:dyDescent="0.25">
      <c r="Q536" s="1777"/>
    </row>
    <row r="537" spans="17:17" x14ac:dyDescent="0.25">
      <c r="Q537" s="1777"/>
    </row>
    <row r="538" spans="17:17" x14ac:dyDescent="0.25">
      <c r="Q538" s="1777"/>
    </row>
    <row r="539" spans="17:17" x14ac:dyDescent="0.25">
      <c r="Q539" s="1777"/>
    </row>
    <row r="540" spans="17:17" x14ac:dyDescent="0.25">
      <c r="Q540" s="1777"/>
    </row>
    <row r="541" spans="17:17" x14ac:dyDescent="0.25">
      <c r="Q541" s="1777"/>
    </row>
    <row r="542" spans="17:17" x14ac:dyDescent="0.25">
      <c r="Q542" s="1777"/>
    </row>
    <row r="543" spans="17:17" x14ac:dyDescent="0.25">
      <c r="Q543" s="1777"/>
    </row>
    <row r="544" spans="17:17" x14ac:dyDescent="0.25">
      <c r="Q544" s="1777"/>
    </row>
    <row r="545" spans="17:17" x14ac:dyDescent="0.25">
      <c r="Q545" s="1777"/>
    </row>
    <row r="546" spans="17:17" x14ac:dyDescent="0.25">
      <c r="Q546" s="1777"/>
    </row>
    <row r="547" spans="17:17" x14ac:dyDescent="0.25">
      <c r="Q547" s="1777"/>
    </row>
    <row r="548" spans="17:17" x14ac:dyDescent="0.25">
      <c r="Q548" s="1777"/>
    </row>
    <row r="549" spans="17:17" x14ac:dyDescent="0.25">
      <c r="Q549" s="1777"/>
    </row>
    <row r="550" spans="17:17" x14ac:dyDescent="0.25">
      <c r="Q550" s="1777"/>
    </row>
    <row r="551" spans="17:17" x14ac:dyDescent="0.25">
      <c r="Q551" s="1777"/>
    </row>
    <row r="552" spans="17:17" x14ac:dyDescent="0.25">
      <c r="Q552" s="1777"/>
    </row>
    <row r="553" spans="17:17" x14ac:dyDescent="0.25">
      <c r="Q553" s="1777"/>
    </row>
    <row r="554" spans="17:17" x14ac:dyDescent="0.25">
      <c r="Q554" s="1777"/>
    </row>
    <row r="555" spans="17:17" x14ac:dyDescent="0.25">
      <c r="Q555" s="1777"/>
    </row>
    <row r="556" spans="17:17" x14ac:dyDescent="0.25">
      <c r="Q556" s="1777"/>
    </row>
    <row r="557" spans="17:17" x14ac:dyDescent="0.25">
      <c r="Q557" s="1777"/>
    </row>
    <row r="558" spans="17:17" x14ac:dyDescent="0.25">
      <c r="Q558" s="1777"/>
    </row>
    <row r="559" spans="17:17" x14ac:dyDescent="0.25">
      <c r="Q559" s="1777"/>
    </row>
    <row r="560" spans="17:17" x14ac:dyDescent="0.25">
      <c r="Q560" s="1777"/>
    </row>
    <row r="561" spans="17:17" x14ac:dyDescent="0.25">
      <c r="Q561" s="1777"/>
    </row>
    <row r="562" spans="17:17" x14ac:dyDescent="0.25">
      <c r="Q562" s="1777"/>
    </row>
    <row r="563" spans="17:17" x14ac:dyDescent="0.25">
      <c r="Q563" s="1777"/>
    </row>
    <row r="564" spans="17:17" x14ac:dyDescent="0.25">
      <c r="Q564" s="1777"/>
    </row>
    <row r="565" spans="17:17" x14ac:dyDescent="0.25">
      <c r="Q565" s="1777"/>
    </row>
    <row r="566" spans="17:17" x14ac:dyDescent="0.25">
      <c r="Q566" s="1777"/>
    </row>
    <row r="567" spans="17:17" x14ac:dyDescent="0.25">
      <c r="Q567" s="1777"/>
    </row>
    <row r="568" spans="17:17" x14ac:dyDescent="0.25">
      <c r="Q568" s="1777"/>
    </row>
    <row r="569" spans="17:17" x14ac:dyDescent="0.25">
      <c r="Q569" s="1777"/>
    </row>
    <row r="570" spans="17:17" x14ac:dyDescent="0.25">
      <c r="Q570" s="1777"/>
    </row>
    <row r="571" spans="17:17" x14ac:dyDescent="0.25">
      <c r="Q571" s="1777"/>
    </row>
    <row r="572" spans="17:17" x14ac:dyDescent="0.25">
      <c r="Q572" s="1777"/>
    </row>
    <row r="573" spans="17:17" x14ac:dyDescent="0.25">
      <c r="Q573" s="1777"/>
    </row>
    <row r="574" spans="17:17" x14ac:dyDescent="0.25">
      <c r="Q574" s="1777"/>
    </row>
    <row r="575" spans="17:17" x14ac:dyDescent="0.25">
      <c r="Q575" s="1777"/>
    </row>
    <row r="576" spans="17:17" x14ac:dyDescent="0.25">
      <c r="Q576" s="1777"/>
    </row>
    <row r="577" spans="17:17" x14ac:dyDescent="0.25">
      <c r="Q577" s="1777"/>
    </row>
    <row r="578" spans="17:17" x14ac:dyDescent="0.25">
      <c r="Q578" s="1777"/>
    </row>
    <row r="579" spans="17:17" x14ac:dyDescent="0.25">
      <c r="Q579" s="1777"/>
    </row>
    <row r="580" spans="17:17" x14ac:dyDescent="0.25">
      <c r="Q580" s="1777"/>
    </row>
    <row r="581" spans="17:17" x14ac:dyDescent="0.25">
      <c r="Q581" s="1777"/>
    </row>
    <row r="582" spans="17:17" x14ac:dyDescent="0.25">
      <c r="Q582" s="1777"/>
    </row>
    <row r="583" spans="17:17" x14ac:dyDescent="0.25">
      <c r="Q583" s="1777"/>
    </row>
    <row r="584" spans="17:17" x14ac:dyDescent="0.25">
      <c r="Q584" s="1777"/>
    </row>
    <row r="585" spans="17:17" x14ac:dyDescent="0.25">
      <c r="Q585" s="1777"/>
    </row>
    <row r="586" spans="17:17" x14ac:dyDescent="0.25">
      <c r="Q586" s="1777"/>
    </row>
    <row r="587" spans="17:17" x14ac:dyDescent="0.25">
      <c r="Q587" s="1777"/>
    </row>
    <row r="588" spans="17:17" x14ac:dyDescent="0.25">
      <c r="Q588" s="1777"/>
    </row>
    <row r="589" spans="17:17" x14ac:dyDescent="0.25">
      <c r="Q589" s="1777"/>
    </row>
    <row r="590" spans="17:17" x14ac:dyDescent="0.25">
      <c r="Q590" s="1777"/>
    </row>
    <row r="591" spans="17:17" x14ac:dyDescent="0.25">
      <c r="Q591" s="1777"/>
    </row>
    <row r="592" spans="17:17" x14ac:dyDescent="0.25">
      <c r="Q592" s="1777"/>
    </row>
    <row r="593" spans="17:17" x14ac:dyDescent="0.25">
      <c r="Q593" s="1777"/>
    </row>
    <row r="594" spans="17:17" x14ac:dyDescent="0.25">
      <c r="Q594" s="1777"/>
    </row>
    <row r="595" spans="17:17" x14ac:dyDescent="0.25">
      <c r="Q595" s="1777"/>
    </row>
    <row r="596" spans="17:17" x14ac:dyDescent="0.25">
      <c r="Q596" s="1777"/>
    </row>
    <row r="597" spans="17:17" x14ac:dyDescent="0.25">
      <c r="Q597" s="1777"/>
    </row>
    <row r="598" spans="17:17" x14ac:dyDescent="0.25">
      <c r="Q598" s="1777"/>
    </row>
    <row r="599" spans="17:17" x14ac:dyDescent="0.25">
      <c r="Q599" s="1777"/>
    </row>
    <row r="600" spans="17:17" x14ac:dyDescent="0.25">
      <c r="Q600" s="1777"/>
    </row>
    <row r="601" spans="17:17" x14ac:dyDescent="0.25">
      <c r="Q601" s="1777"/>
    </row>
    <row r="602" spans="17:17" x14ac:dyDescent="0.25">
      <c r="Q602" s="1777"/>
    </row>
    <row r="603" spans="17:17" x14ac:dyDescent="0.25">
      <c r="Q603" s="1777"/>
    </row>
    <row r="604" spans="17:17" x14ac:dyDescent="0.25">
      <c r="Q604" s="1777"/>
    </row>
    <row r="605" spans="17:17" x14ac:dyDescent="0.25">
      <c r="Q605" s="1777"/>
    </row>
    <row r="606" spans="17:17" x14ac:dyDescent="0.25">
      <c r="Q606" s="1777"/>
    </row>
    <row r="607" spans="17:17" x14ac:dyDescent="0.25">
      <c r="Q607" s="1777"/>
    </row>
    <row r="608" spans="17:17" x14ac:dyDescent="0.25">
      <c r="Q608" s="1777"/>
    </row>
    <row r="609" spans="17:17" x14ac:dyDescent="0.25">
      <c r="Q609" s="1777"/>
    </row>
    <row r="610" spans="17:17" x14ac:dyDescent="0.25">
      <c r="Q610" s="1777"/>
    </row>
    <row r="611" spans="17:17" x14ac:dyDescent="0.25">
      <c r="Q611" s="1777"/>
    </row>
    <row r="612" spans="17:17" x14ac:dyDescent="0.25">
      <c r="Q612" s="1777"/>
    </row>
    <row r="613" spans="17:17" x14ac:dyDescent="0.25">
      <c r="Q613" s="1777"/>
    </row>
    <row r="614" spans="17:17" x14ac:dyDescent="0.25">
      <c r="Q614" s="1777"/>
    </row>
    <row r="615" spans="17:17" x14ac:dyDescent="0.25">
      <c r="Q615" s="1777"/>
    </row>
    <row r="616" spans="17:17" x14ac:dyDescent="0.25">
      <c r="Q616" s="1777"/>
    </row>
    <row r="617" spans="17:17" x14ac:dyDescent="0.25">
      <c r="Q617" s="1777"/>
    </row>
    <row r="618" spans="17:17" x14ac:dyDescent="0.25">
      <c r="Q618" s="1777"/>
    </row>
    <row r="619" spans="17:17" x14ac:dyDescent="0.25">
      <c r="Q619" s="1777"/>
    </row>
    <row r="620" spans="17:17" x14ac:dyDescent="0.25">
      <c r="Q620" s="1777"/>
    </row>
    <row r="621" spans="17:17" x14ac:dyDescent="0.25">
      <c r="Q621" s="1777"/>
    </row>
    <row r="622" spans="17:17" x14ac:dyDescent="0.25">
      <c r="Q622" s="1777"/>
    </row>
    <row r="623" spans="17:17" x14ac:dyDescent="0.25">
      <c r="Q623" s="1777"/>
    </row>
    <row r="624" spans="17:17" x14ac:dyDescent="0.25">
      <c r="Q624" s="1777"/>
    </row>
    <row r="625" spans="17:17" x14ac:dyDescent="0.25">
      <c r="Q625" s="1777"/>
    </row>
    <row r="626" spans="17:17" x14ac:dyDescent="0.25">
      <c r="Q626" s="1777"/>
    </row>
    <row r="627" spans="17:17" x14ac:dyDescent="0.25">
      <c r="Q627" s="1777"/>
    </row>
    <row r="628" spans="17:17" x14ac:dyDescent="0.25">
      <c r="Q628" s="1777"/>
    </row>
    <row r="629" spans="17:17" x14ac:dyDescent="0.25">
      <c r="Q629" s="1777"/>
    </row>
    <row r="630" spans="17:17" x14ac:dyDescent="0.25">
      <c r="Q630" s="1777"/>
    </row>
    <row r="631" spans="17:17" x14ac:dyDescent="0.25">
      <c r="Q631" s="1777"/>
    </row>
    <row r="632" spans="17:17" x14ac:dyDescent="0.25">
      <c r="Q632" s="1777"/>
    </row>
    <row r="633" spans="17:17" x14ac:dyDescent="0.25">
      <c r="Q633" s="1777"/>
    </row>
    <row r="634" spans="17:17" x14ac:dyDescent="0.25">
      <c r="Q634" s="1777"/>
    </row>
    <row r="635" spans="17:17" x14ac:dyDescent="0.25">
      <c r="Q635" s="1777"/>
    </row>
    <row r="636" spans="17:17" x14ac:dyDescent="0.25">
      <c r="Q636" s="1777"/>
    </row>
    <row r="637" spans="17:17" x14ac:dyDescent="0.25">
      <c r="Q637" s="1777"/>
    </row>
    <row r="638" spans="17:17" x14ac:dyDescent="0.25">
      <c r="Q638" s="1777"/>
    </row>
    <row r="639" spans="17:17" x14ac:dyDescent="0.25">
      <c r="Q639" s="1777"/>
    </row>
    <row r="640" spans="17:17" x14ac:dyDescent="0.25">
      <c r="Q640" s="1777"/>
    </row>
    <row r="641" spans="17:17" x14ac:dyDescent="0.25">
      <c r="Q641" s="1777"/>
    </row>
    <row r="642" spans="17:17" x14ac:dyDescent="0.25">
      <c r="Q642" s="1777"/>
    </row>
    <row r="643" spans="17:17" x14ac:dyDescent="0.25">
      <c r="Q643" s="1777"/>
    </row>
    <row r="644" spans="17:17" x14ac:dyDescent="0.25">
      <c r="Q644" s="1777"/>
    </row>
    <row r="645" spans="17:17" x14ac:dyDescent="0.25">
      <c r="Q645" s="1777"/>
    </row>
    <row r="646" spans="17:17" x14ac:dyDescent="0.25">
      <c r="Q646" s="1777"/>
    </row>
    <row r="647" spans="17:17" x14ac:dyDescent="0.25">
      <c r="Q647" s="1777"/>
    </row>
    <row r="648" spans="17:17" x14ac:dyDescent="0.25">
      <c r="Q648" s="1777"/>
    </row>
    <row r="649" spans="17:17" x14ac:dyDescent="0.25">
      <c r="Q649" s="1777"/>
    </row>
    <row r="650" spans="17:17" x14ac:dyDescent="0.25">
      <c r="Q650" s="1777"/>
    </row>
    <row r="651" spans="17:17" x14ac:dyDescent="0.25">
      <c r="Q651" s="1777"/>
    </row>
    <row r="652" spans="17:17" x14ac:dyDescent="0.25">
      <c r="Q652" s="1777"/>
    </row>
    <row r="653" spans="17:17" x14ac:dyDescent="0.25">
      <c r="Q653" s="1777"/>
    </row>
    <row r="654" spans="17:17" x14ac:dyDescent="0.25">
      <c r="Q654" s="1777"/>
    </row>
    <row r="655" spans="17:17" x14ac:dyDescent="0.25">
      <c r="Q655" s="1777"/>
    </row>
    <row r="656" spans="17:17" x14ac:dyDescent="0.25">
      <c r="Q656" s="1777"/>
    </row>
    <row r="657" spans="17:17" x14ac:dyDescent="0.25">
      <c r="Q657" s="1777"/>
    </row>
    <row r="658" spans="17:17" x14ac:dyDescent="0.25">
      <c r="Q658" s="1777"/>
    </row>
    <row r="659" spans="17:17" x14ac:dyDescent="0.25">
      <c r="Q659" s="1777"/>
    </row>
    <row r="660" spans="17:17" x14ac:dyDescent="0.25">
      <c r="Q660" s="1777"/>
    </row>
    <row r="661" spans="17:17" x14ac:dyDescent="0.25">
      <c r="Q661" s="1777"/>
    </row>
    <row r="662" spans="17:17" x14ac:dyDescent="0.25">
      <c r="Q662" s="1777"/>
    </row>
    <row r="663" spans="17:17" x14ac:dyDescent="0.25">
      <c r="Q663" s="1777"/>
    </row>
    <row r="664" spans="17:17" x14ac:dyDescent="0.25">
      <c r="Q664" s="1777"/>
    </row>
    <row r="665" spans="17:17" x14ac:dyDescent="0.25">
      <c r="Q665" s="1777"/>
    </row>
    <row r="666" spans="17:17" x14ac:dyDescent="0.25">
      <c r="Q666" s="1777"/>
    </row>
    <row r="667" spans="17:17" x14ac:dyDescent="0.25">
      <c r="Q667" s="1777"/>
    </row>
    <row r="668" spans="17:17" x14ac:dyDescent="0.25">
      <c r="Q668" s="1777"/>
    </row>
    <row r="669" spans="17:17" x14ac:dyDescent="0.25">
      <c r="Q669" s="1777"/>
    </row>
    <row r="670" spans="17:17" x14ac:dyDescent="0.25">
      <c r="Q670" s="1777"/>
    </row>
    <row r="671" spans="17:17" x14ac:dyDescent="0.25">
      <c r="Q671" s="1777"/>
    </row>
    <row r="672" spans="17:17" x14ac:dyDescent="0.25">
      <c r="Q672" s="1777"/>
    </row>
    <row r="673" spans="17:17" x14ac:dyDescent="0.25">
      <c r="Q673" s="1777"/>
    </row>
    <row r="674" spans="17:17" x14ac:dyDescent="0.25">
      <c r="Q674" s="1777"/>
    </row>
    <row r="675" spans="17:17" x14ac:dyDescent="0.25">
      <c r="Q675" s="1777"/>
    </row>
    <row r="676" spans="17:17" x14ac:dyDescent="0.25">
      <c r="Q676" s="1777"/>
    </row>
    <row r="677" spans="17:17" x14ac:dyDescent="0.25">
      <c r="Q677" s="1777"/>
    </row>
    <row r="678" spans="17:17" x14ac:dyDescent="0.25">
      <c r="Q678" s="1777"/>
    </row>
    <row r="679" spans="17:17" x14ac:dyDescent="0.25">
      <c r="Q679" s="1777"/>
    </row>
    <row r="680" spans="17:17" x14ac:dyDescent="0.25">
      <c r="Q680" s="1777"/>
    </row>
    <row r="681" spans="17:17" x14ac:dyDescent="0.25">
      <c r="Q681" s="1777"/>
    </row>
    <row r="682" spans="17:17" x14ac:dyDescent="0.25">
      <c r="Q682" s="1777"/>
    </row>
    <row r="683" spans="17:17" x14ac:dyDescent="0.25">
      <c r="Q683" s="1777"/>
    </row>
    <row r="684" spans="17:17" x14ac:dyDescent="0.25">
      <c r="Q684" s="1777"/>
    </row>
    <row r="685" spans="17:17" x14ac:dyDescent="0.25">
      <c r="Q685" s="1777"/>
    </row>
    <row r="686" spans="17:17" x14ac:dyDescent="0.25">
      <c r="Q686" s="1777"/>
    </row>
    <row r="687" spans="17:17" x14ac:dyDescent="0.25">
      <c r="Q687" s="1777"/>
    </row>
    <row r="688" spans="17:17" x14ac:dyDescent="0.25">
      <c r="Q688" s="1777"/>
    </row>
    <row r="689" spans="17:17" x14ac:dyDescent="0.25">
      <c r="Q689" s="1777"/>
    </row>
    <row r="690" spans="17:17" x14ac:dyDescent="0.25">
      <c r="Q690" s="1777"/>
    </row>
    <row r="691" spans="17:17" x14ac:dyDescent="0.25">
      <c r="Q691" s="1777"/>
    </row>
    <row r="692" spans="17:17" x14ac:dyDescent="0.25">
      <c r="Q692" s="1777"/>
    </row>
    <row r="693" spans="17:17" x14ac:dyDescent="0.25">
      <c r="Q693" s="1777"/>
    </row>
    <row r="694" spans="17:17" x14ac:dyDescent="0.25">
      <c r="Q694" s="1777"/>
    </row>
    <row r="695" spans="17:17" x14ac:dyDescent="0.25">
      <c r="Q695" s="1777"/>
    </row>
    <row r="696" spans="17:17" x14ac:dyDescent="0.25">
      <c r="Q696" s="1777"/>
    </row>
    <row r="697" spans="17:17" x14ac:dyDescent="0.25">
      <c r="Q697" s="1777"/>
    </row>
    <row r="698" spans="17:17" x14ac:dyDescent="0.25">
      <c r="Q698" s="1777"/>
    </row>
    <row r="699" spans="17:17" x14ac:dyDescent="0.25">
      <c r="Q699" s="1777"/>
    </row>
    <row r="700" spans="17:17" x14ac:dyDescent="0.25">
      <c r="Q700" s="1777"/>
    </row>
    <row r="701" spans="17:17" x14ac:dyDescent="0.25">
      <c r="Q701" s="1777"/>
    </row>
    <row r="702" spans="17:17" x14ac:dyDescent="0.25">
      <c r="Q702" s="1777"/>
    </row>
    <row r="703" spans="17:17" x14ac:dyDescent="0.25">
      <c r="Q703" s="1777"/>
    </row>
    <row r="704" spans="17:17" x14ac:dyDescent="0.25">
      <c r="Q704" s="1777"/>
    </row>
    <row r="705" spans="17:17" x14ac:dyDescent="0.25">
      <c r="Q705" s="1777"/>
    </row>
    <row r="706" spans="17:17" x14ac:dyDescent="0.25">
      <c r="Q706" s="1777"/>
    </row>
    <row r="707" spans="17:17" x14ac:dyDescent="0.25">
      <c r="Q707" s="1777"/>
    </row>
    <row r="708" spans="17:17" x14ac:dyDescent="0.25">
      <c r="Q708" s="1777"/>
    </row>
    <row r="709" spans="17:17" x14ac:dyDescent="0.25">
      <c r="Q709" s="1777"/>
    </row>
    <row r="710" spans="17:17" x14ac:dyDescent="0.25">
      <c r="Q710" s="1777"/>
    </row>
    <row r="711" spans="17:17" x14ac:dyDescent="0.25">
      <c r="Q711" s="1777"/>
    </row>
    <row r="712" spans="17:17" x14ac:dyDescent="0.25">
      <c r="Q712" s="1777"/>
    </row>
    <row r="713" spans="17:17" x14ac:dyDescent="0.25">
      <c r="Q713" s="1777"/>
    </row>
    <row r="714" spans="17:17" x14ac:dyDescent="0.25">
      <c r="Q714" s="1777"/>
    </row>
    <row r="715" spans="17:17" x14ac:dyDescent="0.25">
      <c r="Q715" s="1777"/>
    </row>
    <row r="716" spans="17:17" x14ac:dyDescent="0.25">
      <c r="Q716" s="1777"/>
    </row>
    <row r="717" spans="17:17" x14ac:dyDescent="0.25">
      <c r="Q717" s="1777"/>
    </row>
    <row r="718" spans="17:17" x14ac:dyDescent="0.25">
      <c r="Q718" s="1777"/>
    </row>
    <row r="719" spans="17:17" x14ac:dyDescent="0.25">
      <c r="Q719" s="1777"/>
    </row>
    <row r="720" spans="17:17" x14ac:dyDescent="0.25">
      <c r="Q720" s="1777"/>
    </row>
    <row r="721" spans="17:17" x14ac:dyDescent="0.25">
      <c r="Q721" s="1777"/>
    </row>
    <row r="722" spans="17:17" x14ac:dyDescent="0.25">
      <c r="Q722" s="1777"/>
    </row>
    <row r="723" spans="17:17" x14ac:dyDescent="0.25">
      <c r="Q723" s="1777"/>
    </row>
    <row r="724" spans="17:17" x14ac:dyDescent="0.25">
      <c r="Q724" s="1777"/>
    </row>
    <row r="725" spans="17:17" x14ac:dyDescent="0.25">
      <c r="Q725" s="1777"/>
    </row>
    <row r="726" spans="17:17" x14ac:dyDescent="0.25">
      <c r="Q726" s="1777"/>
    </row>
    <row r="727" spans="17:17" x14ac:dyDescent="0.25">
      <c r="Q727" s="1777"/>
    </row>
    <row r="728" spans="17:17" x14ac:dyDescent="0.25">
      <c r="Q728" s="1777"/>
    </row>
    <row r="729" spans="17:17" x14ac:dyDescent="0.25">
      <c r="Q729" s="1777"/>
    </row>
    <row r="730" spans="17:17" x14ac:dyDescent="0.25">
      <c r="Q730" s="1777"/>
    </row>
    <row r="731" spans="17:17" x14ac:dyDescent="0.25">
      <c r="Q731" s="1777"/>
    </row>
    <row r="732" spans="17:17" x14ac:dyDescent="0.25">
      <c r="Q732" s="1777"/>
    </row>
    <row r="733" spans="17:17" x14ac:dyDescent="0.25">
      <c r="Q733" s="1777"/>
    </row>
    <row r="734" spans="17:17" x14ac:dyDescent="0.25">
      <c r="Q734" s="1777"/>
    </row>
    <row r="735" spans="17:17" x14ac:dyDescent="0.25">
      <c r="Q735" s="1777"/>
    </row>
    <row r="736" spans="17:17" x14ac:dyDescent="0.25">
      <c r="Q736" s="1777"/>
    </row>
    <row r="737" spans="17:17" x14ac:dyDescent="0.25">
      <c r="Q737" s="1777"/>
    </row>
    <row r="738" spans="17:17" x14ac:dyDescent="0.25">
      <c r="Q738" s="1777"/>
    </row>
    <row r="739" spans="17:17" x14ac:dyDescent="0.25">
      <c r="Q739" s="1777"/>
    </row>
    <row r="740" spans="17:17" x14ac:dyDescent="0.25">
      <c r="Q740" s="1777"/>
    </row>
    <row r="741" spans="17:17" x14ac:dyDescent="0.25">
      <c r="Q741" s="1777"/>
    </row>
    <row r="742" spans="17:17" x14ac:dyDescent="0.25">
      <c r="Q742" s="1777"/>
    </row>
    <row r="743" spans="17:17" x14ac:dyDescent="0.25">
      <c r="Q743" s="1777"/>
    </row>
    <row r="744" spans="17:17" x14ac:dyDescent="0.25">
      <c r="Q744" s="1777"/>
    </row>
    <row r="745" spans="17:17" x14ac:dyDescent="0.25">
      <c r="Q745" s="1777"/>
    </row>
    <row r="746" spans="17:17" x14ac:dyDescent="0.25">
      <c r="Q746" s="1777"/>
    </row>
    <row r="747" spans="17:17" x14ac:dyDescent="0.25">
      <c r="Q747" s="1777"/>
    </row>
    <row r="748" spans="17:17" x14ac:dyDescent="0.25">
      <c r="Q748" s="1777"/>
    </row>
    <row r="749" spans="17:17" x14ac:dyDescent="0.25">
      <c r="Q749" s="1777"/>
    </row>
    <row r="750" spans="17:17" x14ac:dyDescent="0.25">
      <c r="Q750" s="1777"/>
    </row>
    <row r="751" spans="17:17" x14ac:dyDescent="0.25">
      <c r="Q751" s="1777"/>
    </row>
    <row r="752" spans="17:17" x14ac:dyDescent="0.25">
      <c r="Q752" s="1777"/>
    </row>
    <row r="753" spans="17:17" x14ac:dyDescent="0.25">
      <c r="Q753" s="1777"/>
    </row>
    <row r="754" spans="17:17" x14ac:dyDescent="0.25">
      <c r="Q754" s="1777"/>
    </row>
    <row r="755" spans="17:17" x14ac:dyDescent="0.25">
      <c r="Q755" s="1777"/>
    </row>
    <row r="756" spans="17:17" x14ac:dyDescent="0.25">
      <c r="Q756" s="1777"/>
    </row>
    <row r="757" spans="17:17" x14ac:dyDescent="0.25">
      <c r="Q757" s="1777"/>
    </row>
    <row r="758" spans="17:17" x14ac:dyDescent="0.25">
      <c r="Q758" s="1777"/>
    </row>
    <row r="759" spans="17:17" x14ac:dyDescent="0.25">
      <c r="Q759" s="1777"/>
    </row>
    <row r="760" spans="17:17" x14ac:dyDescent="0.25">
      <c r="Q760" s="1777"/>
    </row>
    <row r="761" spans="17:17" x14ac:dyDescent="0.25">
      <c r="Q761" s="1777"/>
    </row>
    <row r="762" spans="17:17" x14ac:dyDescent="0.25">
      <c r="Q762" s="1777"/>
    </row>
    <row r="763" spans="17:17" x14ac:dyDescent="0.25">
      <c r="Q763" s="1777"/>
    </row>
    <row r="764" spans="17:17" x14ac:dyDescent="0.25">
      <c r="Q764" s="1777"/>
    </row>
    <row r="765" spans="17:17" x14ac:dyDescent="0.25">
      <c r="Q765" s="1777"/>
    </row>
    <row r="766" spans="17:17" x14ac:dyDescent="0.25">
      <c r="Q766" s="1777"/>
    </row>
    <row r="767" spans="17:17" x14ac:dyDescent="0.25">
      <c r="Q767" s="1777"/>
    </row>
    <row r="768" spans="17:17" x14ac:dyDescent="0.25">
      <c r="Q768" s="1777"/>
    </row>
    <row r="769" spans="17:17" x14ac:dyDescent="0.25">
      <c r="Q769" s="1777"/>
    </row>
    <row r="770" spans="17:17" x14ac:dyDescent="0.25">
      <c r="Q770" s="1777"/>
    </row>
    <row r="771" spans="17:17" x14ac:dyDescent="0.25">
      <c r="Q771" s="1777"/>
    </row>
    <row r="772" spans="17:17" x14ac:dyDescent="0.25">
      <c r="Q772" s="1777"/>
    </row>
    <row r="773" spans="17:17" x14ac:dyDescent="0.25">
      <c r="Q773" s="1777"/>
    </row>
    <row r="774" spans="17:17" x14ac:dyDescent="0.25">
      <c r="Q774" s="1777"/>
    </row>
    <row r="775" spans="17:17" x14ac:dyDescent="0.25">
      <c r="Q775" s="1777"/>
    </row>
    <row r="776" spans="17:17" x14ac:dyDescent="0.25">
      <c r="Q776" s="1777"/>
    </row>
    <row r="777" spans="17:17" x14ac:dyDescent="0.25">
      <c r="Q777" s="1777"/>
    </row>
    <row r="778" spans="17:17" x14ac:dyDescent="0.25">
      <c r="Q778" s="1777"/>
    </row>
    <row r="779" spans="17:17" x14ac:dyDescent="0.25">
      <c r="Q779" s="1777"/>
    </row>
    <row r="780" spans="17:17" x14ac:dyDescent="0.25">
      <c r="Q780" s="1777"/>
    </row>
    <row r="781" spans="17:17" x14ac:dyDescent="0.25">
      <c r="Q781" s="1777"/>
    </row>
    <row r="782" spans="17:17" x14ac:dyDescent="0.25">
      <c r="Q782" s="1777"/>
    </row>
    <row r="783" spans="17:17" x14ac:dyDescent="0.25">
      <c r="Q783" s="1777"/>
    </row>
    <row r="784" spans="17:17" x14ac:dyDescent="0.25">
      <c r="Q784" s="1777"/>
    </row>
    <row r="785" spans="17:17" x14ac:dyDescent="0.25">
      <c r="Q785" s="1777"/>
    </row>
    <row r="786" spans="17:17" x14ac:dyDescent="0.25">
      <c r="Q786" s="1777"/>
    </row>
    <row r="787" spans="17:17" x14ac:dyDescent="0.25">
      <c r="Q787" s="1777"/>
    </row>
    <row r="788" spans="17:17" x14ac:dyDescent="0.25">
      <c r="Q788" s="1777"/>
    </row>
    <row r="789" spans="17:17" x14ac:dyDescent="0.25">
      <c r="Q789" s="1777"/>
    </row>
    <row r="790" spans="17:17" x14ac:dyDescent="0.25">
      <c r="Q790" s="1777"/>
    </row>
    <row r="791" spans="17:17" x14ac:dyDescent="0.25">
      <c r="Q791" s="1777"/>
    </row>
    <row r="792" spans="17:17" x14ac:dyDescent="0.25">
      <c r="Q792" s="1777"/>
    </row>
    <row r="793" spans="17:17" x14ac:dyDescent="0.25">
      <c r="Q793" s="1777"/>
    </row>
    <row r="794" spans="17:17" x14ac:dyDescent="0.25">
      <c r="Q794" s="1777"/>
    </row>
    <row r="795" spans="17:17" x14ac:dyDescent="0.25">
      <c r="Q795" s="1777"/>
    </row>
    <row r="796" spans="17:17" x14ac:dyDescent="0.25">
      <c r="Q796" s="1777"/>
    </row>
    <row r="797" spans="17:17" x14ac:dyDescent="0.25">
      <c r="Q797" s="1777"/>
    </row>
    <row r="798" spans="17:17" x14ac:dyDescent="0.25">
      <c r="Q798" s="1777"/>
    </row>
    <row r="799" spans="17:17" x14ac:dyDescent="0.25">
      <c r="Q799" s="1777"/>
    </row>
    <row r="800" spans="17:17" x14ac:dyDescent="0.25">
      <c r="Q800" s="1777"/>
    </row>
    <row r="801" spans="17:17" x14ac:dyDescent="0.25">
      <c r="Q801" s="1777"/>
    </row>
    <row r="802" spans="17:17" x14ac:dyDescent="0.25">
      <c r="Q802" s="1777"/>
    </row>
    <row r="803" spans="17:17" x14ac:dyDescent="0.25">
      <c r="Q803" s="1777"/>
    </row>
    <row r="804" spans="17:17" x14ac:dyDescent="0.25">
      <c r="Q804" s="1777"/>
    </row>
    <row r="805" spans="17:17" x14ac:dyDescent="0.25">
      <c r="Q805" s="1777"/>
    </row>
    <row r="806" spans="17:17" x14ac:dyDescent="0.25">
      <c r="Q806" s="1777"/>
    </row>
    <row r="807" spans="17:17" x14ac:dyDescent="0.25">
      <c r="Q807" s="1777"/>
    </row>
    <row r="808" spans="17:17" x14ac:dyDescent="0.25">
      <c r="Q808" s="1777"/>
    </row>
    <row r="809" spans="17:17" x14ac:dyDescent="0.25">
      <c r="Q809" s="1777"/>
    </row>
    <row r="810" spans="17:17" x14ac:dyDescent="0.25">
      <c r="Q810" s="1777"/>
    </row>
    <row r="811" spans="17:17" x14ac:dyDescent="0.25">
      <c r="Q811" s="1777"/>
    </row>
    <row r="812" spans="17:17" x14ac:dyDescent="0.25">
      <c r="Q812" s="1777"/>
    </row>
    <row r="813" spans="17:17" x14ac:dyDescent="0.25">
      <c r="Q813" s="1777"/>
    </row>
    <row r="814" spans="17:17" x14ac:dyDescent="0.25">
      <c r="Q814" s="1777"/>
    </row>
    <row r="815" spans="17:17" x14ac:dyDescent="0.25">
      <c r="Q815" s="1777"/>
    </row>
    <row r="816" spans="17:17" x14ac:dyDescent="0.25">
      <c r="Q816" s="1777"/>
    </row>
    <row r="817" spans="17:17" x14ac:dyDescent="0.25">
      <c r="Q817" s="1777"/>
    </row>
    <row r="818" spans="17:17" x14ac:dyDescent="0.25">
      <c r="Q818" s="1777"/>
    </row>
    <row r="819" spans="17:17" x14ac:dyDescent="0.25">
      <c r="Q819" s="1777"/>
    </row>
    <row r="820" spans="17:17" x14ac:dyDescent="0.25">
      <c r="Q820" s="1777"/>
    </row>
    <row r="821" spans="17:17" x14ac:dyDescent="0.25">
      <c r="Q821" s="1777"/>
    </row>
    <row r="822" spans="17:17" x14ac:dyDescent="0.25">
      <c r="Q822" s="1777"/>
    </row>
    <row r="823" spans="17:17" x14ac:dyDescent="0.25">
      <c r="Q823" s="1777"/>
    </row>
    <row r="824" spans="17:17" x14ac:dyDescent="0.25">
      <c r="Q824" s="1777"/>
    </row>
    <row r="825" spans="17:17" x14ac:dyDescent="0.25">
      <c r="Q825" s="1777"/>
    </row>
    <row r="826" spans="17:17" x14ac:dyDescent="0.25">
      <c r="Q826" s="1777"/>
    </row>
    <row r="827" spans="17:17" x14ac:dyDescent="0.25">
      <c r="Q827" s="1777"/>
    </row>
    <row r="828" spans="17:17" x14ac:dyDescent="0.25">
      <c r="Q828" s="1777"/>
    </row>
    <row r="829" spans="17:17" x14ac:dyDescent="0.25">
      <c r="Q829" s="1777"/>
    </row>
    <row r="830" spans="17:17" x14ac:dyDescent="0.25">
      <c r="Q830" s="1777"/>
    </row>
    <row r="831" spans="17:17" x14ac:dyDescent="0.25">
      <c r="Q831" s="1777"/>
    </row>
    <row r="832" spans="17:17" x14ac:dyDescent="0.25">
      <c r="Q832" s="1777"/>
    </row>
    <row r="833" spans="17:17" x14ac:dyDescent="0.25">
      <c r="Q833" s="1777"/>
    </row>
    <row r="834" spans="17:17" x14ac:dyDescent="0.25">
      <c r="Q834" s="1777"/>
    </row>
    <row r="835" spans="17:17" x14ac:dyDescent="0.25">
      <c r="Q835" s="1777"/>
    </row>
    <row r="836" spans="17:17" x14ac:dyDescent="0.25">
      <c r="Q836" s="1777"/>
    </row>
    <row r="837" spans="17:17" x14ac:dyDescent="0.25">
      <c r="Q837" s="1777"/>
    </row>
    <row r="838" spans="17:17" x14ac:dyDescent="0.25">
      <c r="Q838" s="1777"/>
    </row>
    <row r="839" spans="17:17" x14ac:dyDescent="0.25">
      <c r="Q839" s="1777"/>
    </row>
    <row r="840" spans="17:17" x14ac:dyDescent="0.25">
      <c r="Q840" s="1777"/>
    </row>
    <row r="841" spans="17:17" x14ac:dyDescent="0.25">
      <c r="Q841" s="1777"/>
    </row>
    <row r="842" spans="17:17" x14ac:dyDescent="0.25">
      <c r="Q842" s="1777"/>
    </row>
    <row r="843" spans="17:17" x14ac:dyDescent="0.25">
      <c r="Q843" s="1777"/>
    </row>
    <row r="844" spans="17:17" x14ac:dyDescent="0.25">
      <c r="Q844" s="1777"/>
    </row>
    <row r="845" spans="17:17" x14ac:dyDescent="0.25">
      <c r="Q845" s="1777"/>
    </row>
    <row r="846" spans="17:17" x14ac:dyDescent="0.25">
      <c r="Q846" s="1777"/>
    </row>
    <row r="847" spans="17:17" x14ac:dyDescent="0.25">
      <c r="Q847" s="1777"/>
    </row>
    <row r="848" spans="17:17" x14ac:dyDescent="0.25">
      <c r="Q848" s="1777"/>
    </row>
    <row r="849" spans="17:17" x14ac:dyDescent="0.25">
      <c r="Q849" s="1777"/>
    </row>
    <row r="850" spans="17:17" x14ac:dyDescent="0.25">
      <c r="Q850" s="1777"/>
    </row>
    <row r="851" spans="17:17" x14ac:dyDescent="0.25">
      <c r="Q851" s="1777"/>
    </row>
    <row r="852" spans="17:17" x14ac:dyDescent="0.25">
      <c r="Q852" s="1777"/>
    </row>
    <row r="853" spans="17:17" x14ac:dyDescent="0.25">
      <c r="Q853" s="1777"/>
    </row>
    <row r="854" spans="17:17" x14ac:dyDescent="0.25">
      <c r="Q854" s="1777"/>
    </row>
    <row r="855" spans="17:17" x14ac:dyDescent="0.25">
      <c r="Q855" s="1777"/>
    </row>
    <row r="856" spans="17:17" x14ac:dyDescent="0.25">
      <c r="Q856" s="1777"/>
    </row>
    <row r="857" spans="17:17" x14ac:dyDescent="0.25">
      <c r="Q857" s="1777"/>
    </row>
    <row r="858" spans="17:17" x14ac:dyDescent="0.25">
      <c r="Q858" s="1777"/>
    </row>
    <row r="859" spans="17:17" x14ac:dyDescent="0.25">
      <c r="Q859" s="1777"/>
    </row>
    <row r="860" spans="17:17" x14ac:dyDescent="0.25">
      <c r="Q860" s="1777"/>
    </row>
    <row r="861" spans="17:17" x14ac:dyDescent="0.25">
      <c r="Q861" s="1777"/>
    </row>
    <row r="862" spans="17:17" x14ac:dyDescent="0.25">
      <c r="Q862" s="1777"/>
    </row>
    <row r="863" spans="17:17" x14ac:dyDescent="0.25">
      <c r="Q863" s="1777"/>
    </row>
    <row r="864" spans="17:17" x14ac:dyDescent="0.25">
      <c r="Q864" s="1777"/>
    </row>
    <row r="865" spans="17:17" x14ac:dyDescent="0.25">
      <c r="Q865" s="1777"/>
    </row>
    <row r="866" spans="17:17" x14ac:dyDescent="0.25">
      <c r="Q866" s="1777"/>
    </row>
    <row r="867" spans="17:17" x14ac:dyDescent="0.25">
      <c r="Q867" s="1777"/>
    </row>
    <row r="868" spans="17:17" x14ac:dyDescent="0.25">
      <c r="Q868" s="1777"/>
    </row>
    <row r="869" spans="17:17" x14ac:dyDescent="0.25">
      <c r="Q869" s="1777"/>
    </row>
    <row r="870" spans="17:17" x14ac:dyDescent="0.25">
      <c r="Q870" s="1777"/>
    </row>
    <row r="871" spans="17:17" x14ac:dyDescent="0.25">
      <c r="Q871" s="1777"/>
    </row>
    <row r="872" spans="17:17" x14ac:dyDescent="0.25">
      <c r="Q872" s="1777"/>
    </row>
    <row r="873" spans="17:17" x14ac:dyDescent="0.25">
      <c r="Q873" s="1777"/>
    </row>
    <row r="874" spans="17:17" x14ac:dyDescent="0.25">
      <c r="Q874" s="1777"/>
    </row>
    <row r="875" spans="17:17" x14ac:dyDescent="0.25">
      <c r="Q875" s="1777"/>
    </row>
    <row r="876" spans="17:17" x14ac:dyDescent="0.25">
      <c r="Q876" s="1777"/>
    </row>
    <row r="877" spans="17:17" x14ac:dyDescent="0.25">
      <c r="Q877" s="1777"/>
    </row>
    <row r="878" spans="17:17" x14ac:dyDescent="0.25">
      <c r="Q878" s="1777"/>
    </row>
    <row r="879" spans="17:17" x14ac:dyDescent="0.25">
      <c r="Q879" s="1777"/>
    </row>
    <row r="880" spans="17:17" x14ac:dyDescent="0.25">
      <c r="Q880" s="1777"/>
    </row>
    <row r="881" spans="17:17" x14ac:dyDescent="0.25">
      <c r="Q881" s="1777"/>
    </row>
    <row r="882" spans="17:17" x14ac:dyDescent="0.25">
      <c r="Q882" s="1777"/>
    </row>
    <row r="883" spans="17:17" x14ac:dyDescent="0.25">
      <c r="Q883" s="1777"/>
    </row>
    <row r="884" spans="17:17" x14ac:dyDescent="0.25">
      <c r="Q884" s="1777"/>
    </row>
    <row r="885" spans="17:17" x14ac:dyDescent="0.25">
      <c r="Q885" s="1777"/>
    </row>
    <row r="886" spans="17:17" x14ac:dyDescent="0.25">
      <c r="Q886" s="1777"/>
    </row>
    <row r="887" spans="17:17" x14ac:dyDescent="0.25">
      <c r="Q887" s="1777"/>
    </row>
    <row r="888" spans="17:17" x14ac:dyDescent="0.25">
      <c r="Q888" s="1777"/>
    </row>
    <row r="889" spans="17:17" x14ac:dyDescent="0.25">
      <c r="Q889" s="1777"/>
    </row>
    <row r="890" spans="17:17" x14ac:dyDescent="0.25">
      <c r="Q890" s="1777"/>
    </row>
    <row r="891" spans="17:17" x14ac:dyDescent="0.25">
      <c r="Q891" s="1777"/>
    </row>
    <row r="892" spans="17:17" x14ac:dyDescent="0.25">
      <c r="Q892" s="1777"/>
    </row>
    <row r="893" spans="17:17" x14ac:dyDescent="0.25">
      <c r="Q893" s="1777"/>
    </row>
    <row r="894" spans="17:17" x14ac:dyDescent="0.25">
      <c r="Q894" s="1777"/>
    </row>
    <row r="895" spans="17:17" x14ac:dyDescent="0.25">
      <c r="Q895" s="1777"/>
    </row>
    <row r="896" spans="17:17" x14ac:dyDescent="0.25">
      <c r="Q896" s="1777"/>
    </row>
    <row r="897" spans="17:17" x14ac:dyDescent="0.25">
      <c r="Q897" s="1777"/>
    </row>
    <row r="898" spans="17:17" x14ac:dyDescent="0.25">
      <c r="Q898" s="1777"/>
    </row>
    <row r="899" spans="17:17" x14ac:dyDescent="0.25">
      <c r="Q899" s="1777"/>
    </row>
    <row r="900" spans="17:17" x14ac:dyDescent="0.25">
      <c r="Q900" s="1777"/>
    </row>
    <row r="901" spans="17:17" x14ac:dyDescent="0.25">
      <c r="Q901" s="1777"/>
    </row>
    <row r="902" spans="17:17" x14ac:dyDescent="0.25">
      <c r="Q902" s="1777"/>
    </row>
    <row r="903" spans="17:17" x14ac:dyDescent="0.25">
      <c r="Q903" s="1777"/>
    </row>
    <row r="904" spans="17:17" x14ac:dyDescent="0.25">
      <c r="Q904" s="1777"/>
    </row>
    <row r="905" spans="17:17" x14ac:dyDescent="0.25">
      <c r="Q905" s="1777"/>
    </row>
    <row r="906" spans="17:17" x14ac:dyDescent="0.25">
      <c r="Q906" s="1777"/>
    </row>
    <row r="907" spans="17:17" x14ac:dyDescent="0.25">
      <c r="Q907" s="1777"/>
    </row>
    <row r="908" spans="17:17" x14ac:dyDescent="0.25">
      <c r="Q908" s="1777"/>
    </row>
    <row r="909" spans="17:17" x14ac:dyDescent="0.25">
      <c r="Q909" s="1777"/>
    </row>
    <row r="910" spans="17:17" x14ac:dyDescent="0.25">
      <c r="Q910" s="1777"/>
    </row>
    <row r="911" spans="17:17" x14ac:dyDescent="0.25">
      <c r="Q911" s="1777"/>
    </row>
    <row r="912" spans="17:17" x14ac:dyDescent="0.25">
      <c r="Q912" s="1777"/>
    </row>
    <row r="913" spans="17:17" x14ac:dyDescent="0.25">
      <c r="Q913" s="1777"/>
    </row>
    <row r="914" spans="17:17" x14ac:dyDescent="0.25">
      <c r="Q914" s="1777"/>
    </row>
    <row r="915" spans="17:17" x14ac:dyDescent="0.25">
      <c r="Q915" s="1777"/>
    </row>
    <row r="916" spans="17:17" x14ac:dyDescent="0.25">
      <c r="Q916" s="1777"/>
    </row>
    <row r="917" spans="17:17" x14ac:dyDescent="0.25">
      <c r="Q917" s="1777"/>
    </row>
    <row r="918" spans="17:17" x14ac:dyDescent="0.25">
      <c r="Q918" s="1777"/>
    </row>
    <row r="919" spans="17:17" x14ac:dyDescent="0.25">
      <c r="Q919" s="1777"/>
    </row>
    <row r="920" spans="17:17" x14ac:dyDescent="0.25">
      <c r="Q920" s="1777"/>
    </row>
    <row r="921" spans="17:17" x14ac:dyDescent="0.25">
      <c r="Q921" s="1777"/>
    </row>
    <row r="922" spans="17:17" x14ac:dyDescent="0.25">
      <c r="Q922" s="1777"/>
    </row>
    <row r="923" spans="17:17" x14ac:dyDescent="0.25">
      <c r="Q923" s="1777"/>
    </row>
    <row r="924" spans="17:17" x14ac:dyDescent="0.25">
      <c r="Q924" s="1777"/>
    </row>
    <row r="925" spans="17:17" x14ac:dyDescent="0.25">
      <c r="Q925" s="1777"/>
    </row>
    <row r="926" spans="17:17" x14ac:dyDescent="0.25">
      <c r="Q926" s="1777"/>
    </row>
    <row r="927" spans="17:17" x14ac:dyDescent="0.25">
      <c r="Q927" s="1777"/>
    </row>
    <row r="928" spans="17:17" x14ac:dyDescent="0.25">
      <c r="Q928" s="1777"/>
    </row>
    <row r="929" spans="17:17" x14ac:dyDescent="0.25">
      <c r="Q929" s="1777"/>
    </row>
    <row r="930" spans="17:17" x14ac:dyDescent="0.25">
      <c r="Q930" s="1777"/>
    </row>
    <row r="931" spans="17:17" x14ac:dyDescent="0.25">
      <c r="Q931" s="1777"/>
    </row>
    <row r="932" spans="17:17" x14ac:dyDescent="0.25">
      <c r="Q932" s="1777"/>
    </row>
    <row r="933" spans="17:17" x14ac:dyDescent="0.25">
      <c r="Q933" s="1777"/>
    </row>
    <row r="934" spans="17:17" x14ac:dyDescent="0.25">
      <c r="Q934" s="1777"/>
    </row>
    <row r="935" spans="17:17" x14ac:dyDescent="0.25">
      <c r="Q935" s="1777"/>
    </row>
    <row r="936" spans="17:17" x14ac:dyDescent="0.25">
      <c r="Q936" s="1777"/>
    </row>
    <row r="937" spans="17:17" x14ac:dyDescent="0.25">
      <c r="Q937" s="1777"/>
    </row>
    <row r="938" spans="17:17" x14ac:dyDescent="0.25">
      <c r="Q938" s="1777"/>
    </row>
    <row r="939" spans="17:17" x14ac:dyDescent="0.25">
      <c r="Q939" s="1777"/>
    </row>
    <row r="940" spans="17:17" x14ac:dyDescent="0.25">
      <c r="Q940" s="1777"/>
    </row>
    <row r="941" spans="17:17" x14ac:dyDescent="0.25">
      <c r="Q941" s="1777"/>
    </row>
    <row r="942" spans="17:17" x14ac:dyDescent="0.25">
      <c r="Q942" s="1777"/>
    </row>
    <row r="943" spans="17:17" x14ac:dyDescent="0.25">
      <c r="Q943" s="1777"/>
    </row>
    <row r="944" spans="17:17" x14ac:dyDescent="0.25">
      <c r="Q944" s="1777"/>
    </row>
    <row r="945" spans="17:17" x14ac:dyDescent="0.25">
      <c r="Q945" s="1777"/>
    </row>
    <row r="946" spans="17:17" x14ac:dyDescent="0.25">
      <c r="Q946" s="1777"/>
    </row>
    <row r="947" spans="17:17" x14ac:dyDescent="0.25">
      <c r="Q947" s="1777"/>
    </row>
    <row r="948" spans="17:17" x14ac:dyDescent="0.25">
      <c r="Q948" s="1777"/>
    </row>
    <row r="949" spans="17:17" x14ac:dyDescent="0.25">
      <c r="Q949" s="1777"/>
    </row>
    <row r="950" spans="17:17" x14ac:dyDescent="0.25">
      <c r="Q950" s="1777"/>
    </row>
    <row r="951" spans="17:17" x14ac:dyDescent="0.25">
      <c r="Q951" s="1777"/>
    </row>
    <row r="952" spans="17:17" x14ac:dyDescent="0.25">
      <c r="Q952" s="1777"/>
    </row>
    <row r="953" spans="17:17" x14ac:dyDescent="0.25">
      <c r="Q953" s="1777"/>
    </row>
    <row r="954" spans="17:17" x14ac:dyDescent="0.25">
      <c r="Q954" s="1777"/>
    </row>
    <row r="955" spans="17:17" x14ac:dyDescent="0.25">
      <c r="Q955" s="1777"/>
    </row>
    <row r="956" spans="17:17" x14ac:dyDescent="0.25">
      <c r="Q956" s="1777"/>
    </row>
    <row r="957" spans="17:17" x14ac:dyDescent="0.25">
      <c r="Q957" s="1777"/>
    </row>
    <row r="958" spans="17:17" x14ac:dyDescent="0.25">
      <c r="Q958" s="1777"/>
    </row>
    <row r="959" spans="17:17" x14ac:dyDescent="0.25">
      <c r="Q959" s="1777"/>
    </row>
    <row r="960" spans="17:17" x14ac:dyDescent="0.25">
      <c r="Q960" s="1777"/>
    </row>
    <row r="961" spans="17:17" x14ac:dyDescent="0.25">
      <c r="Q961" s="1777"/>
    </row>
    <row r="962" spans="17:17" x14ac:dyDescent="0.25">
      <c r="Q962" s="1777"/>
    </row>
    <row r="963" spans="17:17" x14ac:dyDescent="0.25">
      <c r="Q963" s="1777"/>
    </row>
    <row r="964" spans="17:17" x14ac:dyDescent="0.25">
      <c r="Q964" s="1777"/>
    </row>
    <row r="965" spans="17:17" x14ac:dyDescent="0.25">
      <c r="Q965" s="1777"/>
    </row>
    <row r="966" spans="17:17" x14ac:dyDescent="0.25">
      <c r="Q966" s="1777"/>
    </row>
    <row r="967" spans="17:17" x14ac:dyDescent="0.25">
      <c r="Q967" s="1777"/>
    </row>
    <row r="968" spans="17:17" x14ac:dyDescent="0.25">
      <c r="Q968" s="1777"/>
    </row>
    <row r="969" spans="17:17" x14ac:dyDescent="0.25">
      <c r="Q969" s="1777"/>
    </row>
    <row r="970" spans="17:17" x14ac:dyDescent="0.25">
      <c r="Q970" s="1777"/>
    </row>
    <row r="971" spans="17:17" x14ac:dyDescent="0.25">
      <c r="Q971" s="1777"/>
    </row>
    <row r="972" spans="17:17" x14ac:dyDescent="0.25">
      <c r="Q972" s="1777"/>
    </row>
    <row r="973" spans="17:17" x14ac:dyDescent="0.25">
      <c r="Q973" s="1777"/>
    </row>
    <row r="974" spans="17:17" x14ac:dyDescent="0.25">
      <c r="Q974" s="1777"/>
    </row>
    <row r="975" spans="17:17" x14ac:dyDescent="0.25">
      <c r="Q975" s="1777"/>
    </row>
    <row r="976" spans="17:17" x14ac:dyDescent="0.25">
      <c r="Q976" s="1777"/>
    </row>
    <row r="977" spans="17:17" x14ac:dyDescent="0.25">
      <c r="Q977" s="1777"/>
    </row>
    <row r="978" spans="17:17" x14ac:dyDescent="0.25">
      <c r="Q978" s="1777"/>
    </row>
    <row r="979" spans="17:17" x14ac:dyDescent="0.25">
      <c r="Q979" s="1777"/>
    </row>
    <row r="980" spans="17:17" x14ac:dyDescent="0.25">
      <c r="Q980" s="1777"/>
    </row>
    <row r="981" spans="17:17" x14ac:dyDescent="0.25">
      <c r="Q981" s="1777"/>
    </row>
    <row r="982" spans="17:17" x14ac:dyDescent="0.25">
      <c r="Q982" s="1777"/>
    </row>
    <row r="983" spans="17:17" x14ac:dyDescent="0.25">
      <c r="Q983" s="1777"/>
    </row>
    <row r="984" spans="17:17" x14ac:dyDescent="0.25">
      <c r="Q984" s="1777"/>
    </row>
    <row r="985" spans="17:17" x14ac:dyDescent="0.25">
      <c r="Q985" s="1777"/>
    </row>
    <row r="986" spans="17:17" x14ac:dyDescent="0.25">
      <c r="Q986" s="1777"/>
    </row>
    <row r="987" spans="17:17" x14ac:dyDescent="0.25">
      <c r="Q987" s="1777"/>
    </row>
    <row r="988" spans="17:17" x14ac:dyDescent="0.25">
      <c r="Q988" s="1777"/>
    </row>
    <row r="989" spans="17:17" x14ac:dyDescent="0.25">
      <c r="Q989" s="1777"/>
    </row>
    <row r="990" spans="17:17" x14ac:dyDescent="0.25">
      <c r="Q990" s="1777"/>
    </row>
    <row r="991" spans="17:17" x14ac:dyDescent="0.25">
      <c r="Q991" s="1777"/>
    </row>
    <row r="992" spans="17:17" x14ac:dyDescent="0.25">
      <c r="Q992" s="1777"/>
    </row>
    <row r="993" spans="17:17" x14ac:dyDescent="0.25">
      <c r="Q993" s="1777"/>
    </row>
    <row r="994" spans="17:17" x14ac:dyDescent="0.25">
      <c r="Q994" s="1777"/>
    </row>
    <row r="995" spans="17:17" x14ac:dyDescent="0.25">
      <c r="Q995" s="1777"/>
    </row>
    <row r="996" spans="17:17" x14ac:dyDescent="0.25">
      <c r="Q996" s="1777"/>
    </row>
    <row r="997" spans="17:17" x14ac:dyDescent="0.25">
      <c r="Q997" s="1777"/>
    </row>
    <row r="998" spans="17:17" x14ac:dyDescent="0.25">
      <c r="Q998" s="1777"/>
    </row>
    <row r="999" spans="17:17" x14ac:dyDescent="0.25">
      <c r="Q999" s="1777"/>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0" customWidth="1"/>
    <col min="5" max="5" width="35.5703125" style="1731" customWidth="1"/>
    <col min="6" max="6" width="9.7109375" style="1732" customWidth="1"/>
    <col min="7" max="7" width="9.7109375" style="1731" customWidth="1"/>
    <col min="8" max="8" width="13.7109375" style="1731" customWidth="1"/>
    <col min="9" max="9" width="9.7109375" style="1732" customWidth="1"/>
    <col min="10" max="10" width="13.7109375" style="1731" customWidth="1"/>
    <col min="11" max="11" width="9.7109375" style="1732" customWidth="1"/>
    <col min="12" max="12" width="9.7109375" style="1731" customWidth="1"/>
    <col min="13" max="14" width="13.7109375" style="1733" customWidth="1"/>
    <col min="15" max="15" width="9.140625" customWidth="1"/>
    <col min="16" max="17" width="0" hidden="1" customWidth="1"/>
  </cols>
  <sheetData>
    <row r="1" spans="2:14" s="686" customFormat="1" ht="15.75" thickBot="1" x14ac:dyDescent="0.3">
      <c r="B1" s="1719"/>
      <c r="C1" s="1719"/>
      <c r="D1" s="1719"/>
      <c r="E1" s="1537"/>
      <c r="F1" s="1720"/>
      <c r="G1" s="1537"/>
      <c r="H1" s="1537"/>
      <c r="I1" s="1720"/>
      <c r="J1" s="1537"/>
      <c r="K1" s="1720"/>
      <c r="L1" s="1537"/>
      <c r="M1" s="1721"/>
      <c r="N1" s="1721"/>
    </row>
    <row r="2" spans="2:14" s="1734" customFormat="1" ht="39" thickBot="1" x14ac:dyDescent="0.3">
      <c r="B2" s="1698" t="s">
        <v>2226</v>
      </c>
      <c r="C2" s="1699" t="s">
        <v>1258</v>
      </c>
      <c r="D2" s="1700" t="s">
        <v>2220</v>
      </c>
      <c r="E2" s="1699" t="s">
        <v>1275</v>
      </c>
      <c r="F2" s="1700" t="s">
        <v>1276</v>
      </c>
      <c r="G2" s="1699" t="s">
        <v>1239</v>
      </c>
      <c r="H2" s="1699" t="s">
        <v>1278</v>
      </c>
      <c r="I2" s="1699" t="s">
        <v>1279</v>
      </c>
      <c r="J2" s="1699" t="s">
        <v>1280</v>
      </c>
      <c r="K2" s="1699" t="s">
        <v>1281</v>
      </c>
      <c r="L2" s="1699" t="s">
        <v>1221</v>
      </c>
      <c r="M2" s="1701" t="s">
        <v>2224</v>
      </c>
      <c r="N2" s="1702" t="s">
        <v>2225</v>
      </c>
    </row>
    <row r="3" spans="2:14" x14ac:dyDescent="0.25">
      <c r="B3" s="1722"/>
      <c r="C3" s="1723"/>
      <c r="D3" s="1724"/>
      <c r="E3" s="1725"/>
      <c r="F3" s="1726"/>
      <c r="G3" s="1725"/>
      <c r="H3" s="1725"/>
      <c r="I3" s="1726"/>
      <c r="J3" s="1725"/>
      <c r="K3" s="1726"/>
      <c r="L3" s="1727"/>
      <c r="M3" s="1728"/>
      <c r="N3" s="1729"/>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697" customFormat="1" x14ac:dyDescent="0.25">
      <c r="A1" s="802" t="s">
        <v>2221</v>
      </c>
      <c r="B1" s="1255" t="s">
        <v>2226</v>
      </c>
      <c r="C1" s="766" t="str">
        <f ca="1">_xlfn.IFNA(SUBSTITUTE(ADDRESS(1,MATCH(B1,INDIRECT("'"&amp;A1&amp;"'"&amp;"!A2:Z2"),0),4),1,""),"")</f>
        <v>B</v>
      </c>
      <c r="D1" s="1714"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14"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14" t="s">
        <v>1272</v>
      </c>
      <c r="E3" s="988" t="s">
        <v>1274</v>
      </c>
      <c r="F3" s="766" t="str">
        <f t="shared" ca="1" si="1"/>
        <v>D</v>
      </c>
    </row>
    <row r="4" spans="1:6" x14ac:dyDescent="0.25">
      <c r="A4" s="802" t="s">
        <v>2221</v>
      </c>
      <c r="B4" s="1255" t="s">
        <v>1275</v>
      </c>
      <c r="C4" s="766" t="str">
        <f t="shared" ca="1" si="0"/>
        <v>E</v>
      </c>
      <c r="D4" s="1714" t="s">
        <v>1272</v>
      </c>
      <c r="E4" s="988" t="s">
        <v>2228</v>
      </c>
      <c r="F4" s="766" t="str">
        <f t="shared" ca="1" si="1"/>
        <v>E</v>
      </c>
    </row>
    <row r="5" spans="1:6" x14ac:dyDescent="0.25">
      <c r="A5" s="802" t="s">
        <v>2221</v>
      </c>
      <c r="B5" s="1255" t="s">
        <v>1276</v>
      </c>
      <c r="C5" s="766" t="str">
        <f t="shared" ca="1" si="0"/>
        <v>F</v>
      </c>
      <c r="D5" s="1714" t="s">
        <v>1272</v>
      </c>
      <c r="E5" s="987" t="s">
        <v>1275</v>
      </c>
      <c r="F5" s="766" t="str">
        <f t="shared" ca="1" si="1"/>
        <v>F</v>
      </c>
    </row>
    <row r="6" spans="1:6" x14ac:dyDescent="0.25">
      <c r="A6" s="802" t="s">
        <v>2221</v>
      </c>
      <c r="B6" s="1255" t="s">
        <v>1239</v>
      </c>
      <c r="C6" s="766" t="str">
        <f t="shared" ca="1" si="0"/>
        <v>G</v>
      </c>
      <c r="D6" s="1714" t="s">
        <v>1272</v>
      </c>
      <c r="E6" s="919" t="s">
        <v>225</v>
      </c>
      <c r="F6" s="766" t="s">
        <v>1355</v>
      </c>
    </row>
    <row r="7" spans="1:6" ht="30" x14ac:dyDescent="0.25">
      <c r="A7" s="802" t="s">
        <v>2221</v>
      </c>
      <c r="B7" s="1255" t="s">
        <v>1278</v>
      </c>
      <c r="C7" s="766" t="str">
        <f t="shared" ca="1" si="0"/>
        <v>H</v>
      </c>
      <c r="D7" s="1714" t="s">
        <v>1272</v>
      </c>
      <c r="E7" s="987" t="s">
        <v>1277</v>
      </c>
      <c r="F7" s="766" t="str">
        <f t="shared" ca="1" si="1"/>
        <v>H</v>
      </c>
    </row>
    <row r="8" spans="1:6" x14ac:dyDescent="0.25">
      <c r="A8" s="802" t="s">
        <v>2221</v>
      </c>
      <c r="B8" s="1255" t="s">
        <v>1279</v>
      </c>
      <c r="C8" s="766" t="str">
        <f t="shared" ca="1" si="0"/>
        <v>I</v>
      </c>
      <c r="D8" s="1714" t="s">
        <v>1272</v>
      </c>
      <c r="E8" s="987" t="s">
        <v>1239</v>
      </c>
      <c r="F8" s="766" t="str">
        <f t="shared" ca="1" si="1"/>
        <v>I</v>
      </c>
    </row>
    <row r="9" spans="1:6" x14ac:dyDescent="0.25">
      <c r="A9" s="802" t="s">
        <v>2221</v>
      </c>
      <c r="B9" s="1255" t="s">
        <v>1280</v>
      </c>
      <c r="C9" s="766" t="str">
        <f t="shared" ca="1" si="0"/>
        <v>J</v>
      </c>
      <c r="D9" s="1714" t="s">
        <v>1272</v>
      </c>
      <c r="E9" s="987" t="s">
        <v>1278</v>
      </c>
      <c r="F9" s="766" t="str">
        <f t="shared" ca="1" si="1"/>
        <v>J</v>
      </c>
    </row>
    <row r="10" spans="1:6" x14ac:dyDescent="0.25">
      <c r="A10" s="802" t="s">
        <v>2221</v>
      </c>
      <c r="B10" s="1255" t="s">
        <v>1281</v>
      </c>
      <c r="C10" s="766" t="str">
        <f t="shared" ca="1" si="0"/>
        <v>K</v>
      </c>
      <c r="D10" s="1714" t="s">
        <v>1272</v>
      </c>
      <c r="E10" s="987" t="s">
        <v>1279</v>
      </c>
      <c r="F10" s="766" t="str">
        <f t="shared" ca="1" si="1"/>
        <v>K</v>
      </c>
    </row>
    <row r="11" spans="1:6" x14ac:dyDescent="0.25">
      <c r="A11" s="802" t="s">
        <v>2221</v>
      </c>
      <c r="B11" s="1255" t="s">
        <v>1221</v>
      </c>
      <c r="C11" s="766" t="str">
        <f t="shared" ca="1" si="0"/>
        <v>L</v>
      </c>
      <c r="D11" s="1714" t="s">
        <v>1272</v>
      </c>
      <c r="E11" s="987" t="s">
        <v>1280</v>
      </c>
      <c r="F11" s="766" t="str">
        <f t="shared" ca="1" si="1"/>
        <v>L</v>
      </c>
    </row>
    <row r="12" spans="1:6" x14ac:dyDescent="0.25">
      <c r="A12" s="802" t="s">
        <v>2221</v>
      </c>
      <c r="B12" s="1254" t="s">
        <v>2222</v>
      </c>
      <c r="C12" s="766" t="str">
        <f t="shared" ca="1" si="0"/>
        <v>M</v>
      </c>
      <c r="D12" s="1714" t="s">
        <v>1272</v>
      </c>
      <c r="E12" s="987" t="s">
        <v>1281</v>
      </c>
      <c r="F12" s="766" t="str">
        <f t="shared" ca="1" si="1"/>
        <v>M</v>
      </c>
    </row>
    <row r="13" spans="1:6" x14ac:dyDescent="0.25">
      <c r="A13" s="802" t="s">
        <v>2221</v>
      </c>
      <c r="B13" s="1254" t="s">
        <v>2223</v>
      </c>
      <c r="C13" s="766" t="str">
        <f t="shared" ca="1" si="0"/>
        <v>N</v>
      </c>
      <c r="D13" s="1714" t="s">
        <v>1272</v>
      </c>
      <c r="E13" s="987" t="s">
        <v>1221</v>
      </c>
      <c r="F13" s="766" t="str">
        <f t="shared" ca="1" si="1"/>
        <v>N</v>
      </c>
    </row>
    <row r="14" spans="1:6" s="1787" customFormat="1" x14ac:dyDescent="0.25">
      <c r="A14" s="1792"/>
      <c r="B14" s="1793"/>
      <c r="C14" s="1794"/>
      <c r="D14" s="1788" t="s">
        <v>1272</v>
      </c>
      <c r="E14" s="987" t="s">
        <v>1910</v>
      </c>
      <c r="F14" s="766" t="str">
        <f t="shared" ca="1" si="1"/>
        <v>P</v>
      </c>
    </row>
    <row r="15" spans="1:6" x14ac:dyDescent="0.25">
      <c r="D15" s="1737" t="s">
        <v>1272</v>
      </c>
      <c r="E15" s="987" t="s">
        <v>2229</v>
      </c>
      <c r="F15" s="766"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72"/>
      <c r="K1" s="2072"/>
      <c r="L1" s="2072"/>
      <c r="M1" s="2072"/>
      <c r="N1" s="2072"/>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50" t="s">
        <v>1476</v>
      </c>
      <c r="C3" s="2059"/>
      <c r="D3" s="2059"/>
      <c r="E3" s="2059"/>
      <c r="F3" s="2059"/>
      <c r="G3" s="2059"/>
      <c r="H3" s="2059"/>
      <c r="I3" s="2059"/>
      <c r="J3" s="2059"/>
      <c r="K3" s="2059"/>
      <c r="L3" s="2059"/>
      <c r="M3" s="2059"/>
      <c r="N3" s="2059"/>
      <c r="O3" s="2059"/>
      <c r="P3" s="2059"/>
      <c r="Q3" s="2059"/>
      <c r="R3" s="2059"/>
      <c r="S3" s="2059"/>
      <c r="T3" s="2059"/>
      <c r="U3" s="2060"/>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51" t="s">
        <v>1477</v>
      </c>
      <c r="E5" s="2052"/>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58"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58"/>
    </row>
    <row r="7" spans="1:31" s="841" customFormat="1" ht="30" customHeight="1" thickBot="1" x14ac:dyDescent="0.3">
      <c r="A7" s="537"/>
      <c r="B7" s="883"/>
      <c r="C7" s="895" t="s">
        <v>1483</v>
      </c>
      <c r="D7" s="2053">
        <v>1201</v>
      </c>
      <c r="E7" s="2054"/>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55" t="str">
        <f>AA3</f>
        <v/>
      </c>
      <c r="E9" s="2056"/>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55" t="str">
        <f>AB3</f>
        <v/>
      </c>
      <c r="E11" s="2056"/>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71" t="s">
        <v>646</v>
      </c>
      <c r="E13" s="2044"/>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53" t="s">
        <v>1489</v>
      </c>
      <c r="E15" s="2054"/>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50" t="s">
        <v>1490</v>
      </c>
      <c r="C17" s="2059"/>
      <c r="D17" s="2059"/>
      <c r="E17" s="2059"/>
      <c r="F17" s="2059"/>
      <c r="G17" s="2059"/>
      <c r="H17" s="2059"/>
      <c r="I17" s="2059"/>
      <c r="J17" s="2059"/>
      <c r="K17" s="2059"/>
      <c r="L17" s="2059"/>
      <c r="M17" s="2059"/>
      <c r="N17" s="2059"/>
      <c r="O17" s="2059"/>
      <c r="P17" s="2059"/>
      <c r="Q17" s="2059"/>
      <c r="R17" s="2059"/>
      <c r="S17" s="2059"/>
      <c r="T17" s="2059"/>
      <c r="U17" s="2060"/>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51" t="s">
        <v>1477</v>
      </c>
      <c r="E19" s="2052"/>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58"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58"/>
    </row>
    <row r="21" spans="1:31" s="841" customFormat="1" ht="30.75" customHeight="1" thickBot="1" x14ac:dyDescent="0.3">
      <c r="A21" s="537"/>
      <c r="B21" s="883"/>
      <c r="C21" s="895" t="s">
        <v>1483</v>
      </c>
      <c r="D21" s="2053">
        <v>1202</v>
      </c>
      <c r="E21" s="2054"/>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55" t="str">
        <f>AA4</f>
        <v/>
      </c>
      <c r="E23" s="2056"/>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55" t="str">
        <f>AB4</f>
        <v/>
      </c>
      <c r="E25" s="2056"/>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43" t="s">
        <v>646</v>
      </c>
      <c r="E27" s="2044"/>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53" t="s">
        <v>1489</v>
      </c>
      <c r="E29" s="2054"/>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50" t="s">
        <v>1491</v>
      </c>
      <c r="C31" s="2059"/>
      <c r="D31" s="2059"/>
      <c r="E31" s="2059"/>
      <c r="F31" s="2059"/>
      <c r="G31" s="2059"/>
      <c r="H31" s="2059"/>
      <c r="I31" s="2059"/>
      <c r="J31" s="2059"/>
      <c r="K31" s="2059"/>
      <c r="L31" s="2059"/>
      <c r="M31" s="2059"/>
      <c r="N31" s="2059"/>
      <c r="O31" s="2059"/>
      <c r="P31" s="2059"/>
      <c r="Q31" s="2059"/>
      <c r="R31" s="2059"/>
      <c r="S31" s="2059"/>
      <c r="T31" s="2059"/>
      <c r="U31" s="2060"/>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51" t="s">
        <v>1492</v>
      </c>
      <c r="E33" s="2052"/>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58"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58"/>
    </row>
    <row r="35" spans="1:31" s="841" customFormat="1" ht="30.75" customHeight="1" thickBot="1" x14ac:dyDescent="0.3">
      <c r="A35" s="537"/>
      <c r="B35" s="883"/>
      <c r="C35" s="895" t="s">
        <v>1483</v>
      </c>
      <c r="D35" s="2053">
        <v>1401</v>
      </c>
      <c r="E35" s="2054"/>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55" t="str">
        <f>AA5</f>
        <v/>
      </c>
      <c r="E37" s="2056"/>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79">
        <v>5201</v>
      </c>
      <c r="X38" s="1543" t="s">
        <v>2132</v>
      </c>
      <c r="Y38" s="1579">
        <v>1</v>
      </c>
      <c r="Z38" s="845" t="str">
        <f>IF(Incentives!$E$435="Yes",IF(Incentives!$E$436=X38,326,""),"")</f>
        <v/>
      </c>
      <c r="AA38" s="967" t="str">
        <f>IF(Z38&lt;&gt;"",IF(AND(Incentives!E$438&lt;&gt;"",Z38=326),Incentives!E$438,""),"")</f>
        <v/>
      </c>
      <c r="AB38" s="967" t="str">
        <f>IF(Z38&lt;&gt;"",IF(AND(Incentives!E$439&lt;&gt;"",Z38=326),Incentives!E$439,""),"")</f>
        <v/>
      </c>
      <c r="AC38" s="1580">
        <v>629</v>
      </c>
    </row>
    <row r="39" spans="1:31" s="841" customFormat="1" ht="30" customHeight="1" thickBot="1" x14ac:dyDescent="0.3">
      <c r="A39" s="537"/>
      <c r="B39" s="883"/>
      <c r="C39" s="895" t="s">
        <v>1379</v>
      </c>
      <c r="D39" s="2055" t="str">
        <f>AB5</f>
        <v/>
      </c>
      <c r="E39" s="2056"/>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79">
        <v>5202</v>
      </c>
      <c r="X39" s="1612" t="s">
        <v>2132</v>
      </c>
      <c r="Y39" s="1579">
        <v>2</v>
      </c>
      <c r="Z39" s="845" t="str">
        <f>IF(Incentives!$E$443="Yes",IF(Incentives!$E$444=X39,334,""),"")</f>
        <v/>
      </c>
      <c r="AA39" s="967" t="str">
        <f>IF(Z39&lt;&gt;"",IF(AND(Incentives!E$446&lt;&gt;"",Z39=334),Incentives!E$446,""),"")</f>
        <v/>
      </c>
      <c r="AB39" s="967" t="str">
        <f>IF(AA39&lt;&gt;"",IF(AND(Incentives!E$447&lt;&gt;"",Z39=334),Incentives!E$447,""),"")</f>
        <v/>
      </c>
      <c r="AC39" s="1536">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79">
        <v>5203</v>
      </c>
      <c r="X40" s="1612" t="s">
        <v>2132</v>
      </c>
      <c r="Y40" s="1579">
        <v>3</v>
      </c>
      <c r="Z40" s="845" t="str">
        <f>IF(Incentives!$E$451="Yes",IF(Incentives!$E$452=X40,342,""),"")</f>
        <v/>
      </c>
      <c r="AA40" s="967" t="str">
        <f>IF(Z40&lt;&gt;"",IF(AND(Incentives!E$454&lt;&gt;"",Z40=342),Incentives!E$454,""),"")</f>
        <v/>
      </c>
      <c r="AB40" s="967" t="str">
        <f>IF(AA40&lt;&gt;"",IF(AND(Incentives!E$455&lt;&gt;"",Z40=342),Incentives!E$455,""),"")</f>
        <v/>
      </c>
      <c r="AC40" s="1580">
        <v>657</v>
      </c>
    </row>
    <row r="41" spans="1:31" s="841" customFormat="1" ht="30" customHeight="1" thickBot="1" x14ac:dyDescent="0.3">
      <c r="A41" s="537"/>
      <c r="B41" s="883"/>
      <c r="C41" s="901" t="s">
        <v>1487</v>
      </c>
      <c r="D41" s="2071" t="s">
        <v>646</v>
      </c>
      <c r="E41" s="2044"/>
      <c r="F41" s="883"/>
      <c r="G41" s="928"/>
      <c r="H41" s="883"/>
      <c r="I41" s="883"/>
      <c r="J41" s="883"/>
      <c r="K41" s="883"/>
      <c r="L41" s="883"/>
      <c r="M41" s="883"/>
      <c r="N41" s="883"/>
      <c r="O41" s="883"/>
      <c r="P41" s="883"/>
      <c r="Q41" s="883"/>
      <c r="R41" s="883"/>
      <c r="S41" s="883"/>
      <c r="T41" s="883"/>
      <c r="U41" s="883"/>
      <c r="W41" s="1579">
        <v>5204</v>
      </c>
      <c r="X41" s="1612" t="s">
        <v>2132</v>
      </c>
      <c r="Y41" s="1579">
        <v>4</v>
      </c>
      <c r="Z41" s="845" t="str">
        <f>IF(Incentives!$E$459="Yes",IF(Incentives!$E$460=X41,350,""),"")</f>
        <v/>
      </c>
      <c r="AA41" s="967" t="str">
        <f>IF(Z41&lt;&gt;"",IF(AND(Incentives!E$462&lt;&gt;"",Z41=350),Incentives!E$462,""),"")</f>
        <v/>
      </c>
      <c r="AB41" s="967" t="str">
        <f>IF(AA41&lt;&gt;"",IF(AND(Incentives!E$463&lt;&gt;"",Z41=350),Incentives!E$463,""),"")</f>
        <v/>
      </c>
      <c r="AC41" s="1580">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79">
        <v>5205</v>
      </c>
      <c r="X42" s="1612" t="s">
        <v>2132</v>
      </c>
      <c r="Y42" s="1579">
        <v>5</v>
      </c>
      <c r="Z42" s="845" t="str">
        <f>IF(Incentives!$E$467="Yes",IF(Incentives!$E$468=X42,358,""),"")</f>
        <v/>
      </c>
      <c r="AA42" s="967" t="str">
        <f>IF(Z42&lt;&gt;"",IF(AND(Incentives!E$470&lt;&gt;"",Z42=358),Incentives!E$470,""),"")</f>
        <v/>
      </c>
      <c r="AB42" s="967" t="str">
        <f>IF(AA42&lt;&gt;"",IF(AND(Incentives!E$471&lt;&gt;"",Z42=358),Incentives!E$471,""),"")</f>
        <v/>
      </c>
      <c r="AC42" s="1580">
        <v>685</v>
      </c>
    </row>
    <row r="43" spans="1:31" s="841" customFormat="1" ht="18" customHeight="1" thickBot="1" x14ac:dyDescent="0.3">
      <c r="A43" s="537"/>
      <c r="B43" s="883"/>
      <c r="C43" s="895" t="s">
        <v>1488</v>
      </c>
      <c r="D43" s="2053" t="s">
        <v>1489</v>
      </c>
      <c r="E43" s="2054"/>
      <c r="F43" s="883"/>
      <c r="G43" s="928"/>
      <c r="H43" s="883"/>
      <c r="I43" s="883"/>
      <c r="J43" s="883"/>
      <c r="K43" s="883"/>
      <c r="L43" s="883"/>
      <c r="M43" s="883"/>
      <c r="N43" s="883"/>
      <c r="O43" s="883"/>
      <c r="P43" s="883"/>
      <c r="Q43" s="883"/>
      <c r="R43" s="1515" t="s">
        <v>648</v>
      </c>
      <c r="S43" s="883"/>
      <c r="T43" s="925" t="str">
        <f>IF(Z5&lt;&gt;"","Yes","No")</f>
        <v>No</v>
      </c>
      <c r="U43" s="883"/>
      <c r="AC43" s="1608"/>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50" t="s">
        <v>1503</v>
      </c>
      <c r="C45" s="2059"/>
      <c r="D45" s="2059"/>
      <c r="E45" s="2059"/>
      <c r="F45" s="2059"/>
      <c r="G45" s="2059"/>
      <c r="H45" s="2059"/>
      <c r="I45" s="2059"/>
      <c r="J45" s="2059"/>
      <c r="K45" s="2059"/>
      <c r="L45" s="2059"/>
      <c r="M45" s="2059"/>
      <c r="N45" s="2059"/>
      <c r="O45" s="2059"/>
      <c r="P45" s="2059"/>
      <c r="Q45" s="2059"/>
      <c r="R45" s="2059"/>
      <c r="S45" s="2059"/>
      <c r="T45" s="2059"/>
      <c r="U45" s="2060"/>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51" t="s">
        <v>1492</v>
      </c>
      <c r="E47" s="2052"/>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58"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58"/>
    </row>
    <row r="49" spans="1:31" s="841" customFormat="1" ht="30.75" customHeight="1" thickBot="1" x14ac:dyDescent="0.3">
      <c r="A49" s="537"/>
      <c r="B49" s="883"/>
      <c r="C49" s="895" t="s">
        <v>1483</v>
      </c>
      <c r="D49" s="2053">
        <v>1402</v>
      </c>
      <c r="E49" s="2054"/>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55" t="str">
        <f>AA6</f>
        <v/>
      </c>
      <c r="E51" s="2056"/>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55" t="str">
        <f>AB6</f>
        <v/>
      </c>
      <c r="E53" s="2056"/>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43" t="s">
        <v>646</v>
      </c>
      <c r="E55" s="2044"/>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53" t="s">
        <v>1489</v>
      </c>
      <c r="E57" s="2054"/>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50" t="s">
        <v>1504</v>
      </c>
      <c r="C59" s="2059"/>
      <c r="D59" s="2059"/>
      <c r="E59" s="2059"/>
      <c r="F59" s="2059"/>
      <c r="G59" s="2059"/>
      <c r="H59" s="2059"/>
      <c r="I59" s="2059"/>
      <c r="J59" s="2059"/>
      <c r="K59" s="2059"/>
      <c r="L59" s="2059"/>
      <c r="M59" s="2059"/>
      <c r="N59" s="2059"/>
      <c r="O59" s="2059"/>
      <c r="P59" s="2059"/>
      <c r="Q59" s="2059"/>
      <c r="R59" s="2059"/>
      <c r="S59" s="2059"/>
      <c r="T59" s="2059"/>
      <c r="U59" s="2060"/>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51" t="s">
        <v>1505</v>
      </c>
      <c r="E61" s="2052"/>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58"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58"/>
    </row>
    <row r="63" spans="1:31" s="841" customFormat="1" ht="30" customHeight="1" thickBot="1" x14ac:dyDescent="0.3">
      <c r="A63" s="537"/>
      <c r="B63" s="883"/>
      <c r="C63" s="895" t="s">
        <v>1483</v>
      </c>
      <c r="D63" s="2053">
        <v>1501</v>
      </c>
      <c r="E63" s="2054"/>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55" t="str">
        <f>AA7</f>
        <v/>
      </c>
      <c r="E65" s="2056"/>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55" t="str">
        <f>AB7</f>
        <v/>
      </c>
      <c r="E67" s="2056"/>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43" t="s">
        <v>646</v>
      </c>
      <c r="E71" s="2044"/>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53" t="s">
        <v>1489</v>
      </c>
      <c r="E73" s="2054"/>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50" t="s">
        <v>1506</v>
      </c>
      <c r="C75" s="2059"/>
      <c r="D75" s="2059"/>
      <c r="E75" s="2059"/>
      <c r="F75" s="2059"/>
      <c r="G75" s="2059"/>
      <c r="H75" s="2059"/>
      <c r="I75" s="2059"/>
      <c r="J75" s="2059"/>
      <c r="K75" s="2059"/>
      <c r="L75" s="2059"/>
      <c r="M75" s="2059"/>
      <c r="N75" s="2059"/>
      <c r="O75" s="2059"/>
      <c r="P75" s="2059"/>
      <c r="Q75" s="2059"/>
      <c r="R75" s="2059"/>
      <c r="S75" s="2059"/>
      <c r="T75" s="2059"/>
      <c r="U75" s="2060"/>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51" t="s">
        <v>1505</v>
      </c>
      <c r="E77" s="2052"/>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58"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58"/>
    </row>
    <row r="79" spans="1:31" s="841" customFormat="1" ht="30" customHeight="1" thickBot="1" x14ac:dyDescent="0.3">
      <c r="A79" s="537"/>
      <c r="B79" s="883"/>
      <c r="C79" s="895" t="s">
        <v>1483</v>
      </c>
      <c r="D79" s="2053">
        <v>1502</v>
      </c>
      <c r="E79" s="2054"/>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55" t="str">
        <f>AA8</f>
        <v/>
      </c>
      <c r="E81" s="2056"/>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55" t="str">
        <f>AB8</f>
        <v/>
      </c>
      <c r="E83" s="2056"/>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43" t="s">
        <v>646</v>
      </c>
      <c r="E87" s="2044"/>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53" t="s">
        <v>1489</v>
      </c>
      <c r="E89" s="2054"/>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50" t="s">
        <v>1507</v>
      </c>
      <c r="C91" s="2059"/>
      <c r="D91" s="2059"/>
      <c r="E91" s="2059"/>
      <c r="F91" s="2059"/>
      <c r="G91" s="2059"/>
      <c r="H91" s="2059"/>
      <c r="I91" s="2059"/>
      <c r="J91" s="2059"/>
      <c r="K91" s="2059"/>
      <c r="L91" s="2059"/>
      <c r="M91" s="2059"/>
      <c r="N91" s="2059"/>
      <c r="O91" s="2059"/>
      <c r="P91" s="2059"/>
      <c r="Q91" s="2059"/>
      <c r="R91" s="2059"/>
      <c r="S91" s="2059"/>
      <c r="T91" s="2059"/>
      <c r="U91" s="2060"/>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51" t="s">
        <v>1514</v>
      </c>
      <c r="E93" s="2052"/>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58"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58"/>
    </row>
    <row r="95" spans="1:31" ht="30" customHeight="1" thickBot="1" x14ac:dyDescent="0.3">
      <c r="A95" s="537"/>
      <c r="B95" s="887"/>
      <c r="C95" s="898" t="s">
        <v>1483</v>
      </c>
      <c r="D95" s="2053">
        <v>5501</v>
      </c>
      <c r="E95" s="2054"/>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55" t="str">
        <f>AA9</f>
        <v/>
      </c>
      <c r="E97" s="2056"/>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55" t="str">
        <f>AB9</f>
        <v/>
      </c>
      <c r="E99" s="2056"/>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71" t="s">
        <v>646</v>
      </c>
      <c r="E101" s="2044"/>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53" t="s">
        <v>1517</v>
      </c>
      <c r="E103" s="2036"/>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50" t="s">
        <v>1518</v>
      </c>
      <c r="C105" s="2035"/>
      <c r="D105" s="2035"/>
      <c r="E105" s="2035"/>
      <c r="F105" s="2035"/>
      <c r="G105" s="2035"/>
      <c r="H105" s="2035"/>
      <c r="I105" s="2035"/>
      <c r="J105" s="2035"/>
      <c r="K105" s="2035"/>
      <c r="L105" s="2035"/>
      <c r="M105" s="2035"/>
      <c r="N105" s="2035"/>
      <c r="O105" s="2035"/>
      <c r="P105" s="2035"/>
      <c r="Q105" s="2035"/>
      <c r="R105" s="2035"/>
      <c r="S105" s="2035"/>
      <c r="T105" s="2035"/>
      <c r="U105" s="2036"/>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51" t="s">
        <v>1514</v>
      </c>
      <c r="E107" s="2052"/>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58"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58"/>
    </row>
    <row r="109" spans="1:31" ht="30.75" thickBot="1" x14ac:dyDescent="0.3">
      <c r="A109" s="537"/>
      <c r="B109" s="887"/>
      <c r="C109" s="898" t="s">
        <v>1483</v>
      </c>
      <c r="D109" s="2053">
        <v>5502</v>
      </c>
      <c r="E109" s="2054"/>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55" t="str">
        <f>AA10</f>
        <v/>
      </c>
      <c r="E111" s="2056"/>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55" t="str">
        <f>AB10</f>
        <v/>
      </c>
      <c r="E113" s="2056"/>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43" t="s">
        <v>646</v>
      </c>
      <c r="E115" s="2044"/>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53" t="s">
        <v>1517</v>
      </c>
      <c r="E117" s="2036"/>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50" t="s">
        <v>1519</v>
      </c>
      <c r="C119" s="2035"/>
      <c r="D119" s="2035"/>
      <c r="E119" s="2035"/>
      <c r="F119" s="2035"/>
      <c r="G119" s="2035"/>
      <c r="H119" s="2035"/>
      <c r="I119" s="2035"/>
      <c r="J119" s="2035"/>
      <c r="K119" s="2035"/>
      <c r="L119" s="2035"/>
      <c r="M119" s="2035"/>
      <c r="N119" s="2035"/>
      <c r="O119" s="2035"/>
      <c r="P119" s="2035"/>
      <c r="Q119" s="2035"/>
      <c r="R119" s="2035"/>
      <c r="S119" s="2035"/>
      <c r="T119" s="2035"/>
      <c r="U119" s="2036"/>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51" t="s">
        <v>1515</v>
      </c>
      <c r="E121" s="2052"/>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58"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58"/>
    </row>
    <row r="123" spans="1:31" ht="30.75" thickBot="1" x14ac:dyDescent="0.3">
      <c r="A123" s="537"/>
      <c r="B123" s="887"/>
      <c r="C123" s="898" t="s">
        <v>1483</v>
      </c>
      <c r="D123" s="2053">
        <v>2801</v>
      </c>
      <c r="E123" s="2054"/>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55" t="str">
        <f>AA11</f>
        <v/>
      </c>
      <c r="E125" s="2056"/>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55" t="str">
        <f>AB11</f>
        <v/>
      </c>
      <c r="E127" s="2056"/>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43" t="s">
        <v>646</v>
      </c>
      <c r="E131" s="2044"/>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53" t="s">
        <v>1517</v>
      </c>
      <c r="E133" s="2036"/>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50" t="s">
        <v>1520</v>
      </c>
      <c r="C135" s="2035"/>
      <c r="D135" s="2035"/>
      <c r="E135" s="2035"/>
      <c r="F135" s="2035"/>
      <c r="G135" s="2035"/>
      <c r="H135" s="2035"/>
      <c r="I135" s="2035"/>
      <c r="J135" s="2035"/>
      <c r="K135" s="2035"/>
      <c r="L135" s="2035"/>
      <c r="M135" s="2035"/>
      <c r="N135" s="2035"/>
      <c r="O135" s="2035"/>
      <c r="P135" s="2035"/>
      <c r="Q135" s="2035"/>
      <c r="R135" s="2035"/>
      <c r="S135" s="2035"/>
      <c r="T135" s="2035"/>
      <c r="U135" s="2036"/>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51" t="s">
        <v>1515</v>
      </c>
      <c r="E137" s="2052"/>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58"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58"/>
    </row>
    <row r="139" spans="1:31" ht="30.75" thickBot="1" x14ac:dyDescent="0.3">
      <c r="A139" s="537"/>
      <c r="B139" s="887"/>
      <c r="C139" s="898" t="s">
        <v>1483</v>
      </c>
      <c r="D139" s="2053">
        <v>2802</v>
      </c>
      <c r="E139" s="2054"/>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55" t="str">
        <f>AA12</f>
        <v/>
      </c>
      <c r="E141" s="2056"/>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55" t="str">
        <f>AB12</f>
        <v/>
      </c>
      <c r="E143" s="2056"/>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43" t="s">
        <v>646</v>
      </c>
      <c r="E147" s="2044"/>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53" t="s">
        <v>1517</v>
      </c>
      <c r="E149" s="2036"/>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50" t="s">
        <v>1521</v>
      </c>
      <c r="C151" s="2035"/>
      <c r="D151" s="2035"/>
      <c r="E151" s="2035"/>
      <c r="F151" s="2035"/>
      <c r="G151" s="2035"/>
      <c r="H151" s="2035"/>
      <c r="I151" s="2035"/>
      <c r="J151" s="2035"/>
      <c r="K151" s="2035"/>
      <c r="L151" s="2035"/>
      <c r="M151" s="2035"/>
      <c r="N151" s="2035"/>
      <c r="O151" s="2035"/>
      <c r="P151" s="2035"/>
      <c r="Q151" s="2035"/>
      <c r="R151" s="2035"/>
      <c r="S151" s="2035"/>
      <c r="T151" s="2035"/>
      <c r="U151" s="2036"/>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51" t="s">
        <v>1522</v>
      </c>
      <c r="E153" s="2052"/>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58"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58"/>
    </row>
    <row r="155" spans="1:31" ht="28.5" customHeight="1" thickBot="1" x14ac:dyDescent="0.3">
      <c r="A155" s="537"/>
      <c r="B155" s="887"/>
      <c r="C155" s="898" t="s">
        <v>1483</v>
      </c>
      <c r="D155" s="2053">
        <v>3401</v>
      </c>
      <c r="E155" s="2054"/>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55" t="str">
        <f>AA13</f>
        <v/>
      </c>
      <c r="E157" s="2056"/>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55" t="str">
        <f>AB13</f>
        <v/>
      </c>
      <c r="E159" s="2056"/>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43" t="s">
        <v>646</v>
      </c>
      <c r="E161" s="2044"/>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53" t="s">
        <v>1523</v>
      </c>
      <c r="E163" s="2036"/>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50" t="s">
        <v>1524</v>
      </c>
      <c r="C165" s="2035"/>
      <c r="D165" s="2035"/>
      <c r="E165" s="2035"/>
      <c r="F165" s="2035"/>
      <c r="G165" s="2035"/>
      <c r="H165" s="2035"/>
      <c r="I165" s="2035"/>
      <c r="J165" s="2035"/>
      <c r="K165" s="2035"/>
      <c r="L165" s="2035"/>
      <c r="M165" s="2035"/>
      <c r="N165" s="2035"/>
      <c r="O165" s="2035"/>
      <c r="P165" s="2035"/>
      <c r="Q165" s="2035"/>
      <c r="R165" s="2035"/>
      <c r="S165" s="2035"/>
      <c r="T165" s="2035"/>
      <c r="U165" s="2036"/>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51" t="s">
        <v>1522</v>
      </c>
      <c r="E167" s="2052"/>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58"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58"/>
    </row>
    <row r="169" spans="1:31" ht="30.75" thickBot="1" x14ac:dyDescent="0.3">
      <c r="A169" s="537"/>
      <c r="B169" s="902"/>
      <c r="C169" s="895" t="s">
        <v>1483</v>
      </c>
      <c r="D169" s="2053">
        <v>3402</v>
      </c>
      <c r="E169" s="2054"/>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55" t="str">
        <f>AA14</f>
        <v/>
      </c>
      <c r="E171" s="2056"/>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55" t="str">
        <f>AB14</f>
        <v/>
      </c>
      <c r="E173" s="2056"/>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43" t="s">
        <v>646</v>
      </c>
      <c r="E175" s="2044"/>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53" t="s">
        <v>1523</v>
      </c>
      <c r="E177" s="2036"/>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50" t="s">
        <v>1525</v>
      </c>
      <c r="C179" s="2035"/>
      <c r="D179" s="2035"/>
      <c r="E179" s="2035"/>
      <c r="F179" s="2035"/>
      <c r="G179" s="2035"/>
      <c r="H179" s="2035"/>
      <c r="I179" s="2035"/>
      <c r="J179" s="2035"/>
      <c r="K179" s="2035"/>
      <c r="L179" s="2035"/>
      <c r="M179" s="2035"/>
      <c r="N179" s="2035"/>
      <c r="O179" s="2035"/>
      <c r="P179" s="2035"/>
      <c r="Q179" s="2035"/>
      <c r="R179" s="2035"/>
      <c r="S179" s="2035"/>
      <c r="T179" s="2035"/>
      <c r="U179" s="2036"/>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51" t="s">
        <v>1526</v>
      </c>
      <c r="E181" s="2052"/>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58"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58"/>
    </row>
    <row r="183" spans="1:31" ht="30.75" thickBot="1" x14ac:dyDescent="0.3">
      <c r="A183" s="537"/>
      <c r="B183" s="902"/>
      <c r="C183" s="895" t="s">
        <v>1483</v>
      </c>
      <c r="D183" s="2053">
        <v>3501</v>
      </c>
      <c r="E183" s="2054"/>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55" t="str">
        <f>AA15</f>
        <v/>
      </c>
      <c r="E185" s="2056"/>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55" t="str">
        <f>AB15</f>
        <v/>
      </c>
      <c r="E187" s="2056"/>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43" t="s">
        <v>646</v>
      </c>
      <c r="E189" s="2044"/>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53" t="s">
        <v>1523</v>
      </c>
      <c r="E191" s="2036"/>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50" t="s">
        <v>1527</v>
      </c>
      <c r="C193" s="2035"/>
      <c r="D193" s="2035"/>
      <c r="E193" s="2035"/>
      <c r="F193" s="2035"/>
      <c r="G193" s="2035"/>
      <c r="H193" s="2035"/>
      <c r="I193" s="2035"/>
      <c r="J193" s="2035"/>
      <c r="K193" s="2035"/>
      <c r="L193" s="2035"/>
      <c r="M193" s="2035"/>
      <c r="N193" s="2035"/>
      <c r="O193" s="2035"/>
      <c r="P193" s="2035"/>
      <c r="Q193" s="2035"/>
      <c r="R193" s="2035"/>
      <c r="S193" s="2035"/>
      <c r="T193" s="2035"/>
      <c r="U193" s="2036"/>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51" t="s">
        <v>1526</v>
      </c>
      <c r="E195" s="2052"/>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58"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58"/>
    </row>
    <row r="197" spans="1:31" ht="30.75" thickBot="1" x14ac:dyDescent="0.3">
      <c r="A197" s="537"/>
      <c r="B197" s="902"/>
      <c r="C197" s="895" t="s">
        <v>1483</v>
      </c>
      <c r="D197" s="2053">
        <v>3502</v>
      </c>
      <c r="E197" s="2054"/>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55" t="str">
        <f>AA16</f>
        <v/>
      </c>
      <c r="E199" s="2056"/>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55" t="str">
        <f>AB16</f>
        <v/>
      </c>
      <c r="E201" s="2056"/>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43" t="s">
        <v>646</v>
      </c>
      <c r="E203" s="2044"/>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53" t="s">
        <v>1523</v>
      </c>
      <c r="E205" s="2036"/>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50" t="s">
        <v>1528</v>
      </c>
      <c r="C207" s="2035"/>
      <c r="D207" s="2035"/>
      <c r="E207" s="2035"/>
      <c r="F207" s="2035"/>
      <c r="G207" s="2035"/>
      <c r="H207" s="2035"/>
      <c r="I207" s="2035"/>
      <c r="J207" s="2035"/>
      <c r="K207" s="2035"/>
      <c r="L207" s="2035"/>
      <c r="M207" s="2035"/>
      <c r="N207" s="2035"/>
      <c r="O207" s="2035"/>
      <c r="P207" s="2035"/>
      <c r="Q207" s="2035"/>
      <c r="R207" s="2035"/>
      <c r="S207" s="2035"/>
      <c r="T207" s="2035"/>
      <c r="U207" s="2036"/>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51" t="s">
        <v>1529</v>
      </c>
      <c r="E209" s="2052"/>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58"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58"/>
    </row>
    <row r="211" spans="1:31" ht="30.75" thickBot="1" x14ac:dyDescent="0.3">
      <c r="A211" s="537"/>
      <c r="B211" s="902"/>
      <c r="C211" s="895" t="s">
        <v>1483</v>
      </c>
      <c r="D211" s="2053">
        <v>3601</v>
      </c>
      <c r="E211" s="2054"/>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55" t="str">
        <f>AA17</f>
        <v/>
      </c>
      <c r="E213" s="2056"/>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55" t="str">
        <f>AB17</f>
        <v/>
      </c>
      <c r="E215" s="2056"/>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71" t="s">
        <v>646</v>
      </c>
      <c r="E219" s="2044"/>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53" t="s">
        <v>1523</v>
      </c>
      <c r="E221" s="2036"/>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50" t="s">
        <v>1530</v>
      </c>
      <c r="C223" s="2035"/>
      <c r="D223" s="2035"/>
      <c r="E223" s="2035"/>
      <c r="F223" s="2035"/>
      <c r="G223" s="2035"/>
      <c r="H223" s="2035"/>
      <c r="I223" s="2035"/>
      <c r="J223" s="2035"/>
      <c r="K223" s="2035"/>
      <c r="L223" s="2035"/>
      <c r="M223" s="2035"/>
      <c r="N223" s="2035"/>
      <c r="O223" s="2035"/>
      <c r="P223" s="2035"/>
      <c r="Q223" s="2035"/>
      <c r="R223" s="2035"/>
      <c r="S223" s="2035"/>
      <c r="T223" s="2035"/>
      <c r="U223" s="2036"/>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51" t="s">
        <v>1529</v>
      </c>
      <c r="E225" s="2052"/>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58"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58"/>
    </row>
    <row r="227" spans="1:31" ht="30" customHeight="1" thickBot="1" x14ac:dyDescent="0.3">
      <c r="A227" s="537"/>
      <c r="B227" s="902"/>
      <c r="C227" s="895" t="s">
        <v>1483</v>
      </c>
      <c r="D227" s="2053">
        <v>3602</v>
      </c>
      <c r="E227" s="2054"/>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55" t="str">
        <f>AA18</f>
        <v/>
      </c>
      <c r="E229" s="2056"/>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55" t="str">
        <f>AB18</f>
        <v/>
      </c>
      <c r="E231" s="2056"/>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43" t="s">
        <v>646</v>
      </c>
      <c r="E235" s="2044"/>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53" t="s">
        <v>1523</v>
      </c>
      <c r="E237" s="2036"/>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61" t="s">
        <v>1672</v>
      </c>
      <c r="C239" s="2062"/>
      <c r="D239" s="2062"/>
      <c r="E239" s="2062"/>
      <c r="F239" s="2062"/>
      <c r="G239" s="2062"/>
      <c r="H239" s="2062"/>
      <c r="I239" s="2062"/>
      <c r="J239" s="2062"/>
      <c r="K239" s="2062"/>
      <c r="L239" s="2062"/>
      <c r="M239" s="2062"/>
      <c r="N239" s="2062"/>
      <c r="O239" s="2062"/>
      <c r="P239" s="2062"/>
      <c r="Q239" s="2062"/>
      <c r="R239" s="2062"/>
      <c r="S239" s="2062"/>
      <c r="T239" s="2062"/>
      <c r="U239" s="2063"/>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51" t="s">
        <v>1531</v>
      </c>
      <c r="E241" s="2052"/>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58"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58"/>
    </row>
    <row r="243" spans="1:31" ht="30" customHeight="1" thickBot="1" x14ac:dyDescent="0.3">
      <c r="A243" s="894"/>
      <c r="B243" s="902"/>
      <c r="C243" s="895" t="s">
        <v>1483</v>
      </c>
      <c r="D243" s="2053">
        <v>1301</v>
      </c>
      <c r="E243" s="2054"/>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55" t="str">
        <f>AA19</f>
        <v/>
      </c>
      <c r="E245" s="2056"/>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55" t="str">
        <f>AB19</f>
        <v/>
      </c>
      <c r="E247" s="2056"/>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43" t="s">
        <v>648</v>
      </c>
      <c r="E249" s="2044"/>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53" t="s">
        <v>1489</v>
      </c>
      <c r="E251" s="2036"/>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61" t="s">
        <v>1671</v>
      </c>
      <c r="C253" s="2062"/>
      <c r="D253" s="2062"/>
      <c r="E253" s="2062"/>
      <c r="F253" s="2062"/>
      <c r="G253" s="2062"/>
      <c r="H253" s="2062"/>
      <c r="I253" s="2062"/>
      <c r="J253" s="2062"/>
      <c r="K253" s="2062"/>
      <c r="L253" s="2062"/>
      <c r="M253" s="2062"/>
      <c r="N253" s="2062"/>
      <c r="O253" s="2062"/>
      <c r="P253" s="2062"/>
      <c r="Q253" s="2062"/>
      <c r="R253" s="2062"/>
      <c r="S253" s="2062"/>
      <c r="T253" s="2062"/>
      <c r="U253" s="2063"/>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51" t="s">
        <v>1531</v>
      </c>
      <c r="E255" s="2052"/>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58"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58"/>
    </row>
    <row r="257" spans="1:31" s="972" customFormat="1" ht="30" customHeight="1" thickBot="1" x14ac:dyDescent="0.3">
      <c r="B257" s="902"/>
      <c r="C257" s="895" t="s">
        <v>1483</v>
      </c>
      <c r="D257" s="2053">
        <v>1302</v>
      </c>
      <c r="E257" s="2054"/>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55" t="str">
        <f>AA20</f>
        <v/>
      </c>
      <c r="E259" s="2056"/>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55" t="str">
        <f>AB20</f>
        <v/>
      </c>
      <c r="E261" s="2056"/>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43" t="s">
        <v>648</v>
      </c>
      <c r="E263" s="2044"/>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53" t="s">
        <v>1489</v>
      </c>
      <c r="E265" s="2036"/>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61" t="s">
        <v>1673</v>
      </c>
      <c r="C267" s="2062"/>
      <c r="D267" s="2062"/>
      <c r="E267" s="2062"/>
      <c r="F267" s="2062"/>
      <c r="G267" s="2062"/>
      <c r="H267" s="2062"/>
      <c r="I267" s="2062"/>
      <c r="J267" s="2062"/>
      <c r="K267" s="2062"/>
      <c r="L267" s="2062"/>
      <c r="M267" s="2062"/>
      <c r="N267" s="2062"/>
      <c r="O267" s="2062"/>
      <c r="P267" s="2062"/>
      <c r="Q267" s="2062"/>
      <c r="R267" s="2062"/>
      <c r="S267" s="2062"/>
      <c r="T267" s="2062"/>
      <c r="U267" s="2063"/>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51" t="s">
        <v>1531</v>
      </c>
      <c r="E269" s="2052"/>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58"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58"/>
    </row>
    <row r="271" spans="1:31" s="972" customFormat="1" ht="30" customHeight="1" thickBot="1" x14ac:dyDescent="0.3">
      <c r="B271" s="902"/>
      <c r="C271" s="895" t="s">
        <v>1483</v>
      </c>
      <c r="D271" s="2053">
        <v>1303</v>
      </c>
      <c r="E271" s="2054"/>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55" t="str">
        <f>AA21</f>
        <v/>
      </c>
      <c r="E273" s="2056"/>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55" t="str">
        <f>AB21</f>
        <v/>
      </c>
      <c r="E275" s="2056"/>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43" t="s">
        <v>648</v>
      </c>
      <c r="E277" s="2044"/>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53" t="s">
        <v>1489</v>
      </c>
      <c r="E279" s="2036"/>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61" t="s">
        <v>1674</v>
      </c>
      <c r="C281" s="2062"/>
      <c r="D281" s="2062"/>
      <c r="E281" s="2062"/>
      <c r="F281" s="2062"/>
      <c r="G281" s="2062"/>
      <c r="H281" s="2062"/>
      <c r="I281" s="2062"/>
      <c r="J281" s="2062"/>
      <c r="K281" s="2062"/>
      <c r="L281" s="2062"/>
      <c r="M281" s="2062"/>
      <c r="N281" s="2062"/>
      <c r="O281" s="2062"/>
      <c r="P281" s="2062"/>
      <c r="Q281" s="2062"/>
      <c r="R281" s="2062"/>
      <c r="S281" s="2062"/>
      <c r="T281" s="2062"/>
      <c r="U281" s="2063"/>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51" t="s">
        <v>1531</v>
      </c>
      <c r="E283" s="2052"/>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58"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58"/>
    </row>
    <row r="285" spans="1:31" s="972" customFormat="1" ht="30" customHeight="1" thickBot="1" x14ac:dyDescent="0.3">
      <c r="B285" s="902"/>
      <c r="C285" s="895" t="s">
        <v>1483</v>
      </c>
      <c r="D285" s="2053">
        <v>1304</v>
      </c>
      <c r="E285" s="2054"/>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55" t="str">
        <f>AA22</f>
        <v/>
      </c>
      <c r="E287" s="2056"/>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55" t="str">
        <f>AB22</f>
        <v/>
      </c>
      <c r="E289" s="2056"/>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43" t="s">
        <v>648</v>
      </c>
      <c r="E291" s="2044"/>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53" t="s">
        <v>1489</v>
      </c>
      <c r="E293" s="2036"/>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61" t="s">
        <v>1675</v>
      </c>
      <c r="C295" s="2062"/>
      <c r="D295" s="2062"/>
      <c r="E295" s="2062"/>
      <c r="F295" s="2062"/>
      <c r="G295" s="2062"/>
      <c r="H295" s="2062"/>
      <c r="I295" s="2062"/>
      <c r="J295" s="2062"/>
      <c r="K295" s="2062"/>
      <c r="L295" s="2062"/>
      <c r="M295" s="2062"/>
      <c r="N295" s="2062"/>
      <c r="O295" s="2062"/>
      <c r="P295" s="2062"/>
      <c r="Q295" s="2062"/>
      <c r="R295" s="2062"/>
      <c r="S295" s="2062"/>
      <c r="T295" s="2062"/>
      <c r="U295" s="2063"/>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51" t="s">
        <v>1531</v>
      </c>
      <c r="E297" s="2052"/>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58"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58"/>
    </row>
    <row r="299" spans="1:31" s="972" customFormat="1" ht="30" customHeight="1" thickBot="1" x14ac:dyDescent="0.3">
      <c r="B299" s="902"/>
      <c r="C299" s="895" t="s">
        <v>1483</v>
      </c>
      <c r="D299" s="2053">
        <v>1305</v>
      </c>
      <c r="E299" s="2054"/>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55" t="str">
        <f>AA23</f>
        <v/>
      </c>
      <c r="E301" s="2056"/>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55" t="str">
        <f>AB23</f>
        <v/>
      </c>
      <c r="E303" s="2056"/>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43" t="s">
        <v>648</v>
      </c>
      <c r="E305" s="2044"/>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53" t="s">
        <v>1489</v>
      </c>
      <c r="E307" s="2036"/>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50" t="s">
        <v>1534</v>
      </c>
      <c r="C309" s="2035"/>
      <c r="D309" s="2035"/>
      <c r="E309" s="2035"/>
      <c r="F309" s="2035"/>
      <c r="G309" s="2035"/>
      <c r="H309" s="2035"/>
      <c r="I309" s="2035"/>
      <c r="J309" s="2035"/>
      <c r="K309" s="2035"/>
      <c r="L309" s="2035"/>
      <c r="M309" s="2035"/>
      <c r="N309" s="2035"/>
      <c r="O309" s="2035"/>
      <c r="P309" s="2035"/>
      <c r="Q309" s="2035"/>
      <c r="R309" s="2035"/>
      <c r="S309" s="2035"/>
      <c r="T309" s="2035"/>
      <c r="U309" s="2036"/>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51" t="s">
        <v>1532</v>
      </c>
      <c r="E311" s="2052"/>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58"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58"/>
    </row>
    <row r="313" spans="1:31" ht="30" customHeight="1" thickBot="1" x14ac:dyDescent="0.3">
      <c r="A313" s="934"/>
      <c r="B313" s="902"/>
      <c r="C313" s="895" t="s">
        <v>1483</v>
      </c>
      <c r="D313" s="2053">
        <v>4001</v>
      </c>
      <c r="E313" s="2054"/>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55" t="str">
        <f>AA24</f>
        <v/>
      </c>
      <c r="E315" s="2056"/>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55" t="str">
        <f>AB24</f>
        <v/>
      </c>
      <c r="E317" s="2056"/>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43" t="s">
        <v>646</v>
      </c>
      <c r="E319" s="2044"/>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53" t="s">
        <v>1489</v>
      </c>
      <c r="E321" s="2036"/>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61" t="s">
        <v>1695</v>
      </c>
      <c r="C323" s="2062"/>
      <c r="D323" s="2062"/>
      <c r="E323" s="2062"/>
      <c r="F323" s="2062"/>
      <c r="G323" s="2062"/>
      <c r="H323" s="2062"/>
      <c r="I323" s="2062"/>
      <c r="J323" s="2062"/>
      <c r="K323" s="2062"/>
      <c r="L323" s="2062"/>
      <c r="M323" s="2062"/>
      <c r="N323" s="2062"/>
      <c r="O323" s="2062"/>
      <c r="P323" s="2062"/>
      <c r="Q323" s="2062"/>
      <c r="R323" s="2062"/>
      <c r="S323" s="2062"/>
      <c r="T323" s="2062"/>
      <c r="U323" s="2063"/>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65" t="s">
        <v>1592</v>
      </c>
      <c r="E325" s="2066"/>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58"/>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58"/>
    </row>
    <row r="327" spans="1:31" ht="30.75" thickBot="1" x14ac:dyDescent="0.3">
      <c r="A327" s="936"/>
      <c r="B327" s="937"/>
      <c r="C327" s="938" t="s">
        <v>1483</v>
      </c>
      <c r="D327" s="2064">
        <v>4601</v>
      </c>
      <c r="E327" s="2067"/>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55" t="str">
        <f>AA25</f>
        <v/>
      </c>
      <c r="E329" s="2056"/>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55" t="str">
        <f>AB25</f>
        <v/>
      </c>
      <c r="E331" s="2056"/>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43" t="s">
        <v>646</v>
      </c>
      <c r="E333" s="2044"/>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64" t="s">
        <v>1598</v>
      </c>
      <c r="E335" s="2063"/>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61" t="s">
        <v>1696</v>
      </c>
      <c r="C337" s="2062"/>
      <c r="D337" s="2062"/>
      <c r="E337" s="2062"/>
      <c r="F337" s="2062"/>
      <c r="G337" s="2062"/>
      <c r="H337" s="2062"/>
      <c r="I337" s="2062"/>
      <c r="J337" s="2062"/>
      <c r="K337" s="2062"/>
      <c r="L337" s="2062"/>
      <c r="M337" s="2062"/>
      <c r="N337" s="2062"/>
      <c r="O337" s="2062"/>
      <c r="P337" s="2062"/>
      <c r="Q337" s="2062"/>
      <c r="R337" s="2062"/>
      <c r="S337" s="2062"/>
      <c r="T337" s="2062"/>
      <c r="U337" s="2063"/>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65" t="s">
        <v>1592</v>
      </c>
      <c r="E339" s="2066"/>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58"/>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58"/>
    </row>
    <row r="341" spans="1:31" ht="30.75" thickBot="1" x14ac:dyDescent="0.3">
      <c r="A341" s="936"/>
      <c r="B341" s="937"/>
      <c r="C341" s="938" t="s">
        <v>1483</v>
      </c>
      <c r="D341" s="2064">
        <v>4602</v>
      </c>
      <c r="E341" s="2067"/>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55" t="str">
        <f>AA26</f>
        <v/>
      </c>
      <c r="E343" s="2056"/>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55" t="str">
        <f>AB26</f>
        <v/>
      </c>
      <c r="E345" s="2056"/>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43" t="s">
        <v>646</v>
      </c>
      <c r="E347" s="2044"/>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64" t="s">
        <v>1598</v>
      </c>
      <c r="E349" s="2063"/>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8" t="s">
        <v>1887</v>
      </c>
      <c r="C351" s="2069"/>
      <c r="D351" s="2069"/>
      <c r="E351" s="2069"/>
      <c r="F351" s="2069"/>
      <c r="G351" s="2069"/>
      <c r="H351" s="2069"/>
      <c r="I351" s="2069"/>
      <c r="J351" s="2069"/>
      <c r="K351" s="2069"/>
      <c r="L351" s="2069"/>
      <c r="M351" s="2069"/>
      <c r="N351" s="2069"/>
      <c r="O351" s="2069"/>
      <c r="P351" s="2069"/>
      <c r="Q351" s="2069"/>
      <c r="R351" s="2069"/>
      <c r="S351" s="2069"/>
      <c r="T351" s="2069"/>
      <c r="U351" s="2070"/>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65" t="s">
        <v>1622</v>
      </c>
      <c r="E353" s="2066"/>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58"/>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58"/>
    </row>
    <row r="355" spans="1:31" ht="30.75" thickBot="1" x14ac:dyDescent="0.3">
      <c r="A355" s="936"/>
      <c r="B355" s="937"/>
      <c r="C355" s="938" t="s">
        <v>1483</v>
      </c>
      <c r="D355" s="2064">
        <v>4901</v>
      </c>
      <c r="E355" s="2067"/>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55" t="str">
        <f>AA27</f>
        <v/>
      </c>
      <c r="E357" s="2056"/>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55" t="str">
        <f>AB27</f>
        <v/>
      </c>
      <c r="E359" s="2056"/>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43" t="s">
        <v>646</v>
      </c>
      <c r="E361" s="2044"/>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64" t="s">
        <v>1598</v>
      </c>
      <c r="E363" s="2063"/>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61" t="s">
        <v>1599</v>
      </c>
      <c r="C365" s="2062"/>
      <c r="D365" s="2062"/>
      <c r="E365" s="2062"/>
      <c r="F365" s="2062"/>
      <c r="G365" s="2062"/>
      <c r="H365" s="2062"/>
      <c r="I365" s="2062"/>
      <c r="J365" s="2062"/>
      <c r="K365" s="2062"/>
      <c r="L365" s="2062"/>
      <c r="M365" s="2062"/>
      <c r="N365" s="2062"/>
      <c r="O365" s="2062"/>
      <c r="P365" s="2062"/>
      <c r="Q365" s="2062"/>
      <c r="R365" s="2062"/>
      <c r="S365" s="2062"/>
      <c r="T365" s="2062"/>
      <c r="U365" s="2063"/>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65" t="s">
        <v>1600</v>
      </c>
      <c r="E367" s="2066"/>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58"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58"/>
    </row>
    <row r="369" spans="1:31" ht="30.75" thickBot="1" x14ac:dyDescent="0.3">
      <c r="A369" s="936"/>
      <c r="B369" s="937"/>
      <c r="C369" s="938" t="s">
        <v>1483</v>
      </c>
      <c r="D369" s="2064">
        <v>5001</v>
      </c>
      <c r="E369" s="2067"/>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55" t="str">
        <f>AA28</f>
        <v/>
      </c>
      <c r="E371" s="2056"/>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55" t="str">
        <f>AB28</f>
        <v/>
      </c>
      <c r="E373" s="2056"/>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43" t="s">
        <v>646</v>
      </c>
      <c r="E375" s="2044"/>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64" t="s">
        <v>1489</v>
      </c>
      <c r="E377" s="2063"/>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61" t="s">
        <v>1601</v>
      </c>
      <c r="C379" s="2062"/>
      <c r="D379" s="2062"/>
      <c r="E379" s="2062"/>
      <c r="F379" s="2062"/>
      <c r="G379" s="2062"/>
      <c r="H379" s="2062"/>
      <c r="I379" s="2062"/>
      <c r="J379" s="2062"/>
      <c r="K379" s="2062"/>
      <c r="L379" s="2062"/>
      <c r="M379" s="2062"/>
      <c r="N379" s="2062"/>
      <c r="O379" s="2062"/>
      <c r="P379" s="2062"/>
      <c r="Q379" s="2062"/>
      <c r="R379" s="2062"/>
      <c r="S379" s="2062"/>
      <c r="T379" s="2062"/>
      <c r="U379" s="2063"/>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51" t="s">
        <v>1127</v>
      </c>
      <c r="E381" s="2052"/>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58"/>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58"/>
    </row>
    <row r="383" spans="1:31" ht="30.75" thickBot="1" x14ac:dyDescent="0.3">
      <c r="A383" s="936"/>
      <c r="B383" s="902"/>
      <c r="C383" s="898" t="s">
        <v>1483</v>
      </c>
      <c r="D383" s="2053">
        <v>801</v>
      </c>
      <c r="E383" s="2054"/>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55" t="str">
        <f>AA29</f>
        <v/>
      </c>
      <c r="E385" s="2056"/>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55" t="str">
        <f>AB29</f>
        <v/>
      </c>
      <c r="E387" s="2056"/>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43" t="s">
        <v>646</v>
      </c>
      <c r="E389" s="2044"/>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53" t="s">
        <v>1598</v>
      </c>
      <c r="E391" s="2036"/>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50" t="s">
        <v>1603</v>
      </c>
      <c r="C393" s="2035"/>
      <c r="D393" s="2035"/>
      <c r="E393" s="2035"/>
      <c r="F393" s="2035"/>
      <c r="G393" s="2035"/>
      <c r="H393" s="2035"/>
      <c r="I393" s="2035"/>
      <c r="J393" s="2035"/>
      <c r="K393" s="2035"/>
      <c r="L393" s="2035"/>
      <c r="M393" s="2035"/>
      <c r="N393" s="2035"/>
      <c r="O393" s="2035"/>
      <c r="P393" s="2035"/>
      <c r="Q393" s="2035"/>
      <c r="R393" s="2035"/>
      <c r="S393" s="2035"/>
      <c r="T393" s="2035"/>
      <c r="U393" s="2036"/>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51" t="s">
        <v>1604</v>
      </c>
      <c r="E395" s="2052"/>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58"/>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58"/>
    </row>
    <row r="397" spans="1:31" ht="30.75" thickBot="1" x14ac:dyDescent="0.3">
      <c r="A397" s="936"/>
      <c r="B397" s="902"/>
      <c r="C397" s="895" t="s">
        <v>1483</v>
      </c>
      <c r="D397" s="2053">
        <v>901</v>
      </c>
      <c r="E397" s="2054"/>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55" t="str">
        <f>AA30</f>
        <v/>
      </c>
      <c r="E399" s="2056"/>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55" t="str">
        <f>AB30</f>
        <v/>
      </c>
      <c r="E401" s="2056"/>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43" t="s">
        <v>646</v>
      </c>
      <c r="E403" s="2044"/>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53" t="s">
        <v>1598</v>
      </c>
      <c r="E405" s="2036"/>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50" t="s">
        <v>1605</v>
      </c>
      <c r="C407" s="2035"/>
      <c r="D407" s="2035"/>
      <c r="E407" s="2035"/>
      <c r="F407" s="2035"/>
      <c r="G407" s="2035"/>
      <c r="H407" s="2035"/>
      <c r="I407" s="2035"/>
      <c r="J407" s="2035"/>
      <c r="K407" s="2035"/>
      <c r="L407" s="2035"/>
      <c r="M407" s="2035"/>
      <c r="N407" s="2035"/>
      <c r="O407" s="2035"/>
      <c r="P407" s="2035"/>
      <c r="Q407" s="2035"/>
      <c r="R407" s="2035"/>
      <c r="S407" s="2035"/>
      <c r="T407" s="2035"/>
      <c r="U407" s="2036"/>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51" t="s">
        <v>1606</v>
      </c>
      <c r="E409" s="2052"/>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58"/>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58"/>
    </row>
    <row r="411" spans="1:31" ht="30.75" thickBot="1" x14ac:dyDescent="0.3">
      <c r="A411" s="936"/>
      <c r="B411" s="902"/>
      <c r="C411" s="895" t="s">
        <v>1483</v>
      </c>
      <c r="D411" s="2053">
        <v>501</v>
      </c>
      <c r="E411" s="2054"/>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55" t="str">
        <f>AA31</f>
        <v/>
      </c>
      <c r="E413" s="2056"/>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55" t="str">
        <f>AB31</f>
        <v/>
      </c>
      <c r="E415" s="2056"/>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43" t="s">
        <v>646</v>
      </c>
      <c r="E417" s="2044"/>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53" t="s">
        <v>1598</v>
      </c>
      <c r="E419" s="2036"/>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50" t="s">
        <v>1607</v>
      </c>
      <c r="C421" s="2035"/>
      <c r="D421" s="2035"/>
      <c r="E421" s="2035"/>
      <c r="F421" s="2035"/>
      <c r="G421" s="2035"/>
      <c r="H421" s="2035"/>
      <c r="I421" s="2035"/>
      <c r="J421" s="2035"/>
      <c r="K421" s="2035"/>
      <c r="L421" s="2035"/>
      <c r="M421" s="2035"/>
      <c r="N421" s="2035"/>
      <c r="O421" s="2035"/>
      <c r="P421" s="2035"/>
      <c r="Q421" s="2035"/>
      <c r="R421" s="2035"/>
      <c r="S421" s="2035"/>
      <c r="T421" s="2035"/>
      <c r="U421" s="2036"/>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51" t="s">
        <v>1606</v>
      </c>
      <c r="E423" s="2052"/>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58"/>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58"/>
    </row>
    <row r="425" spans="1:31" ht="30.75" thickBot="1" x14ac:dyDescent="0.3">
      <c r="A425" s="936"/>
      <c r="B425" s="902"/>
      <c r="C425" s="895" t="s">
        <v>1483</v>
      </c>
      <c r="D425" s="2057">
        <v>502</v>
      </c>
      <c r="E425" s="2054"/>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55" t="str">
        <f>AA32</f>
        <v/>
      </c>
      <c r="E427" s="2056"/>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55" t="str">
        <f>AB32</f>
        <v/>
      </c>
      <c r="E429" s="2056"/>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43" t="s">
        <v>646</v>
      </c>
      <c r="E431" s="2044"/>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53" t="s">
        <v>1598</v>
      </c>
      <c r="E433" s="2036"/>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50" t="s">
        <v>1608</v>
      </c>
      <c r="C435" s="2035"/>
      <c r="D435" s="2035"/>
      <c r="E435" s="2035"/>
      <c r="F435" s="2035"/>
      <c r="G435" s="2035"/>
      <c r="H435" s="2035"/>
      <c r="I435" s="2035"/>
      <c r="J435" s="2035"/>
      <c r="K435" s="2035"/>
      <c r="L435" s="2035"/>
      <c r="M435" s="2035"/>
      <c r="N435" s="2035"/>
      <c r="O435" s="2035"/>
      <c r="P435" s="2035"/>
      <c r="Q435" s="2035"/>
      <c r="R435" s="2035"/>
      <c r="S435" s="2035"/>
      <c r="T435" s="2035"/>
      <c r="U435" s="2036"/>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51" t="s">
        <v>1609</v>
      </c>
      <c r="E437" s="2052"/>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58"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58"/>
    </row>
    <row r="439" spans="1:31" ht="30.75" thickBot="1" x14ac:dyDescent="0.3">
      <c r="A439" s="936"/>
      <c r="B439" s="902"/>
      <c r="C439" s="895" t="s">
        <v>1483</v>
      </c>
      <c r="D439" s="2053">
        <v>5601</v>
      </c>
      <c r="E439" s="2054"/>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55" t="str">
        <f>AA33</f>
        <v/>
      </c>
      <c r="E441" s="2056"/>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55" t="str">
        <f>AB33</f>
        <v/>
      </c>
      <c r="E443" s="2056"/>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43" t="s">
        <v>646</v>
      </c>
      <c r="E445" s="2044"/>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53" t="s">
        <v>1598</v>
      </c>
      <c r="E447" s="2036"/>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50" t="s">
        <v>1610</v>
      </c>
      <c r="C449" s="2035"/>
      <c r="D449" s="2035"/>
      <c r="E449" s="2035"/>
      <c r="F449" s="2035"/>
      <c r="G449" s="2035"/>
      <c r="H449" s="2035"/>
      <c r="I449" s="2035"/>
      <c r="J449" s="2035"/>
      <c r="K449" s="2035"/>
      <c r="L449" s="2035"/>
      <c r="M449" s="2035"/>
      <c r="N449" s="2035"/>
      <c r="O449" s="2035"/>
      <c r="P449" s="2035"/>
      <c r="Q449" s="2035"/>
      <c r="R449" s="2035"/>
      <c r="S449" s="2035"/>
      <c r="T449" s="2035"/>
      <c r="U449" s="2036"/>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51" t="s">
        <v>1609</v>
      </c>
      <c r="E451" s="2052"/>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58"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58"/>
    </row>
    <row r="453" spans="1:31" ht="30.75" thickBot="1" x14ac:dyDescent="0.3">
      <c r="A453" s="936"/>
      <c r="B453" s="902"/>
      <c r="C453" s="895" t="s">
        <v>1483</v>
      </c>
      <c r="D453" s="2053">
        <v>5602</v>
      </c>
      <c r="E453" s="2054"/>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55" t="str">
        <f>AA34</f>
        <v/>
      </c>
      <c r="E455" s="2056"/>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55" t="str">
        <f>AB34</f>
        <v/>
      </c>
      <c r="E457" s="2056"/>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43" t="s">
        <v>646</v>
      </c>
      <c r="E459" s="2044"/>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53" t="s">
        <v>1598</v>
      </c>
      <c r="E461" s="2036"/>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50" t="s">
        <v>1611</v>
      </c>
      <c r="C463" s="2035"/>
      <c r="D463" s="2035"/>
      <c r="E463" s="2035"/>
      <c r="F463" s="2035"/>
      <c r="G463" s="2035"/>
      <c r="H463" s="2035"/>
      <c r="I463" s="2035"/>
      <c r="J463" s="2035"/>
      <c r="K463" s="2035"/>
      <c r="L463" s="2035"/>
      <c r="M463" s="2035"/>
      <c r="N463" s="2035"/>
      <c r="O463" s="2035"/>
      <c r="P463" s="2035"/>
      <c r="Q463" s="2035"/>
      <c r="R463" s="2035"/>
      <c r="S463" s="2035"/>
      <c r="T463" s="2035"/>
      <c r="U463" s="2036"/>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51" t="s">
        <v>1612</v>
      </c>
      <c r="E465" s="2052"/>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58"/>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58"/>
    </row>
    <row r="467" spans="1:31" ht="30.75" thickBot="1" x14ac:dyDescent="0.3">
      <c r="A467" s="936"/>
      <c r="B467" s="902"/>
      <c r="C467" s="895" t="s">
        <v>1483</v>
      </c>
      <c r="D467" s="2053">
        <v>601</v>
      </c>
      <c r="E467" s="2054"/>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73" t="s">
        <v>1613</v>
      </c>
      <c r="O468" s="2073"/>
      <c r="P468" s="2073"/>
      <c r="Q468" s="902"/>
      <c r="R468" s="898" t="s">
        <v>1595</v>
      </c>
      <c r="S468" s="902"/>
      <c r="T468" s="898" t="s">
        <v>1596</v>
      </c>
      <c r="U468" s="902"/>
    </row>
    <row r="469" spans="1:31" ht="30.75" customHeight="1" thickBot="1" x14ac:dyDescent="0.3">
      <c r="A469" s="936"/>
      <c r="B469" s="902"/>
      <c r="C469" s="895" t="s">
        <v>1378</v>
      </c>
      <c r="D469" s="2055" t="str">
        <f>AA35</f>
        <v/>
      </c>
      <c r="E469" s="2056"/>
      <c r="F469" s="902"/>
      <c r="G469" s="902"/>
      <c r="H469" s="863"/>
      <c r="I469" s="902"/>
      <c r="J469" s="864">
        <v>1</v>
      </c>
      <c r="K469" s="902"/>
      <c r="L469" s="863"/>
      <c r="M469" s="902"/>
      <c r="N469" s="2074" t="s">
        <v>1614</v>
      </c>
      <c r="O469" s="2074"/>
      <c r="P469" s="2074"/>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75" t="s">
        <v>1615</v>
      </c>
      <c r="O470" s="2075"/>
      <c r="P470" s="2075"/>
      <c r="Q470" s="902"/>
      <c r="R470" s="902"/>
      <c r="S470" s="902"/>
      <c r="T470" s="902"/>
      <c r="U470" s="902"/>
    </row>
    <row r="471" spans="1:31" ht="30.75" thickBot="1" x14ac:dyDescent="0.3">
      <c r="A471" s="936"/>
      <c r="B471" s="902"/>
      <c r="C471" s="895" t="s">
        <v>1379</v>
      </c>
      <c r="D471" s="2055" t="str">
        <f>AB35</f>
        <v/>
      </c>
      <c r="E471" s="2056"/>
      <c r="F471" s="902"/>
      <c r="G471" s="902"/>
      <c r="H471" s="897" t="s">
        <v>1484</v>
      </c>
      <c r="I471" s="902"/>
      <c r="J471" s="864">
        <v>3</v>
      </c>
      <c r="K471" s="902"/>
      <c r="L471" s="889"/>
      <c r="M471" s="902"/>
      <c r="N471" s="2075" t="s">
        <v>1616</v>
      </c>
      <c r="O471" s="2075"/>
      <c r="P471" s="2075"/>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74" t="s">
        <v>1617</v>
      </c>
      <c r="O472" s="2074"/>
      <c r="P472" s="2074"/>
      <c r="Q472" s="902"/>
      <c r="R472" s="902"/>
      <c r="S472" s="902"/>
      <c r="T472" s="925" t="s">
        <v>648</v>
      </c>
      <c r="U472" s="902"/>
    </row>
    <row r="473" spans="1:31" ht="30.75" thickBot="1" x14ac:dyDescent="0.3">
      <c r="A473" s="936"/>
      <c r="B473" s="902"/>
      <c r="C473" s="896" t="s">
        <v>1487</v>
      </c>
      <c r="D473" s="2043" t="s">
        <v>646</v>
      </c>
      <c r="E473" s="2044"/>
      <c r="F473" s="902"/>
      <c r="G473" s="902"/>
      <c r="H473" s="902"/>
      <c r="I473" s="902"/>
      <c r="J473" s="864">
        <v>5</v>
      </c>
      <c r="K473" s="902"/>
      <c r="L473" s="889"/>
      <c r="M473" s="902"/>
      <c r="N473" s="2074" t="s">
        <v>1618</v>
      </c>
      <c r="O473" s="2074"/>
      <c r="P473" s="2074"/>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53" t="s">
        <v>1598</v>
      </c>
      <c r="E475" s="2036"/>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50" t="s">
        <v>1619</v>
      </c>
      <c r="C477" s="2035"/>
      <c r="D477" s="2035"/>
      <c r="E477" s="2035"/>
      <c r="F477" s="2035"/>
      <c r="G477" s="2035"/>
      <c r="H477" s="2035"/>
      <c r="I477" s="2035"/>
      <c r="J477" s="2035"/>
      <c r="K477" s="2035"/>
      <c r="L477" s="2035"/>
      <c r="M477" s="2035"/>
      <c r="N477" s="2035"/>
      <c r="O477" s="2035"/>
      <c r="P477" s="2035"/>
      <c r="Q477" s="2035"/>
      <c r="R477" s="2035"/>
      <c r="S477" s="2035"/>
      <c r="T477" s="2035"/>
      <c r="U477" s="2036"/>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51" t="s">
        <v>1612</v>
      </c>
      <c r="E479" s="2052"/>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58"/>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58"/>
    </row>
    <row r="481" spans="1:31" ht="30.75" thickBot="1" x14ac:dyDescent="0.3">
      <c r="A481" s="936"/>
      <c r="B481" s="902"/>
      <c r="C481" s="895" t="s">
        <v>1483</v>
      </c>
      <c r="D481" s="2053">
        <v>602</v>
      </c>
      <c r="E481" s="2054"/>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73" t="s">
        <v>1613</v>
      </c>
      <c r="O482" s="2073"/>
      <c r="P482" s="2073"/>
      <c r="Q482" s="902"/>
      <c r="R482" s="898" t="s">
        <v>1595</v>
      </c>
      <c r="S482" s="902"/>
      <c r="T482" s="898" t="s">
        <v>1596</v>
      </c>
      <c r="U482" s="902"/>
    </row>
    <row r="483" spans="1:31" ht="30.75" customHeight="1" thickBot="1" x14ac:dyDescent="0.3">
      <c r="A483" s="936"/>
      <c r="B483" s="902"/>
      <c r="C483" s="895" t="s">
        <v>1378</v>
      </c>
      <c r="D483" s="2055" t="str">
        <f>AA36</f>
        <v/>
      </c>
      <c r="E483" s="2056"/>
      <c r="F483" s="902"/>
      <c r="G483" s="902"/>
      <c r="H483" s="924"/>
      <c r="I483" s="902"/>
      <c r="J483" s="864">
        <v>1</v>
      </c>
      <c r="K483" s="902"/>
      <c r="L483" s="889"/>
      <c r="M483" s="902"/>
      <c r="N483" s="2074" t="s">
        <v>1614</v>
      </c>
      <c r="O483" s="2074"/>
      <c r="P483" s="2074"/>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74" t="s">
        <v>1615</v>
      </c>
      <c r="O484" s="2074"/>
      <c r="P484" s="2074"/>
      <c r="Q484" s="902"/>
      <c r="R484" s="902"/>
      <c r="S484" s="902"/>
      <c r="T484" s="902"/>
      <c r="U484" s="902"/>
    </row>
    <row r="485" spans="1:31" ht="30.75" thickBot="1" x14ac:dyDescent="0.3">
      <c r="A485" s="936"/>
      <c r="B485" s="902"/>
      <c r="C485" s="895" t="s">
        <v>1379</v>
      </c>
      <c r="D485" s="2055" t="str">
        <f>AB36</f>
        <v/>
      </c>
      <c r="E485" s="2056"/>
      <c r="F485" s="902"/>
      <c r="G485" s="902"/>
      <c r="H485" s="897" t="s">
        <v>1484</v>
      </c>
      <c r="I485" s="902"/>
      <c r="J485" s="864">
        <v>3</v>
      </c>
      <c r="K485" s="902"/>
      <c r="L485" s="889"/>
      <c r="M485" s="902"/>
      <c r="N485" s="2074" t="s">
        <v>1616</v>
      </c>
      <c r="O485" s="2074"/>
      <c r="P485" s="2074"/>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74" t="s">
        <v>1617</v>
      </c>
      <c r="O486" s="2074"/>
      <c r="P486" s="2074"/>
      <c r="Q486" s="902"/>
      <c r="R486" s="902"/>
      <c r="S486" s="902"/>
      <c r="T486" s="925" t="s">
        <v>648</v>
      </c>
      <c r="U486" s="902"/>
    </row>
    <row r="487" spans="1:31" ht="30.75" thickBot="1" x14ac:dyDescent="0.3">
      <c r="A487" s="936"/>
      <c r="B487" s="902"/>
      <c r="C487" s="896" t="s">
        <v>1487</v>
      </c>
      <c r="D487" s="2043" t="s">
        <v>646</v>
      </c>
      <c r="E487" s="2044"/>
      <c r="F487" s="902"/>
      <c r="G487" s="902"/>
      <c r="H487" s="902"/>
      <c r="I487" s="902"/>
      <c r="J487" s="864">
        <v>5</v>
      </c>
      <c r="K487" s="902"/>
      <c r="L487" s="889"/>
      <c r="M487" s="902"/>
      <c r="N487" s="2074" t="s">
        <v>1618</v>
      </c>
      <c r="O487" s="2074"/>
      <c r="P487" s="2074"/>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53" t="s">
        <v>1598</v>
      </c>
      <c r="E489" s="2036"/>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50" t="s">
        <v>1620</v>
      </c>
      <c r="C491" s="2035"/>
      <c r="D491" s="2035"/>
      <c r="E491" s="2035"/>
      <c r="F491" s="2035"/>
      <c r="G491" s="2035"/>
      <c r="H491" s="2035"/>
      <c r="I491" s="2035"/>
      <c r="J491" s="2035"/>
      <c r="K491" s="2035"/>
      <c r="L491" s="2035"/>
      <c r="M491" s="2035"/>
      <c r="N491" s="2035"/>
      <c r="O491" s="2035"/>
      <c r="P491" s="2035"/>
      <c r="Q491" s="2035"/>
      <c r="R491" s="2035"/>
      <c r="S491" s="2035"/>
      <c r="T491" s="2035"/>
      <c r="U491" s="2036"/>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51" t="s">
        <v>1621</v>
      </c>
      <c r="E493" s="2052"/>
      <c r="F493" s="902"/>
      <c r="G493" s="902"/>
      <c r="H493" s="902"/>
      <c r="I493" s="902"/>
      <c r="J493" s="898" t="s">
        <v>1374</v>
      </c>
      <c r="K493" s="902"/>
      <c r="L493" s="898" t="s">
        <v>1390</v>
      </c>
      <c r="M493" s="902"/>
      <c r="N493" s="902"/>
      <c r="O493" s="902"/>
      <c r="P493" s="902"/>
      <c r="Q493" s="902"/>
      <c r="R493" s="902"/>
      <c r="S493" s="902"/>
      <c r="T493" s="902"/>
      <c r="U493" s="902"/>
      <c r="AE493" s="2058"/>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58"/>
    </row>
    <row r="495" spans="1:31" ht="30.75" thickBot="1" x14ac:dyDescent="0.3">
      <c r="A495" s="936"/>
      <c r="B495" s="902"/>
      <c r="C495" s="895" t="s">
        <v>1483</v>
      </c>
      <c r="D495" s="2053">
        <v>1001</v>
      </c>
      <c r="E495" s="2054"/>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55" t="str">
        <f>AA37</f>
        <v/>
      </c>
      <c r="E497" s="2056"/>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55" t="str">
        <f>AB37</f>
        <v/>
      </c>
      <c r="E499" s="2056"/>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43" t="s">
        <v>646</v>
      </c>
      <c r="E501" s="2044"/>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50" t="s">
        <v>1999</v>
      </c>
      <c r="C503" s="2035"/>
      <c r="D503" s="2035"/>
      <c r="E503" s="2035"/>
      <c r="F503" s="2035"/>
      <c r="G503" s="2035"/>
      <c r="H503" s="2035"/>
      <c r="I503" s="2035"/>
      <c r="J503" s="2035"/>
      <c r="K503" s="2035"/>
      <c r="L503" s="2035"/>
      <c r="M503" s="2035"/>
      <c r="N503" s="2035"/>
      <c r="O503" s="2035"/>
      <c r="P503" s="2035"/>
      <c r="Q503" s="2035"/>
      <c r="R503" s="2035"/>
      <c r="S503" s="2035"/>
      <c r="T503" s="2035"/>
      <c r="U503" s="2036"/>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51" t="s">
        <v>1767</v>
      </c>
      <c r="E505" s="2052"/>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53">
        <v>5301</v>
      </c>
      <c r="E507" s="2054"/>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55" t="str">
        <f>IF(T515="Yes",Incentives!E229,"")</f>
        <v/>
      </c>
      <c r="E509" s="2056"/>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55" t="str">
        <f>IF(T515="Yes",Incentives!E230,"")</f>
        <v/>
      </c>
      <c r="E511" s="2056"/>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57" t="s">
        <v>648</v>
      </c>
      <c r="E513" s="2054"/>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53" t="s">
        <v>1598</v>
      </c>
      <c r="E515" s="2036"/>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50" t="s">
        <v>2000</v>
      </c>
      <c r="C517" s="2035"/>
      <c r="D517" s="2035"/>
      <c r="E517" s="2035"/>
      <c r="F517" s="2035"/>
      <c r="G517" s="2035"/>
      <c r="H517" s="2035"/>
      <c r="I517" s="2035"/>
      <c r="J517" s="2035"/>
      <c r="K517" s="2035"/>
      <c r="L517" s="2035"/>
      <c r="M517" s="2035"/>
      <c r="N517" s="2035"/>
      <c r="O517" s="2035"/>
      <c r="P517" s="2035"/>
      <c r="Q517" s="2035"/>
      <c r="R517" s="2035"/>
      <c r="S517" s="2035"/>
      <c r="T517" s="2035"/>
      <c r="U517" s="2036"/>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51" t="s">
        <v>1767</v>
      </c>
      <c r="E519" s="2052"/>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53">
        <v>5302</v>
      </c>
      <c r="E521" s="2054"/>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55" t="str">
        <f>IF(T529="Yes",Incentives!E240,"")</f>
        <v/>
      </c>
      <c r="E523" s="2056"/>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55" t="str">
        <f>IF(T529="Yes",Incentives!E241,"")</f>
        <v/>
      </c>
      <c r="E525" s="2056"/>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57" t="s">
        <v>648</v>
      </c>
      <c r="E527" s="2054"/>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53" t="s">
        <v>1598</v>
      </c>
      <c r="E529" s="2036"/>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50" t="s">
        <v>2001</v>
      </c>
      <c r="C531" s="2035"/>
      <c r="D531" s="2035"/>
      <c r="E531" s="2035"/>
      <c r="F531" s="2035"/>
      <c r="G531" s="2035"/>
      <c r="H531" s="2035"/>
      <c r="I531" s="2035"/>
      <c r="J531" s="2035"/>
      <c r="K531" s="2035"/>
      <c r="L531" s="2035"/>
      <c r="M531" s="2035"/>
      <c r="N531" s="2035"/>
      <c r="O531" s="2035"/>
      <c r="P531" s="2035"/>
      <c r="Q531" s="2035"/>
      <c r="R531" s="2035"/>
      <c r="S531" s="2035"/>
      <c r="T531" s="2035"/>
      <c r="U531" s="2036"/>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51" t="s">
        <v>1767</v>
      </c>
      <c r="E533" s="2052"/>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53">
        <v>5303</v>
      </c>
      <c r="E535" s="2054"/>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55" t="str">
        <f>IF(T543="Yes",Incentives!E251,"")</f>
        <v/>
      </c>
      <c r="E537" s="2056"/>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55" t="str">
        <f>IF(T543="Yes",Incentives!E252,"")</f>
        <v/>
      </c>
      <c r="E539" s="2056"/>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57" t="s">
        <v>648</v>
      </c>
      <c r="E541" s="2054"/>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53" t="s">
        <v>1598</v>
      </c>
      <c r="E543" s="2036"/>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50" t="s">
        <v>2002</v>
      </c>
      <c r="C545" s="2035"/>
      <c r="D545" s="2035"/>
      <c r="E545" s="2035"/>
      <c r="F545" s="2035"/>
      <c r="G545" s="2035"/>
      <c r="H545" s="2035"/>
      <c r="I545" s="2035"/>
      <c r="J545" s="2035"/>
      <c r="K545" s="2035"/>
      <c r="L545" s="2035"/>
      <c r="M545" s="2035"/>
      <c r="N545" s="2035"/>
      <c r="O545" s="2035"/>
      <c r="P545" s="2035"/>
      <c r="Q545" s="2035"/>
      <c r="R545" s="2035"/>
      <c r="S545" s="2035"/>
      <c r="T545" s="2035"/>
      <c r="U545" s="2036"/>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51" t="s">
        <v>1767</v>
      </c>
      <c r="E547" s="2052"/>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53">
        <v>5304</v>
      </c>
      <c r="E549" s="2054"/>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55" t="str">
        <f>IF(T557="Yes",Incentives!E262,"")</f>
        <v/>
      </c>
      <c r="E551" s="2056"/>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55" t="str">
        <f>IF(T557="Yes",Incentives!E263,"")</f>
        <v/>
      </c>
      <c r="E553" s="2056"/>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57" t="s">
        <v>648</v>
      </c>
      <c r="E555" s="2054"/>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53" t="s">
        <v>1598</v>
      </c>
      <c r="E557" s="2036"/>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50" t="s">
        <v>2003</v>
      </c>
      <c r="C559" s="2035"/>
      <c r="D559" s="2035"/>
      <c r="E559" s="2035"/>
      <c r="F559" s="2035"/>
      <c r="G559" s="2035"/>
      <c r="H559" s="2035"/>
      <c r="I559" s="2035"/>
      <c r="J559" s="2035"/>
      <c r="K559" s="2035"/>
      <c r="L559" s="2035"/>
      <c r="M559" s="2035"/>
      <c r="N559" s="2035"/>
      <c r="O559" s="2035"/>
      <c r="P559" s="2035"/>
      <c r="Q559" s="2035"/>
      <c r="R559" s="2035"/>
      <c r="S559" s="2035"/>
      <c r="T559" s="2035"/>
      <c r="U559" s="2036"/>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51" t="s">
        <v>1767</v>
      </c>
      <c r="E561" s="2052"/>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53">
        <v>5305</v>
      </c>
      <c r="E563" s="2054"/>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55" t="str">
        <f>IF(T571="Yes",Incentives!E273,"")</f>
        <v/>
      </c>
      <c r="E565" s="2056"/>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55" t="str">
        <f>IF(T571="Yes",Incentives!E274,"")</f>
        <v/>
      </c>
      <c r="E567" s="2056"/>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57" t="s">
        <v>648</v>
      </c>
      <c r="E569" s="2054"/>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53" t="s">
        <v>1598</v>
      </c>
      <c r="E571" s="2036"/>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50" t="s">
        <v>2004</v>
      </c>
      <c r="C573" s="2035"/>
      <c r="D573" s="2035"/>
      <c r="E573" s="2035"/>
      <c r="F573" s="2035"/>
      <c r="G573" s="2035"/>
      <c r="H573" s="2035"/>
      <c r="I573" s="2035"/>
      <c r="J573" s="2035"/>
      <c r="K573" s="2035"/>
      <c r="L573" s="2035"/>
      <c r="M573" s="2035"/>
      <c r="N573" s="2035"/>
      <c r="O573" s="2035"/>
      <c r="P573" s="2035"/>
      <c r="Q573" s="2035"/>
      <c r="R573" s="2035"/>
      <c r="S573" s="2035"/>
      <c r="T573" s="2035"/>
      <c r="U573" s="2036"/>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51" t="s">
        <v>1767</v>
      </c>
      <c r="E575" s="2052"/>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53">
        <v>5306</v>
      </c>
      <c r="E577" s="2054"/>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55" t="str">
        <f>IF(T585="Yes",Incentives!E284,"")</f>
        <v/>
      </c>
      <c r="E579" s="2056"/>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55" t="str">
        <f>IF(T585="Yes",Incentives!E285,"")</f>
        <v/>
      </c>
      <c r="E581" s="2056"/>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57" t="s">
        <v>648</v>
      </c>
      <c r="E583" s="2054"/>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53" t="s">
        <v>1598</v>
      </c>
      <c r="E585" s="2036"/>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50" t="s">
        <v>2005</v>
      </c>
      <c r="C587" s="2035"/>
      <c r="D587" s="2035"/>
      <c r="E587" s="2035"/>
      <c r="F587" s="2035"/>
      <c r="G587" s="2035"/>
      <c r="H587" s="2035"/>
      <c r="I587" s="2035"/>
      <c r="J587" s="2035"/>
      <c r="K587" s="2035"/>
      <c r="L587" s="2035"/>
      <c r="M587" s="2035"/>
      <c r="N587" s="2035"/>
      <c r="O587" s="2035"/>
      <c r="P587" s="2035"/>
      <c r="Q587" s="2035"/>
      <c r="R587" s="2035"/>
      <c r="S587" s="2035"/>
      <c r="T587" s="2035"/>
      <c r="U587" s="2036"/>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51" t="s">
        <v>1767</v>
      </c>
      <c r="E589" s="2052"/>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53">
        <v>5307</v>
      </c>
      <c r="E591" s="2054"/>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55" t="str">
        <f>IF(T599="Yes",Incentives!E295,"")</f>
        <v/>
      </c>
      <c r="E593" s="2056"/>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55" t="str">
        <f>IF(T599="Yes",Incentives!E296,"")</f>
        <v/>
      </c>
      <c r="E595" s="2056"/>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57" t="s">
        <v>648</v>
      </c>
      <c r="E597" s="2054"/>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53" t="s">
        <v>1598</v>
      </c>
      <c r="E599" s="2036"/>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50" t="s">
        <v>2006</v>
      </c>
      <c r="C601" s="2035"/>
      <c r="D601" s="2035"/>
      <c r="E601" s="2035"/>
      <c r="F601" s="2035"/>
      <c r="G601" s="2035"/>
      <c r="H601" s="2035"/>
      <c r="I601" s="2035"/>
      <c r="J601" s="2035"/>
      <c r="K601" s="2035"/>
      <c r="L601" s="2035"/>
      <c r="M601" s="2035"/>
      <c r="N601" s="2035"/>
      <c r="O601" s="2035"/>
      <c r="P601" s="2035"/>
      <c r="Q601" s="2035"/>
      <c r="R601" s="2035"/>
      <c r="S601" s="2035"/>
      <c r="T601" s="2035"/>
      <c r="U601" s="2036"/>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51" t="s">
        <v>1767</v>
      </c>
      <c r="E603" s="2052"/>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53">
        <v>5308</v>
      </c>
      <c r="E605" s="2054"/>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55" t="str">
        <f>IF(T613="Yes",Incentives!E306,"")</f>
        <v/>
      </c>
      <c r="E607" s="2056"/>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55" t="str">
        <f>IF(T613="Yes",Incentives!E307,"")</f>
        <v/>
      </c>
      <c r="E609" s="2056"/>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57" t="s">
        <v>648</v>
      </c>
      <c r="E611" s="2054"/>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53" t="s">
        <v>1598</v>
      </c>
      <c r="E613" s="2036"/>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50" t="s">
        <v>2007</v>
      </c>
      <c r="C615" s="2035"/>
      <c r="D615" s="2035"/>
      <c r="E615" s="2035"/>
      <c r="F615" s="2035"/>
      <c r="G615" s="2035"/>
      <c r="H615" s="2035"/>
      <c r="I615" s="2035"/>
      <c r="J615" s="2035"/>
      <c r="K615" s="2035"/>
      <c r="L615" s="2035"/>
      <c r="M615" s="2035"/>
      <c r="N615" s="2035"/>
      <c r="O615" s="2035"/>
      <c r="P615" s="2035"/>
      <c r="Q615" s="2035"/>
      <c r="R615" s="2035"/>
      <c r="S615" s="2035"/>
      <c r="T615" s="2035"/>
      <c r="U615" s="2036"/>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51" t="s">
        <v>1767</v>
      </c>
      <c r="E617" s="2052"/>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53">
        <v>5309</v>
      </c>
      <c r="E619" s="2054"/>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55" t="str">
        <f>IF(T627="Yes",Incentives!E317,"")</f>
        <v/>
      </c>
      <c r="E621" s="2056"/>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55" t="str">
        <f>IF(T627="Yes",Incentives!E318,"")</f>
        <v/>
      </c>
      <c r="E623" s="2056"/>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57" t="s">
        <v>648</v>
      </c>
      <c r="E625" s="2054"/>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53" t="s">
        <v>1598</v>
      </c>
      <c r="E627" s="2036"/>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4" customFormat="1" ht="15.75" customHeight="1" thickBot="1" x14ac:dyDescent="0.3">
      <c r="A629" s="537"/>
      <c r="B629" s="2050" t="s">
        <v>2162</v>
      </c>
      <c r="C629" s="2035"/>
      <c r="D629" s="2035"/>
      <c r="E629" s="2035"/>
      <c r="F629" s="2035"/>
      <c r="G629" s="2035"/>
      <c r="H629" s="2035"/>
      <c r="I629" s="2035"/>
      <c r="J629" s="2035"/>
      <c r="K629" s="2035"/>
      <c r="L629" s="2035"/>
      <c r="M629" s="2035"/>
      <c r="N629" s="2035"/>
      <c r="O629" s="2035"/>
      <c r="P629" s="2035"/>
      <c r="Q629" s="2035"/>
      <c r="R629" s="2035"/>
      <c r="S629" s="2035"/>
      <c r="T629" s="2035"/>
      <c r="U629" s="2036"/>
    </row>
    <row r="630" spans="1:21" s="1624"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4" customFormat="1" ht="30.75" customHeight="1" thickBot="1" x14ac:dyDescent="0.3">
      <c r="A631" s="537"/>
      <c r="B631" s="902"/>
      <c r="C631" s="895" t="s">
        <v>1376</v>
      </c>
      <c r="D631" s="2051" t="s">
        <v>1767</v>
      </c>
      <c r="E631" s="2052"/>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4"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4" customFormat="1" ht="30.75" thickBot="1" x14ac:dyDescent="0.3">
      <c r="A633" s="537"/>
      <c r="B633" s="902"/>
      <c r="C633" s="895" t="s">
        <v>1483</v>
      </c>
      <c r="D633" s="2053">
        <v>5310</v>
      </c>
      <c r="E633" s="2054"/>
      <c r="F633" s="902"/>
      <c r="G633" s="902"/>
      <c r="H633" s="902"/>
      <c r="I633" s="902"/>
      <c r="J633" s="902"/>
      <c r="K633" s="902"/>
      <c r="L633" s="902"/>
      <c r="M633" s="902"/>
      <c r="N633" s="902"/>
      <c r="O633" s="902"/>
      <c r="P633" s="902"/>
      <c r="Q633" s="902"/>
      <c r="R633" s="902"/>
      <c r="S633" s="902"/>
      <c r="T633" s="902"/>
      <c r="U633" s="902"/>
    </row>
    <row r="634" spans="1:21" s="1624" customFormat="1" ht="15.75" thickBot="1" x14ac:dyDescent="0.3">
      <c r="A634" s="537"/>
      <c r="B634" s="902"/>
      <c r="C634" s="890"/>
      <c r="D634" s="890"/>
      <c r="E634" s="890"/>
      <c r="F634" s="902"/>
      <c r="G634" s="902"/>
      <c r="H634" s="1625" t="s">
        <v>1389</v>
      </c>
      <c r="I634" s="902"/>
      <c r="J634" s="902"/>
      <c r="K634" s="902"/>
      <c r="L634" s="902"/>
      <c r="M634" s="902"/>
      <c r="N634" s="902"/>
      <c r="O634" s="902"/>
      <c r="P634" s="902"/>
      <c r="Q634" s="902"/>
      <c r="R634" s="898" t="s">
        <v>1595</v>
      </c>
      <c r="S634" s="902"/>
      <c r="T634" s="898" t="s">
        <v>1596</v>
      </c>
      <c r="U634" s="902"/>
    </row>
    <row r="635" spans="1:21" s="1624" customFormat="1" ht="15.75" thickBot="1" x14ac:dyDescent="0.3">
      <c r="A635" s="537"/>
      <c r="B635" s="902"/>
      <c r="C635" s="895" t="s">
        <v>1378</v>
      </c>
      <c r="D635" s="2055" t="str">
        <f>IF(T641="Yes",Incentives!E328,"")</f>
        <v/>
      </c>
      <c r="E635" s="2056"/>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4"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4" customFormat="1" ht="30.75" thickBot="1" x14ac:dyDescent="0.3">
      <c r="A637" s="537"/>
      <c r="B637" s="902"/>
      <c r="C637" s="895" t="s">
        <v>1379</v>
      </c>
      <c r="D637" s="2055" t="str">
        <f>IF(T641="Yes",Incentives!E329,"")</f>
        <v/>
      </c>
      <c r="E637" s="2056"/>
      <c r="F637" s="902"/>
      <c r="G637" s="902"/>
      <c r="H637" s="1625" t="s">
        <v>1484</v>
      </c>
      <c r="I637" s="902"/>
      <c r="J637" s="1625" t="s">
        <v>1996</v>
      </c>
      <c r="K637" s="902"/>
      <c r="L637" s="1530" t="s">
        <v>2126</v>
      </c>
      <c r="M637" s="902"/>
      <c r="N637" s="898" t="s">
        <v>1474</v>
      </c>
      <c r="O637" s="902"/>
      <c r="P637" s="902"/>
      <c r="Q637" s="902"/>
      <c r="R637" s="902"/>
      <c r="S637" s="902"/>
      <c r="T637" s="898" t="s">
        <v>1591</v>
      </c>
      <c r="U637" s="902"/>
    </row>
    <row r="638" spans="1:21" s="1624"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4" customFormat="1" ht="30.75" thickBot="1" x14ac:dyDescent="0.3">
      <c r="A639" s="537"/>
      <c r="B639" s="902"/>
      <c r="C639" s="896" t="s">
        <v>1487</v>
      </c>
      <c r="D639" s="2057" t="s">
        <v>648</v>
      </c>
      <c r="E639" s="2054"/>
      <c r="F639" s="902"/>
      <c r="G639" s="902"/>
      <c r="H639" s="902"/>
      <c r="I639" s="902"/>
      <c r="J639" s="902"/>
      <c r="K639" s="902"/>
      <c r="L639" s="902"/>
      <c r="M639" s="902"/>
      <c r="N639" s="902"/>
      <c r="O639" s="902"/>
      <c r="P639" s="902"/>
      <c r="Q639" s="902"/>
      <c r="R639" s="902"/>
      <c r="S639" s="902"/>
      <c r="T639" s="902"/>
      <c r="U639" s="902"/>
    </row>
    <row r="640" spans="1:21" s="1624"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4" customFormat="1" ht="15.75" thickBot="1" x14ac:dyDescent="0.3">
      <c r="A641" s="537"/>
      <c r="B641" s="902"/>
      <c r="C641" s="895" t="s">
        <v>1488</v>
      </c>
      <c r="D641" s="2053" t="s">
        <v>1598</v>
      </c>
      <c r="E641" s="2036"/>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4"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4" customFormat="1" ht="15.75" customHeight="1" thickBot="1" x14ac:dyDescent="0.3">
      <c r="A643" s="537"/>
      <c r="B643" s="2050" t="s">
        <v>2163</v>
      </c>
      <c r="C643" s="2035"/>
      <c r="D643" s="2035"/>
      <c r="E643" s="2035"/>
      <c r="F643" s="2035"/>
      <c r="G643" s="2035"/>
      <c r="H643" s="2035"/>
      <c r="I643" s="2035"/>
      <c r="J643" s="2035"/>
      <c r="K643" s="2035"/>
      <c r="L643" s="2035"/>
      <c r="M643" s="2035"/>
      <c r="N643" s="2035"/>
      <c r="O643" s="2035"/>
      <c r="P643" s="2035"/>
      <c r="Q643" s="2035"/>
      <c r="R643" s="2035"/>
      <c r="S643" s="2035"/>
      <c r="T643" s="2035"/>
      <c r="U643" s="2036"/>
    </row>
    <row r="644" spans="1:21" s="1624"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4" customFormat="1" ht="30.75" customHeight="1" thickBot="1" x14ac:dyDescent="0.3">
      <c r="A645" s="537"/>
      <c r="B645" s="902"/>
      <c r="C645" s="895" t="s">
        <v>1376</v>
      </c>
      <c r="D645" s="2051" t="s">
        <v>1767</v>
      </c>
      <c r="E645" s="2052"/>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4"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4" customFormat="1" ht="30.75" thickBot="1" x14ac:dyDescent="0.3">
      <c r="A647" s="537"/>
      <c r="B647" s="902"/>
      <c r="C647" s="895" t="s">
        <v>1483</v>
      </c>
      <c r="D647" s="2053">
        <v>5311</v>
      </c>
      <c r="E647" s="2054"/>
      <c r="F647" s="902"/>
      <c r="G647" s="902"/>
      <c r="H647" s="902"/>
      <c r="I647" s="902"/>
      <c r="J647" s="902"/>
      <c r="K647" s="902"/>
      <c r="L647" s="902"/>
      <c r="M647" s="902"/>
      <c r="N647" s="902"/>
      <c r="O647" s="902"/>
      <c r="P647" s="902"/>
      <c r="Q647" s="902"/>
      <c r="R647" s="902"/>
      <c r="S647" s="902"/>
      <c r="T647" s="902"/>
      <c r="U647" s="902"/>
    </row>
    <row r="648" spans="1:21" s="1624" customFormat="1" ht="15.75" thickBot="1" x14ac:dyDescent="0.3">
      <c r="A648" s="537"/>
      <c r="B648" s="902"/>
      <c r="C648" s="890"/>
      <c r="D648" s="890"/>
      <c r="E648" s="890"/>
      <c r="F648" s="902"/>
      <c r="G648" s="902"/>
      <c r="H648" s="1625" t="s">
        <v>1389</v>
      </c>
      <c r="I648" s="902"/>
      <c r="J648" s="902"/>
      <c r="K648" s="902"/>
      <c r="L648" s="902"/>
      <c r="M648" s="902"/>
      <c r="N648" s="902"/>
      <c r="O648" s="902"/>
      <c r="P648" s="902"/>
      <c r="Q648" s="902"/>
      <c r="R648" s="898" t="s">
        <v>1595</v>
      </c>
      <c r="S648" s="902"/>
      <c r="T648" s="898" t="s">
        <v>1596</v>
      </c>
      <c r="U648" s="902"/>
    </row>
    <row r="649" spans="1:21" s="1624" customFormat="1" ht="15.75" thickBot="1" x14ac:dyDescent="0.3">
      <c r="A649" s="537"/>
      <c r="B649" s="902"/>
      <c r="C649" s="895" t="s">
        <v>1378</v>
      </c>
      <c r="D649" s="2055" t="str">
        <f>IF(T655="Yes",Incentives!E339,"")</f>
        <v/>
      </c>
      <c r="E649" s="2056"/>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4"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4" customFormat="1" ht="30.75" thickBot="1" x14ac:dyDescent="0.3">
      <c r="A651" s="537"/>
      <c r="B651" s="902"/>
      <c r="C651" s="895" t="s">
        <v>1379</v>
      </c>
      <c r="D651" s="2055" t="str">
        <f>IF(T655="Yes",Incentives!E340,"")</f>
        <v/>
      </c>
      <c r="E651" s="2056"/>
      <c r="F651" s="902"/>
      <c r="G651" s="902"/>
      <c r="H651" s="1625" t="s">
        <v>1484</v>
      </c>
      <c r="I651" s="902"/>
      <c r="J651" s="1625" t="s">
        <v>1996</v>
      </c>
      <c r="K651" s="902"/>
      <c r="L651" s="1530" t="s">
        <v>2126</v>
      </c>
      <c r="M651" s="902"/>
      <c r="N651" s="898" t="s">
        <v>1474</v>
      </c>
      <c r="O651" s="902"/>
      <c r="P651" s="902"/>
      <c r="Q651" s="902"/>
      <c r="R651" s="902"/>
      <c r="S651" s="902"/>
      <c r="T651" s="898" t="s">
        <v>1591</v>
      </c>
      <c r="U651" s="902"/>
    </row>
    <row r="652" spans="1:21" s="1624"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4" customFormat="1" ht="30.75" thickBot="1" x14ac:dyDescent="0.3">
      <c r="A653" s="537"/>
      <c r="B653" s="902"/>
      <c r="C653" s="896" t="s">
        <v>1487</v>
      </c>
      <c r="D653" s="2057" t="s">
        <v>648</v>
      </c>
      <c r="E653" s="2054"/>
      <c r="F653" s="902"/>
      <c r="G653" s="902"/>
      <c r="H653" s="902"/>
      <c r="I653" s="902"/>
      <c r="J653" s="902"/>
      <c r="K653" s="902"/>
      <c r="L653" s="902"/>
      <c r="M653" s="902"/>
      <c r="N653" s="902"/>
      <c r="O653" s="902"/>
      <c r="P653" s="902"/>
      <c r="Q653" s="902"/>
      <c r="R653" s="902"/>
      <c r="S653" s="902"/>
      <c r="T653" s="902"/>
      <c r="U653" s="902"/>
    </row>
    <row r="654" spans="1:21" s="1624"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4" customFormat="1" ht="15.75" thickBot="1" x14ac:dyDescent="0.3">
      <c r="A655" s="537"/>
      <c r="B655" s="902"/>
      <c r="C655" s="895" t="s">
        <v>1488</v>
      </c>
      <c r="D655" s="2053" t="s">
        <v>1598</v>
      </c>
      <c r="E655" s="2036"/>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4"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4" customFormat="1" ht="15.75" customHeight="1" thickBot="1" x14ac:dyDescent="0.3">
      <c r="A657" s="537"/>
      <c r="B657" s="2050" t="s">
        <v>2164</v>
      </c>
      <c r="C657" s="2035"/>
      <c r="D657" s="2035"/>
      <c r="E657" s="2035"/>
      <c r="F657" s="2035"/>
      <c r="G657" s="2035"/>
      <c r="H657" s="2035"/>
      <c r="I657" s="2035"/>
      <c r="J657" s="2035"/>
      <c r="K657" s="2035"/>
      <c r="L657" s="2035"/>
      <c r="M657" s="2035"/>
      <c r="N657" s="2035"/>
      <c r="O657" s="2035"/>
      <c r="P657" s="2035"/>
      <c r="Q657" s="2035"/>
      <c r="R657" s="2035"/>
      <c r="S657" s="2035"/>
      <c r="T657" s="2035"/>
      <c r="U657" s="2036"/>
    </row>
    <row r="658" spans="1:21" s="1624"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4" customFormat="1" ht="30.75" customHeight="1" thickBot="1" x14ac:dyDescent="0.3">
      <c r="A659" s="537"/>
      <c r="B659" s="902"/>
      <c r="C659" s="895" t="s">
        <v>1376</v>
      </c>
      <c r="D659" s="2051" t="s">
        <v>1767</v>
      </c>
      <c r="E659" s="2052"/>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4"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4" customFormat="1" ht="30.75" thickBot="1" x14ac:dyDescent="0.3">
      <c r="A661" s="537"/>
      <c r="B661" s="902"/>
      <c r="C661" s="895" t="s">
        <v>1483</v>
      </c>
      <c r="D661" s="2053">
        <v>5312</v>
      </c>
      <c r="E661" s="2054"/>
      <c r="F661" s="902"/>
      <c r="G661" s="902"/>
      <c r="H661" s="902"/>
      <c r="I661" s="902"/>
      <c r="J661" s="902"/>
      <c r="K661" s="902"/>
      <c r="L661" s="902"/>
      <c r="M661" s="902"/>
      <c r="N661" s="902"/>
      <c r="O661" s="902"/>
      <c r="P661" s="902"/>
      <c r="Q661" s="902"/>
      <c r="R661" s="902"/>
      <c r="S661" s="902"/>
      <c r="T661" s="902"/>
      <c r="U661" s="902"/>
    </row>
    <row r="662" spans="1:21" s="1624" customFormat="1" ht="15.75" thickBot="1" x14ac:dyDescent="0.3">
      <c r="A662" s="537"/>
      <c r="B662" s="902"/>
      <c r="C662" s="890"/>
      <c r="D662" s="890"/>
      <c r="E662" s="890"/>
      <c r="F662" s="902"/>
      <c r="G662" s="902"/>
      <c r="H662" s="1625" t="s">
        <v>1389</v>
      </c>
      <c r="I662" s="902"/>
      <c r="J662" s="902"/>
      <c r="K662" s="902"/>
      <c r="L662" s="902"/>
      <c r="M662" s="902"/>
      <c r="N662" s="902"/>
      <c r="O662" s="902"/>
      <c r="P662" s="902"/>
      <c r="Q662" s="902"/>
      <c r="R662" s="898" t="s">
        <v>1595</v>
      </c>
      <c r="S662" s="902"/>
      <c r="T662" s="898" t="s">
        <v>1596</v>
      </c>
      <c r="U662" s="902"/>
    </row>
    <row r="663" spans="1:21" s="1624" customFormat="1" ht="15.75" thickBot="1" x14ac:dyDescent="0.3">
      <c r="A663" s="537"/>
      <c r="B663" s="902"/>
      <c r="C663" s="895" t="s">
        <v>1378</v>
      </c>
      <c r="D663" s="2055" t="str">
        <f>IF(T669="Yes",Incentives!E350,"")</f>
        <v/>
      </c>
      <c r="E663" s="2056"/>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4"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4" customFormat="1" ht="30.75" thickBot="1" x14ac:dyDescent="0.3">
      <c r="A665" s="537"/>
      <c r="B665" s="902"/>
      <c r="C665" s="895" t="s">
        <v>1379</v>
      </c>
      <c r="D665" s="2055" t="str">
        <f>IF(T669="Yes",Incentives!E351,"")</f>
        <v/>
      </c>
      <c r="E665" s="2056"/>
      <c r="F665" s="902"/>
      <c r="G665" s="902"/>
      <c r="H665" s="1625" t="s">
        <v>1484</v>
      </c>
      <c r="I665" s="902"/>
      <c r="J665" s="1625" t="s">
        <v>1996</v>
      </c>
      <c r="K665" s="902"/>
      <c r="L665" s="1530" t="s">
        <v>2126</v>
      </c>
      <c r="M665" s="902"/>
      <c r="N665" s="898" t="s">
        <v>1474</v>
      </c>
      <c r="O665" s="902"/>
      <c r="P665" s="902"/>
      <c r="Q665" s="902"/>
      <c r="R665" s="902"/>
      <c r="S665" s="902"/>
      <c r="T665" s="898" t="s">
        <v>1591</v>
      </c>
      <c r="U665" s="902"/>
    </row>
    <row r="666" spans="1:21" s="1624"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4" customFormat="1" ht="30.75" thickBot="1" x14ac:dyDescent="0.3">
      <c r="A667" s="537"/>
      <c r="B667" s="902"/>
      <c r="C667" s="896" t="s">
        <v>1487</v>
      </c>
      <c r="D667" s="2057" t="s">
        <v>648</v>
      </c>
      <c r="E667" s="2054"/>
      <c r="F667" s="902"/>
      <c r="G667" s="902"/>
      <c r="H667" s="902"/>
      <c r="I667" s="902"/>
      <c r="J667" s="902"/>
      <c r="K667" s="902"/>
      <c r="L667" s="902"/>
      <c r="M667" s="902"/>
      <c r="N667" s="902"/>
      <c r="O667" s="902"/>
      <c r="P667" s="902"/>
      <c r="Q667" s="902"/>
      <c r="R667" s="902"/>
      <c r="S667" s="902"/>
      <c r="T667" s="902"/>
      <c r="U667" s="902"/>
    </row>
    <row r="668" spans="1:21" s="1624"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4" customFormat="1" ht="15.75" thickBot="1" x14ac:dyDescent="0.3">
      <c r="A669" s="537"/>
      <c r="B669" s="902"/>
      <c r="C669" s="895" t="s">
        <v>1488</v>
      </c>
      <c r="D669" s="2053" t="s">
        <v>1598</v>
      </c>
      <c r="E669" s="2036"/>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4"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4" customFormat="1" ht="15.75" customHeight="1" thickBot="1" x14ac:dyDescent="0.3">
      <c r="A671" s="537"/>
      <c r="B671" s="2050" t="s">
        <v>2165</v>
      </c>
      <c r="C671" s="2035"/>
      <c r="D671" s="2035"/>
      <c r="E671" s="2035"/>
      <c r="F671" s="2035"/>
      <c r="G671" s="2035"/>
      <c r="H671" s="2035"/>
      <c r="I671" s="2035"/>
      <c r="J671" s="2035"/>
      <c r="K671" s="2035"/>
      <c r="L671" s="2035"/>
      <c r="M671" s="2035"/>
      <c r="N671" s="2035"/>
      <c r="O671" s="2035"/>
      <c r="P671" s="2035"/>
      <c r="Q671" s="2035"/>
      <c r="R671" s="2035"/>
      <c r="S671" s="2035"/>
      <c r="T671" s="2035"/>
      <c r="U671" s="2036"/>
    </row>
    <row r="672" spans="1:21" s="1624"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4" customFormat="1" ht="30.75" customHeight="1" thickBot="1" x14ac:dyDescent="0.3">
      <c r="A673" s="537"/>
      <c r="B673" s="902"/>
      <c r="C673" s="895" t="s">
        <v>1376</v>
      </c>
      <c r="D673" s="2051" t="s">
        <v>1767</v>
      </c>
      <c r="E673" s="2052"/>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4"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4" customFormat="1" ht="30.75" thickBot="1" x14ac:dyDescent="0.3">
      <c r="A675" s="537"/>
      <c r="B675" s="902"/>
      <c r="C675" s="895" t="s">
        <v>1483</v>
      </c>
      <c r="D675" s="2053">
        <v>5313</v>
      </c>
      <c r="E675" s="2054"/>
      <c r="F675" s="902"/>
      <c r="G675" s="902"/>
      <c r="H675" s="902"/>
      <c r="I675" s="902"/>
      <c r="J675" s="902"/>
      <c r="K675" s="902"/>
      <c r="L675" s="902"/>
      <c r="M675" s="902"/>
      <c r="N675" s="902"/>
      <c r="O675" s="902"/>
      <c r="P675" s="902"/>
      <c r="Q675" s="902"/>
      <c r="R675" s="902"/>
      <c r="S675" s="902"/>
      <c r="T675" s="902"/>
      <c r="U675" s="902"/>
    </row>
    <row r="676" spans="1:21" s="1624" customFormat="1" ht="15.75" thickBot="1" x14ac:dyDescent="0.3">
      <c r="A676" s="537"/>
      <c r="B676" s="902"/>
      <c r="C676" s="890"/>
      <c r="D676" s="890"/>
      <c r="E676" s="890"/>
      <c r="F676" s="902"/>
      <c r="G676" s="902"/>
      <c r="H676" s="1625" t="s">
        <v>1389</v>
      </c>
      <c r="I676" s="902"/>
      <c r="J676" s="902"/>
      <c r="K676" s="902"/>
      <c r="L676" s="902"/>
      <c r="M676" s="902"/>
      <c r="N676" s="902"/>
      <c r="O676" s="902"/>
      <c r="P676" s="902"/>
      <c r="Q676" s="902"/>
      <c r="R676" s="898" t="s">
        <v>1595</v>
      </c>
      <c r="S676" s="902"/>
      <c r="T676" s="898" t="s">
        <v>1596</v>
      </c>
      <c r="U676" s="902"/>
    </row>
    <row r="677" spans="1:21" s="1624" customFormat="1" ht="15.75" thickBot="1" x14ac:dyDescent="0.3">
      <c r="A677" s="537"/>
      <c r="B677" s="902"/>
      <c r="C677" s="895" t="s">
        <v>1378</v>
      </c>
      <c r="D677" s="2055" t="str">
        <f>IF(T683="Yes",Incentives!E361,"")</f>
        <v/>
      </c>
      <c r="E677" s="2056"/>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4"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4" customFormat="1" ht="30.75" thickBot="1" x14ac:dyDescent="0.3">
      <c r="A679" s="537"/>
      <c r="B679" s="902"/>
      <c r="C679" s="895" t="s">
        <v>1379</v>
      </c>
      <c r="D679" s="2055" t="str">
        <f>IF(T683="Yes",Incentives!E362,"")</f>
        <v/>
      </c>
      <c r="E679" s="2056"/>
      <c r="F679" s="902"/>
      <c r="G679" s="902"/>
      <c r="H679" s="1625" t="s">
        <v>1484</v>
      </c>
      <c r="I679" s="902"/>
      <c r="J679" s="1625" t="s">
        <v>1996</v>
      </c>
      <c r="K679" s="902"/>
      <c r="L679" s="1530" t="s">
        <v>2126</v>
      </c>
      <c r="M679" s="902"/>
      <c r="N679" s="898" t="s">
        <v>1474</v>
      </c>
      <c r="O679" s="902"/>
      <c r="P679" s="902"/>
      <c r="Q679" s="902"/>
      <c r="R679" s="902"/>
      <c r="S679" s="902"/>
      <c r="T679" s="898" t="s">
        <v>1591</v>
      </c>
      <c r="U679" s="902"/>
    </row>
    <row r="680" spans="1:21" s="1624"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4" customFormat="1" ht="30.75" thickBot="1" x14ac:dyDescent="0.3">
      <c r="A681" s="537"/>
      <c r="B681" s="902"/>
      <c r="C681" s="896" t="s">
        <v>1487</v>
      </c>
      <c r="D681" s="2057" t="s">
        <v>648</v>
      </c>
      <c r="E681" s="2054"/>
      <c r="F681" s="902"/>
      <c r="G681" s="902"/>
      <c r="H681" s="902"/>
      <c r="I681" s="902"/>
      <c r="J681" s="902"/>
      <c r="K681" s="902"/>
      <c r="L681" s="902"/>
      <c r="M681" s="902"/>
      <c r="N681" s="902"/>
      <c r="O681" s="902"/>
      <c r="P681" s="902"/>
      <c r="Q681" s="902"/>
      <c r="R681" s="902"/>
      <c r="S681" s="902"/>
      <c r="T681" s="902"/>
      <c r="U681" s="902"/>
    </row>
    <row r="682" spans="1:21" s="1624"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4" customFormat="1" ht="15.75" thickBot="1" x14ac:dyDescent="0.3">
      <c r="A683" s="537"/>
      <c r="B683" s="902"/>
      <c r="C683" s="895" t="s">
        <v>1488</v>
      </c>
      <c r="D683" s="2053" t="s">
        <v>1598</v>
      </c>
      <c r="E683" s="2036"/>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4"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4" customFormat="1" ht="15.75" customHeight="1" thickBot="1" x14ac:dyDescent="0.3">
      <c r="A685" s="537"/>
      <c r="B685" s="2050" t="s">
        <v>2166</v>
      </c>
      <c r="C685" s="2035"/>
      <c r="D685" s="2035"/>
      <c r="E685" s="2035"/>
      <c r="F685" s="2035"/>
      <c r="G685" s="2035"/>
      <c r="H685" s="2035"/>
      <c r="I685" s="2035"/>
      <c r="J685" s="2035"/>
      <c r="K685" s="2035"/>
      <c r="L685" s="2035"/>
      <c r="M685" s="2035"/>
      <c r="N685" s="2035"/>
      <c r="O685" s="2035"/>
      <c r="P685" s="2035"/>
      <c r="Q685" s="2035"/>
      <c r="R685" s="2035"/>
      <c r="S685" s="2035"/>
      <c r="T685" s="2035"/>
      <c r="U685" s="2036"/>
    </row>
    <row r="686" spans="1:21" s="1624"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4" customFormat="1" ht="30.75" customHeight="1" thickBot="1" x14ac:dyDescent="0.3">
      <c r="A687" s="537"/>
      <c r="B687" s="902"/>
      <c r="C687" s="895" t="s">
        <v>1376</v>
      </c>
      <c r="D687" s="2051" t="s">
        <v>1767</v>
      </c>
      <c r="E687" s="2052"/>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4"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4" customFormat="1" ht="30.75" thickBot="1" x14ac:dyDescent="0.3">
      <c r="A689" s="537"/>
      <c r="B689" s="902"/>
      <c r="C689" s="895" t="s">
        <v>1483</v>
      </c>
      <c r="D689" s="2053">
        <v>5314</v>
      </c>
      <c r="E689" s="2054"/>
      <c r="F689" s="902"/>
      <c r="G689" s="902"/>
      <c r="H689" s="902"/>
      <c r="I689" s="902"/>
      <c r="J689" s="902"/>
      <c r="K689" s="902"/>
      <c r="L689" s="902"/>
      <c r="M689" s="902"/>
      <c r="N689" s="902"/>
      <c r="O689" s="902"/>
      <c r="P689" s="902"/>
      <c r="Q689" s="902"/>
      <c r="R689" s="902"/>
      <c r="S689" s="902"/>
      <c r="T689" s="902"/>
      <c r="U689" s="902"/>
    </row>
    <row r="690" spans="1:21" s="1624" customFormat="1" ht="15.75" thickBot="1" x14ac:dyDescent="0.3">
      <c r="A690" s="537"/>
      <c r="B690" s="902"/>
      <c r="C690" s="890"/>
      <c r="D690" s="890"/>
      <c r="E690" s="890"/>
      <c r="F690" s="902"/>
      <c r="G690" s="902"/>
      <c r="H690" s="1625" t="s">
        <v>1389</v>
      </c>
      <c r="I690" s="902"/>
      <c r="J690" s="902"/>
      <c r="K690" s="902"/>
      <c r="L690" s="902"/>
      <c r="M690" s="902"/>
      <c r="N690" s="902"/>
      <c r="O690" s="902"/>
      <c r="P690" s="902"/>
      <c r="Q690" s="902"/>
      <c r="R690" s="898" t="s">
        <v>1595</v>
      </c>
      <c r="S690" s="902"/>
      <c r="T690" s="898" t="s">
        <v>1596</v>
      </c>
      <c r="U690" s="902"/>
    </row>
    <row r="691" spans="1:21" s="1624" customFormat="1" ht="15.75" thickBot="1" x14ac:dyDescent="0.3">
      <c r="A691" s="537"/>
      <c r="B691" s="902"/>
      <c r="C691" s="895" t="s">
        <v>1378</v>
      </c>
      <c r="D691" s="2055" t="str">
        <f>IF(T697="Yes",Incentives!E372,"")</f>
        <v/>
      </c>
      <c r="E691" s="2056"/>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4"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4" customFormat="1" ht="30.75" thickBot="1" x14ac:dyDescent="0.3">
      <c r="A693" s="537"/>
      <c r="B693" s="902"/>
      <c r="C693" s="895" t="s">
        <v>1379</v>
      </c>
      <c r="D693" s="2055" t="str">
        <f>IF(T697="Yes",Incentives!E373,"")</f>
        <v/>
      </c>
      <c r="E693" s="2056"/>
      <c r="F693" s="902"/>
      <c r="G693" s="902"/>
      <c r="H693" s="1625" t="s">
        <v>1484</v>
      </c>
      <c r="I693" s="902"/>
      <c r="J693" s="1625" t="s">
        <v>1996</v>
      </c>
      <c r="K693" s="902"/>
      <c r="L693" s="1530" t="s">
        <v>2126</v>
      </c>
      <c r="M693" s="902"/>
      <c r="N693" s="898" t="s">
        <v>1474</v>
      </c>
      <c r="O693" s="902"/>
      <c r="P693" s="902"/>
      <c r="Q693" s="902"/>
      <c r="R693" s="902"/>
      <c r="S693" s="902"/>
      <c r="T693" s="898" t="s">
        <v>1591</v>
      </c>
      <c r="U693" s="902"/>
    </row>
    <row r="694" spans="1:21" s="1624"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4" customFormat="1" ht="30.75" thickBot="1" x14ac:dyDescent="0.3">
      <c r="A695" s="537"/>
      <c r="B695" s="902"/>
      <c r="C695" s="896" t="s">
        <v>1487</v>
      </c>
      <c r="D695" s="2057" t="s">
        <v>648</v>
      </c>
      <c r="E695" s="2054"/>
      <c r="F695" s="902"/>
      <c r="G695" s="902"/>
      <c r="H695" s="902"/>
      <c r="I695" s="902"/>
      <c r="J695" s="902"/>
      <c r="K695" s="902"/>
      <c r="L695" s="902"/>
      <c r="M695" s="902"/>
      <c r="N695" s="902"/>
      <c r="O695" s="902"/>
      <c r="P695" s="902"/>
      <c r="Q695" s="902"/>
      <c r="R695" s="902"/>
      <c r="S695" s="902"/>
      <c r="T695" s="902"/>
      <c r="U695" s="902"/>
    </row>
    <row r="696" spans="1:21" s="1624"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4" customFormat="1" ht="15.75" thickBot="1" x14ac:dyDescent="0.3">
      <c r="A697" s="537"/>
      <c r="B697" s="902"/>
      <c r="C697" s="895" t="s">
        <v>1488</v>
      </c>
      <c r="D697" s="2053" t="s">
        <v>1598</v>
      </c>
      <c r="E697" s="2036"/>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4"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4" customFormat="1" ht="15.75" customHeight="1" thickBot="1" x14ac:dyDescent="0.3">
      <c r="A699" s="537"/>
      <c r="B699" s="2050" t="s">
        <v>2167</v>
      </c>
      <c r="C699" s="2035"/>
      <c r="D699" s="2035"/>
      <c r="E699" s="2035"/>
      <c r="F699" s="2035"/>
      <c r="G699" s="2035"/>
      <c r="H699" s="2035"/>
      <c r="I699" s="2035"/>
      <c r="J699" s="2035"/>
      <c r="K699" s="2035"/>
      <c r="L699" s="2035"/>
      <c r="M699" s="2035"/>
      <c r="N699" s="2035"/>
      <c r="O699" s="2035"/>
      <c r="P699" s="2035"/>
      <c r="Q699" s="2035"/>
      <c r="R699" s="2035"/>
      <c r="S699" s="2035"/>
      <c r="T699" s="2035"/>
      <c r="U699" s="2036"/>
    </row>
    <row r="700" spans="1:21" s="1624"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4" customFormat="1" ht="30.75" customHeight="1" thickBot="1" x14ac:dyDescent="0.3">
      <c r="A701" s="537"/>
      <c r="B701" s="902"/>
      <c r="C701" s="895" t="s">
        <v>1376</v>
      </c>
      <c r="D701" s="2051" t="s">
        <v>1767</v>
      </c>
      <c r="E701" s="2052"/>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4"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4" customFormat="1" ht="30.75" thickBot="1" x14ac:dyDescent="0.3">
      <c r="A703" s="537"/>
      <c r="B703" s="902"/>
      <c r="C703" s="895" t="s">
        <v>1483</v>
      </c>
      <c r="D703" s="2053">
        <v>5315</v>
      </c>
      <c r="E703" s="2054"/>
      <c r="F703" s="902"/>
      <c r="G703" s="902"/>
      <c r="H703" s="902"/>
      <c r="I703" s="902"/>
      <c r="J703" s="902"/>
      <c r="K703" s="902"/>
      <c r="L703" s="902"/>
      <c r="M703" s="902"/>
      <c r="N703" s="902"/>
      <c r="O703" s="902"/>
      <c r="P703" s="902"/>
      <c r="Q703" s="902"/>
      <c r="R703" s="902"/>
      <c r="S703" s="902"/>
      <c r="T703" s="902"/>
      <c r="U703" s="902"/>
    </row>
    <row r="704" spans="1:21" s="1624" customFormat="1" ht="15.75" thickBot="1" x14ac:dyDescent="0.3">
      <c r="A704" s="537"/>
      <c r="B704" s="902"/>
      <c r="C704" s="890"/>
      <c r="D704" s="890"/>
      <c r="E704" s="890"/>
      <c r="F704" s="902"/>
      <c r="G704" s="902"/>
      <c r="H704" s="1625" t="s">
        <v>1389</v>
      </c>
      <c r="I704" s="902"/>
      <c r="J704" s="902"/>
      <c r="K704" s="902"/>
      <c r="L704" s="902"/>
      <c r="M704" s="902"/>
      <c r="N704" s="902"/>
      <c r="O704" s="902"/>
      <c r="P704" s="902"/>
      <c r="Q704" s="902"/>
      <c r="R704" s="898" t="s">
        <v>1595</v>
      </c>
      <c r="S704" s="902"/>
      <c r="T704" s="898" t="s">
        <v>1596</v>
      </c>
      <c r="U704" s="902"/>
    </row>
    <row r="705" spans="1:21" s="1624" customFormat="1" ht="15.75" thickBot="1" x14ac:dyDescent="0.3">
      <c r="A705" s="537"/>
      <c r="B705" s="902"/>
      <c r="C705" s="895" t="s">
        <v>1378</v>
      </c>
      <c r="D705" s="2055" t="str">
        <f>IF(T711="Yes",Incentives!E383,"")</f>
        <v/>
      </c>
      <c r="E705" s="2056"/>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4"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4" customFormat="1" ht="30.75" thickBot="1" x14ac:dyDescent="0.3">
      <c r="A707" s="537"/>
      <c r="B707" s="902"/>
      <c r="C707" s="895" t="s">
        <v>1379</v>
      </c>
      <c r="D707" s="2055" t="str">
        <f>IF(T711="Yes",Incentives!E384,"")</f>
        <v/>
      </c>
      <c r="E707" s="2056"/>
      <c r="F707" s="902"/>
      <c r="G707" s="902"/>
      <c r="H707" s="1625" t="s">
        <v>1484</v>
      </c>
      <c r="I707" s="902"/>
      <c r="J707" s="1625" t="s">
        <v>1996</v>
      </c>
      <c r="K707" s="902"/>
      <c r="L707" s="1530" t="s">
        <v>2126</v>
      </c>
      <c r="M707" s="902"/>
      <c r="N707" s="898" t="s">
        <v>1474</v>
      </c>
      <c r="O707" s="902"/>
      <c r="P707" s="902"/>
      <c r="Q707" s="902"/>
      <c r="R707" s="902"/>
      <c r="S707" s="902"/>
      <c r="T707" s="898" t="s">
        <v>1591</v>
      </c>
      <c r="U707" s="902"/>
    </row>
    <row r="708" spans="1:21" s="1624"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4" customFormat="1" ht="30.75" thickBot="1" x14ac:dyDescent="0.3">
      <c r="A709" s="537"/>
      <c r="B709" s="902"/>
      <c r="C709" s="896" t="s">
        <v>1487</v>
      </c>
      <c r="D709" s="2057" t="s">
        <v>648</v>
      </c>
      <c r="E709" s="2054"/>
      <c r="F709" s="902"/>
      <c r="G709" s="902"/>
      <c r="H709" s="902"/>
      <c r="I709" s="902"/>
      <c r="J709" s="902"/>
      <c r="K709" s="902"/>
      <c r="L709" s="902"/>
      <c r="M709" s="902"/>
      <c r="N709" s="902"/>
      <c r="O709" s="902"/>
      <c r="P709" s="902"/>
      <c r="Q709" s="902"/>
      <c r="R709" s="902"/>
      <c r="S709" s="902"/>
      <c r="T709" s="902"/>
      <c r="U709" s="902"/>
    </row>
    <row r="710" spans="1:21" s="1624"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4" customFormat="1" ht="15.75" thickBot="1" x14ac:dyDescent="0.3">
      <c r="A711" s="537"/>
      <c r="B711" s="902"/>
      <c r="C711" s="895" t="s">
        <v>1488</v>
      </c>
      <c r="D711" s="2053" t="s">
        <v>1598</v>
      </c>
      <c r="E711" s="2036"/>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4"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4" customFormat="1" ht="15.75" customHeight="1" thickBot="1" x14ac:dyDescent="0.3">
      <c r="A713" s="537"/>
      <c r="B713" s="2050" t="s">
        <v>2168</v>
      </c>
      <c r="C713" s="2035"/>
      <c r="D713" s="2035"/>
      <c r="E713" s="2035"/>
      <c r="F713" s="2035"/>
      <c r="G713" s="2035"/>
      <c r="H713" s="2035"/>
      <c r="I713" s="2035"/>
      <c r="J713" s="2035"/>
      <c r="K713" s="2035"/>
      <c r="L713" s="2035"/>
      <c r="M713" s="2035"/>
      <c r="N713" s="2035"/>
      <c r="O713" s="2035"/>
      <c r="P713" s="2035"/>
      <c r="Q713" s="2035"/>
      <c r="R713" s="2035"/>
      <c r="S713" s="2035"/>
      <c r="T713" s="2035"/>
      <c r="U713" s="2036"/>
    </row>
    <row r="714" spans="1:21" s="1624"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4" customFormat="1" ht="30.75" customHeight="1" thickBot="1" x14ac:dyDescent="0.3">
      <c r="A715" s="537"/>
      <c r="B715" s="902"/>
      <c r="C715" s="895" t="s">
        <v>1376</v>
      </c>
      <c r="D715" s="2051" t="s">
        <v>1767</v>
      </c>
      <c r="E715" s="2052"/>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4"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4" customFormat="1" ht="30.75" thickBot="1" x14ac:dyDescent="0.3">
      <c r="A717" s="537"/>
      <c r="B717" s="902"/>
      <c r="C717" s="895" t="s">
        <v>1483</v>
      </c>
      <c r="D717" s="2053">
        <v>5316</v>
      </c>
      <c r="E717" s="2054"/>
      <c r="F717" s="902"/>
      <c r="G717" s="902"/>
      <c r="H717" s="902"/>
      <c r="I717" s="902"/>
      <c r="J717" s="902"/>
      <c r="K717" s="902"/>
      <c r="L717" s="902"/>
      <c r="M717" s="902"/>
      <c r="N717" s="902"/>
      <c r="O717" s="902"/>
      <c r="P717" s="902"/>
      <c r="Q717" s="902"/>
      <c r="R717" s="902"/>
      <c r="S717" s="902"/>
      <c r="T717" s="902"/>
      <c r="U717" s="902"/>
    </row>
    <row r="718" spans="1:21" s="1624" customFormat="1" ht="15.75" thickBot="1" x14ac:dyDescent="0.3">
      <c r="A718" s="537"/>
      <c r="B718" s="902"/>
      <c r="C718" s="890"/>
      <c r="D718" s="890"/>
      <c r="E718" s="890"/>
      <c r="F718" s="902"/>
      <c r="G718" s="902"/>
      <c r="H718" s="1625" t="s">
        <v>1389</v>
      </c>
      <c r="I718" s="902"/>
      <c r="J718" s="902"/>
      <c r="K718" s="902"/>
      <c r="L718" s="902"/>
      <c r="M718" s="902"/>
      <c r="N718" s="902"/>
      <c r="O718" s="902"/>
      <c r="P718" s="902"/>
      <c r="Q718" s="902"/>
      <c r="R718" s="898" t="s">
        <v>1595</v>
      </c>
      <c r="S718" s="902"/>
      <c r="T718" s="898" t="s">
        <v>1596</v>
      </c>
      <c r="U718" s="902"/>
    </row>
    <row r="719" spans="1:21" s="1624" customFormat="1" ht="15.75" thickBot="1" x14ac:dyDescent="0.3">
      <c r="A719" s="537"/>
      <c r="B719" s="902"/>
      <c r="C719" s="895" t="s">
        <v>1378</v>
      </c>
      <c r="D719" s="2055" t="str">
        <f>IF(T725="Yes",Incentives!E394,"")</f>
        <v/>
      </c>
      <c r="E719" s="2056"/>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4"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4" customFormat="1" ht="30.75" thickBot="1" x14ac:dyDescent="0.3">
      <c r="A721" s="537"/>
      <c r="B721" s="902"/>
      <c r="C721" s="895" t="s">
        <v>1379</v>
      </c>
      <c r="D721" s="2055" t="str">
        <f>IF(T725="Yes",Incentives!E395,"")</f>
        <v/>
      </c>
      <c r="E721" s="2056"/>
      <c r="F721" s="902"/>
      <c r="G721" s="902"/>
      <c r="H721" s="1625" t="s">
        <v>1484</v>
      </c>
      <c r="I721" s="902"/>
      <c r="J721" s="1625" t="s">
        <v>1996</v>
      </c>
      <c r="K721" s="902"/>
      <c r="L721" s="1530" t="s">
        <v>2126</v>
      </c>
      <c r="M721" s="902"/>
      <c r="N721" s="898" t="s">
        <v>1474</v>
      </c>
      <c r="O721" s="902"/>
      <c r="P721" s="902"/>
      <c r="Q721" s="902"/>
      <c r="R721" s="902"/>
      <c r="S721" s="902"/>
      <c r="T721" s="898" t="s">
        <v>1591</v>
      </c>
      <c r="U721" s="902"/>
    </row>
    <row r="722" spans="1:21" s="1624"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4" customFormat="1" ht="30.75" thickBot="1" x14ac:dyDescent="0.3">
      <c r="A723" s="537"/>
      <c r="B723" s="902"/>
      <c r="C723" s="896" t="s">
        <v>1487</v>
      </c>
      <c r="D723" s="2057" t="s">
        <v>648</v>
      </c>
      <c r="E723" s="2054"/>
      <c r="F723" s="902"/>
      <c r="G723" s="902"/>
      <c r="H723" s="902"/>
      <c r="I723" s="902"/>
      <c r="J723" s="902"/>
      <c r="K723" s="902"/>
      <c r="L723" s="902"/>
      <c r="M723" s="902"/>
      <c r="N723" s="902"/>
      <c r="O723" s="902"/>
      <c r="P723" s="902"/>
      <c r="Q723" s="902"/>
      <c r="R723" s="902"/>
      <c r="S723" s="902"/>
      <c r="T723" s="902"/>
      <c r="U723" s="902"/>
    </row>
    <row r="724" spans="1:21" s="1624"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4" customFormat="1" ht="15.75" thickBot="1" x14ac:dyDescent="0.3">
      <c r="A725" s="537"/>
      <c r="B725" s="902"/>
      <c r="C725" s="895" t="s">
        <v>1488</v>
      </c>
      <c r="D725" s="2053" t="s">
        <v>1598</v>
      </c>
      <c r="E725" s="2036"/>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4"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4" customFormat="1" ht="15.75" customHeight="1" thickBot="1" x14ac:dyDescent="0.3">
      <c r="A727" s="537"/>
      <c r="B727" s="2050" t="s">
        <v>2169</v>
      </c>
      <c r="C727" s="2035"/>
      <c r="D727" s="2035"/>
      <c r="E727" s="2035"/>
      <c r="F727" s="2035"/>
      <c r="G727" s="2035"/>
      <c r="H727" s="2035"/>
      <c r="I727" s="2035"/>
      <c r="J727" s="2035"/>
      <c r="K727" s="2035"/>
      <c r="L727" s="2035"/>
      <c r="M727" s="2035"/>
      <c r="N727" s="2035"/>
      <c r="O727" s="2035"/>
      <c r="P727" s="2035"/>
      <c r="Q727" s="2035"/>
      <c r="R727" s="2035"/>
      <c r="S727" s="2035"/>
      <c r="T727" s="2035"/>
      <c r="U727" s="2036"/>
    </row>
    <row r="728" spans="1:21" s="1624"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4" customFormat="1" ht="30.75" customHeight="1" thickBot="1" x14ac:dyDescent="0.3">
      <c r="A729" s="537"/>
      <c r="B729" s="902"/>
      <c r="C729" s="895" t="s">
        <v>1376</v>
      </c>
      <c r="D729" s="2051" t="s">
        <v>1767</v>
      </c>
      <c r="E729" s="2052"/>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4"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4" customFormat="1" ht="30.75" thickBot="1" x14ac:dyDescent="0.3">
      <c r="A731" s="537"/>
      <c r="B731" s="902"/>
      <c r="C731" s="895" t="s">
        <v>1483</v>
      </c>
      <c r="D731" s="2053">
        <v>5317</v>
      </c>
      <c r="E731" s="2054"/>
      <c r="F731" s="902"/>
      <c r="G731" s="902"/>
      <c r="H731" s="902"/>
      <c r="I731" s="902"/>
      <c r="J731" s="902"/>
      <c r="K731" s="902"/>
      <c r="L731" s="902"/>
      <c r="M731" s="902"/>
      <c r="N731" s="902"/>
      <c r="O731" s="902"/>
      <c r="P731" s="902"/>
      <c r="Q731" s="902"/>
      <c r="R731" s="902"/>
      <c r="S731" s="902"/>
      <c r="T731" s="902"/>
      <c r="U731" s="902"/>
    </row>
    <row r="732" spans="1:21" s="1624" customFormat="1" ht="15.75" thickBot="1" x14ac:dyDescent="0.3">
      <c r="A732" s="537"/>
      <c r="B732" s="902"/>
      <c r="C732" s="890"/>
      <c r="D732" s="890"/>
      <c r="E732" s="890"/>
      <c r="F732" s="902"/>
      <c r="G732" s="902"/>
      <c r="H732" s="1625" t="s">
        <v>1389</v>
      </c>
      <c r="I732" s="902"/>
      <c r="J732" s="902"/>
      <c r="K732" s="902"/>
      <c r="L732" s="902"/>
      <c r="M732" s="902"/>
      <c r="N732" s="902"/>
      <c r="O732" s="902"/>
      <c r="P732" s="902"/>
      <c r="Q732" s="902"/>
      <c r="R732" s="898" t="s">
        <v>1595</v>
      </c>
      <c r="S732" s="902"/>
      <c r="T732" s="898" t="s">
        <v>1596</v>
      </c>
      <c r="U732" s="902"/>
    </row>
    <row r="733" spans="1:21" s="1624" customFormat="1" ht="15.75" thickBot="1" x14ac:dyDescent="0.3">
      <c r="A733" s="537"/>
      <c r="B733" s="902"/>
      <c r="C733" s="895" t="s">
        <v>1378</v>
      </c>
      <c r="D733" s="2055" t="str">
        <f>IF(T739="Yes",Incentives!E405,"")</f>
        <v/>
      </c>
      <c r="E733" s="2056"/>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4"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4" customFormat="1" ht="30.75" thickBot="1" x14ac:dyDescent="0.3">
      <c r="A735" s="537"/>
      <c r="B735" s="902"/>
      <c r="C735" s="895" t="s">
        <v>1379</v>
      </c>
      <c r="D735" s="2055" t="str">
        <f>IF(T739="Yes",Incentives!E406,"")</f>
        <v/>
      </c>
      <c r="E735" s="2056"/>
      <c r="F735" s="902"/>
      <c r="G735" s="902"/>
      <c r="H735" s="1625" t="s">
        <v>1484</v>
      </c>
      <c r="I735" s="902"/>
      <c r="J735" s="1625" t="s">
        <v>1996</v>
      </c>
      <c r="K735" s="902"/>
      <c r="L735" s="1530" t="s">
        <v>2126</v>
      </c>
      <c r="M735" s="902"/>
      <c r="N735" s="898" t="s">
        <v>1474</v>
      </c>
      <c r="O735" s="902"/>
      <c r="P735" s="902"/>
      <c r="Q735" s="902"/>
      <c r="R735" s="902"/>
      <c r="S735" s="902"/>
      <c r="T735" s="898" t="s">
        <v>1591</v>
      </c>
      <c r="U735" s="902"/>
    </row>
    <row r="736" spans="1:21" s="1624"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4" customFormat="1" ht="30.75" thickBot="1" x14ac:dyDescent="0.3">
      <c r="A737" s="537"/>
      <c r="B737" s="902"/>
      <c r="C737" s="896" t="s">
        <v>1487</v>
      </c>
      <c r="D737" s="2057" t="s">
        <v>648</v>
      </c>
      <c r="E737" s="2054"/>
      <c r="F737" s="902"/>
      <c r="G737" s="902"/>
      <c r="H737" s="902"/>
      <c r="I737" s="902"/>
      <c r="J737" s="902"/>
      <c r="K737" s="902"/>
      <c r="L737" s="902"/>
      <c r="M737" s="902"/>
      <c r="N737" s="902"/>
      <c r="O737" s="902"/>
      <c r="P737" s="902"/>
      <c r="Q737" s="902"/>
      <c r="R737" s="902"/>
      <c r="S737" s="902"/>
      <c r="T737" s="902"/>
      <c r="U737" s="902"/>
    </row>
    <row r="738" spans="1:21" s="1624"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4" customFormat="1" ht="15.75" thickBot="1" x14ac:dyDescent="0.3">
      <c r="A739" s="537"/>
      <c r="B739" s="902"/>
      <c r="C739" s="895" t="s">
        <v>1488</v>
      </c>
      <c r="D739" s="2053" t="s">
        <v>1598</v>
      </c>
      <c r="E739" s="2036"/>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4"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4" customFormat="1" ht="15.75" customHeight="1" thickBot="1" x14ac:dyDescent="0.3">
      <c r="A741" s="537"/>
      <c r="B741" s="2050" t="s">
        <v>2170</v>
      </c>
      <c r="C741" s="2035"/>
      <c r="D741" s="2035"/>
      <c r="E741" s="2035"/>
      <c r="F741" s="2035"/>
      <c r="G741" s="2035"/>
      <c r="H741" s="2035"/>
      <c r="I741" s="2035"/>
      <c r="J741" s="2035"/>
      <c r="K741" s="2035"/>
      <c r="L741" s="2035"/>
      <c r="M741" s="2035"/>
      <c r="N741" s="2035"/>
      <c r="O741" s="2035"/>
      <c r="P741" s="2035"/>
      <c r="Q741" s="2035"/>
      <c r="R741" s="2035"/>
      <c r="S741" s="2035"/>
      <c r="T741" s="2035"/>
      <c r="U741" s="2036"/>
    </row>
    <row r="742" spans="1:21" s="1624"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4" customFormat="1" ht="30.75" customHeight="1" thickBot="1" x14ac:dyDescent="0.3">
      <c r="A743" s="537"/>
      <c r="B743" s="902"/>
      <c r="C743" s="895" t="s">
        <v>1376</v>
      </c>
      <c r="D743" s="2051" t="s">
        <v>1767</v>
      </c>
      <c r="E743" s="2052"/>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4"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4" customFormat="1" ht="30.75" thickBot="1" x14ac:dyDescent="0.3">
      <c r="A745" s="537"/>
      <c r="B745" s="902"/>
      <c r="C745" s="895" t="s">
        <v>1483</v>
      </c>
      <c r="D745" s="2053">
        <v>5318</v>
      </c>
      <c r="E745" s="2054"/>
      <c r="F745" s="902"/>
      <c r="G745" s="902"/>
      <c r="H745" s="902"/>
      <c r="I745" s="902"/>
      <c r="J745" s="902"/>
      <c r="K745" s="902"/>
      <c r="L745" s="902"/>
      <c r="M745" s="902"/>
      <c r="N745" s="902"/>
      <c r="O745" s="902"/>
      <c r="P745" s="902"/>
      <c r="Q745" s="902"/>
      <c r="R745" s="902"/>
      <c r="S745" s="902"/>
      <c r="T745" s="902"/>
      <c r="U745" s="902"/>
    </row>
    <row r="746" spans="1:21" s="1624" customFormat="1" ht="15.75" thickBot="1" x14ac:dyDescent="0.3">
      <c r="A746" s="537"/>
      <c r="B746" s="902"/>
      <c r="C746" s="890"/>
      <c r="D746" s="890"/>
      <c r="E746" s="890"/>
      <c r="F746" s="902"/>
      <c r="G746" s="902"/>
      <c r="H746" s="1625" t="s">
        <v>1389</v>
      </c>
      <c r="I746" s="902"/>
      <c r="J746" s="902"/>
      <c r="K746" s="902"/>
      <c r="L746" s="902"/>
      <c r="M746" s="902"/>
      <c r="N746" s="902"/>
      <c r="O746" s="902"/>
      <c r="P746" s="902"/>
      <c r="Q746" s="902"/>
      <c r="R746" s="898" t="s">
        <v>1595</v>
      </c>
      <c r="S746" s="902"/>
      <c r="T746" s="898" t="s">
        <v>1596</v>
      </c>
      <c r="U746" s="902"/>
    </row>
    <row r="747" spans="1:21" s="1624" customFormat="1" ht="15.75" thickBot="1" x14ac:dyDescent="0.3">
      <c r="A747" s="537"/>
      <c r="B747" s="902"/>
      <c r="C747" s="895" t="s">
        <v>1378</v>
      </c>
      <c r="D747" s="2055" t="str">
        <f>IF(T753="Yes",Incentives!E416,"")</f>
        <v/>
      </c>
      <c r="E747" s="2056"/>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4"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4" customFormat="1" ht="30.75" thickBot="1" x14ac:dyDescent="0.3">
      <c r="A749" s="537"/>
      <c r="B749" s="902"/>
      <c r="C749" s="895" t="s">
        <v>1379</v>
      </c>
      <c r="D749" s="2055" t="str">
        <f>IF(T753="Yes",Incentives!E417,"")</f>
        <v/>
      </c>
      <c r="E749" s="2056"/>
      <c r="F749" s="902"/>
      <c r="G749" s="902"/>
      <c r="H749" s="1625" t="s">
        <v>1484</v>
      </c>
      <c r="I749" s="902"/>
      <c r="J749" s="1625" t="s">
        <v>1996</v>
      </c>
      <c r="K749" s="902"/>
      <c r="L749" s="1530" t="s">
        <v>2126</v>
      </c>
      <c r="M749" s="902"/>
      <c r="N749" s="898" t="s">
        <v>1474</v>
      </c>
      <c r="O749" s="902"/>
      <c r="P749" s="902"/>
      <c r="Q749" s="902"/>
      <c r="R749" s="902"/>
      <c r="S749" s="902"/>
      <c r="T749" s="898" t="s">
        <v>1591</v>
      </c>
      <c r="U749" s="902"/>
    </row>
    <row r="750" spans="1:21" s="1624"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4" customFormat="1" ht="30.75" thickBot="1" x14ac:dyDescent="0.3">
      <c r="A751" s="537"/>
      <c r="B751" s="902"/>
      <c r="C751" s="896" t="s">
        <v>1487</v>
      </c>
      <c r="D751" s="2057" t="s">
        <v>648</v>
      </c>
      <c r="E751" s="2054"/>
      <c r="F751" s="902"/>
      <c r="G751" s="902"/>
      <c r="H751" s="902"/>
      <c r="I751" s="902"/>
      <c r="J751" s="902"/>
      <c r="K751" s="902"/>
      <c r="L751" s="902"/>
      <c r="M751" s="902"/>
      <c r="N751" s="902"/>
      <c r="O751" s="902"/>
      <c r="P751" s="902"/>
      <c r="Q751" s="902"/>
      <c r="R751" s="902"/>
      <c r="S751" s="902"/>
      <c r="T751" s="902"/>
      <c r="U751" s="902"/>
    </row>
    <row r="752" spans="1:21" s="1624"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4" customFormat="1" ht="15.75" thickBot="1" x14ac:dyDescent="0.3">
      <c r="A753" s="537"/>
      <c r="B753" s="902"/>
      <c r="C753" s="895" t="s">
        <v>1488</v>
      </c>
      <c r="D753" s="2053" t="s">
        <v>1598</v>
      </c>
      <c r="E753" s="2036"/>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4"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4" customFormat="1" ht="15.75" customHeight="1" thickBot="1" x14ac:dyDescent="0.3">
      <c r="A755" s="537"/>
      <c r="B755" s="2050" t="s">
        <v>2171</v>
      </c>
      <c r="C755" s="2035"/>
      <c r="D755" s="2035"/>
      <c r="E755" s="2035"/>
      <c r="F755" s="2035"/>
      <c r="G755" s="2035"/>
      <c r="H755" s="2035"/>
      <c r="I755" s="2035"/>
      <c r="J755" s="2035"/>
      <c r="K755" s="2035"/>
      <c r="L755" s="2035"/>
      <c r="M755" s="2035"/>
      <c r="N755" s="2035"/>
      <c r="O755" s="2035"/>
      <c r="P755" s="2035"/>
      <c r="Q755" s="2035"/>
      <c r="R755" s="2035"/>
      <c r="S755" s="2035"/>
      <c r="T755" s="2035"/>
      <c r="U755" s="2036"/>
    </row>
    <row r="756" spans="1:21" s="1624"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4" customFormat="1" ht="30.75" customHeight="1" thickBot="1" x14ac:dyDescent="0.3">
      <c r="A757" s="537"/>
      <c r="B757" s="902"/>
      <c r="C757" s="895" t="s">
        <v>1376</v>
      </c>
      <c r="D757" s="2051" t="s">
        <v>1767</v>
      </c>
      <c r="E757" s="2052"/>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4"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4" customFormat="1" ht="30.75" thickBot="1" x14ac:dyDescent="0.3">
      <c r="A759" s="537"/>
      <c r="B759" s="902"/>
      <c r="C759" s="895" t="s">
        <v>1483</v>
      </c>
      <c r="D759" s="2053">
        <v>5319</v>
      </c>
      <c r="E759" s="2054"/>
      <c r="F759" s="902"/>
      <c r="G759" s="902"/>
      <c r="H759" s="902"/>
      <c r="I759" s="902"/>
      <c r="J759" s="902"/>
      <c r="K759" s="902"/>
      <c r="L759" s="902"/>
      <c r="M759" s="902"/>
      <c r="N759" s="902"/>
      <c r="O759" s="902"/>
      <c r="P759" s="902"/>
      <c r="Q759" s="902"/>
      <c r="R759" s="902"/>
      <c r="S759" s="902"/>
      <c r="T759" s="902"/>
      <c r="U759" s="902"/>
    </row>
    <row r="760" spans="1:21" s="1624" customFormat="1" ht="15.75" thickBot="1" x14ac:dyDescent="0.3">
      <c r="A760" s="537"/>
      <c r="B760" s="902"/>
      <c r="C760" s="890"/>
      <c r="D760" s="890"/>
      <c r="E760" s="890"/>
      <c r="F760" s="902"/>
      <c r="G760" s="902"/>
      <c r="H760" s="1625" t="s">
        <v>1389</v>
      </c>
      <c r="I760" s="902"/>
      <c r="J760" s="902"/>
      <c r="K760" s="902"/>
      <c r="L760" s="902"/>
      <c r="M760" s="902"/>
      <c r="N760" s="902"/>
      <c r="O760" s="902"/>
      <c r="P760" s="902"/>
      <c r="Q760" s="902"/>
      <c r="R760" s="898" t="s">
        <v>1595</v>
      </c>
      <c r="S760" s="902"/>
      <c r="T760" s="898" t="s">
        <v>1596</v>
      </c>
      <c r="U760" s="902"/>
    </row>
    <row r="761" spans="1:21" s="1624" customFormat="1" ht="15.75" thickBot="1" x14ac:dyDescent="0.3">
      <c r="A761" s="537"/>
      <c r="B761" s="902"/>
      <c r="C761" s="895" t="s">
        <v>1378</v>
      </c>
      <c r="D761" s="2055" t="str">
        <f>IF(T767="Yes",Incentives!E427,"")</f>
        <v/>
      </c>
      <c r="E761" s="2056"/>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4"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4" customFormat="1" ht="30.75" thickBot="1" x14ac:dyDescent="0.3">
      <c r="A763" s="537"/>
      <c r="B763" s="902"/>
      <c r="C763" s="895" t="s">
        <v>1379</v>
      </c>
      <c r="D763" s="2055" t="str">
        <f>IF(T767="Yes",Incentives!E428,"")</f>
        <v/>
      </c>
      <c r="E763" s="2056"/>
      <c r="F763" s="902"/>
      <c r="G763" s="902"/>
      <c r="H763" s="1625" t="s">
        <v>1484</v>
      </c>
      <c r="I763" s="902"/>
      <c r="J763" s="1625" t="s">
        <v>1996</v>
      </c>
      <c r="K763" s="902"/>
      <c r="L763" s="1530" t="s">
        <v>2126</v>
      </c>
      <c r="M763" s="902"/>
      <c r="N763" s="898" t="s">
        <v>1474</v>
      </c>
      <c r="O763" s="902"/>
      <c r="P763" s="902"/>
      <c r="Q763" s="902"/>
      <c r="R763" s="902"/>
      <c r="S763" s="902"/>
      <c r="T763" s="898" t="s">
        <v>1591</v>
      </c>
      <c r="U763" s="902"/>
    </row>
    <row r="764" spans="1:21" s="1624"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4" customFormat="1" ht="30.75" thickBot="1" x14ac:dyDescent="0.3">
      <c r="A765" s="537"/>
      <c r="B765" s="902"/>
      <c r="C765" s="896" t="s">
        <v>1487</v>
      </c>
      <c r="D765" s="2057" t="s">
        <v>648</v>
      </c>
      <c r="E765" s="2054"/>
      <c r="F765" s="902"/>
      <c r="G765" s="902"/>
      <c r="H765" s="902"/>
      <c r="I765" s="902"/>
      <c r="J765" s="902"/>
      <c r="K765" s="902"/>
      <c r="L765" s="902"/>
      <c r="M765" s="902"/>
      <c r="N765" s="902"/>
      <c r="O765" s="902"/>
      <c r="P765" s="902"/>
      <c r="Q765" s="902"/>
      <c r="R765" s="902"/>
      <c r="S765" s="902"/>
      <c r="T765" s="902"/>
      <c r="U765" s="902"/>
    </row>
    <row r="766" spans="1:21" s="1624"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4" customFormat="1" ht="15.75" thickBot="1" x14ac:dyDescent="0.3">
      <c r="A767" s="537"/>
      <c r="B767" s="902"/>
      <c r="C767" s="895" t="s">
        <v>1488</v>
      </c>
      <c r="D767" s="2053" t="s">
        <v>1598</v>
      </c>
      <c r="E767" s="2036"/>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4"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4" customFormat="1" ht="15.75" customHeight="1" thickBot="1" x14ac:dyDescent="0.3">
      <c r="A769" s="537"/>
      <c r="B769" s="2050" t="s">
        <v>2138</v>
      </c>
      <c r="C769" s="2059"/>
      <c r="D769" s="2059"/>
      <c r="E769" s="2059"/>
      <c r="F769" s="2059"/>
      <c r="G769" s="2059"/>
      <c r="H769" s="2059"/>
      <c r="I769" s="2059"/>
      <c r="J769" s="2059"/>
      <c r="K769" s="2059"/>
      <c r="L769" s="2059"/>
      <c r="M769" s="2059"/>
      <c r="N769" s="2059"/>
      <c r="O769" s="2059"/>
      <c r="P769" s="2059"/>
      <c r="Q769" s="2059"/>
      <c r="R769" s="2059"/>
      <c r="S769" s="2059"/>
      <c r="T769" s="2059"/>
      <c r="U769" s="2060"/>
    </row>
    <row r="770" spans="1:21" ht="15.75" thickBot="1" x14ac:dyDescent="0.3">
      <c r="A770" s="537"/>
      <c r="B770" s="2076"/>
      <c r="C770" s="2076"/>
      <c r="D770" s="1549"/>
      <c r="E770" s="2076"/>
      <c r="F770" s="2076"/>
      <c r="G770" s="2076"/>
      <c r="H770" s="2076"/>
      <c r="I770" s="2076"/>
      <c r="J770" s="2076"/>
      <c r="K770" s="2076"/>
      <c r="L770" s="2076"/>
      <c r="M770" s="2076"/>
      <c r="N770" s="2076"/>
      <c r="O770" s="2076"/>
      <c r="P770" s="2076"/>
      <c r="Q770" s="2076"/>
      <c r="R770" s="2076"/>
      <c r="S770" s="2076"/>
      <c r="T770" s="2076"/>
      <c r="U770" s="1548"/>
    </row>
    <row r="771" spans="1:21" ht="30.75" thickBot="1" x14ac:dyDescent="0.3">
      <c r="A771" s="537"/>
      <c r="B771" s="1550"/>
      <c r="C771" s="1551" t="s">
        <v>1376</v>
      </c>
      <c r="D771" s="2077" t="s">
        <v>2132</v>
      </c>
      <c r="E771" s="2078"/>
      <c r="F771" s="2079"/>
      <c r="G771" s="2080"/>
      <c r="H771" s="968" t="s">
        <v>1373</v>
      </c>
      <c r="I771" s="1549"/>
      <c r="J771" s="968" t="s">
        <v>1374</v>
      </c>
      <c r="K771" s="1549"/>
      <c r="L771" s="968" t="s">
        <v>1390</v>
      </c>
      <c r="M771" s="1549"/>
      <c r="N771" s="968" t="s">
        <v>1375</v>
      </c>
      <c r="O771" s="2081"/>
      <c r="P771" s="2082"/>
      <c r="Q771" s="1549"/>
      <c r="R771" s="968" t="s">
        <v>1479</v>
      </c>
      <c r="S771" s="1549"/>
      <c r="T771" s="968" t="s">
        <v>1480</v>
      </c>
      <c r="U771" s="1548"/>
    </row>
    <row r="772" spans="1:21" ht="15.75" thickBot="1" x14ac:dyDescent="0.3">
      <c r="A772" s="537"/>
      <c r="B772" s="2079"/>
      <c r="C772" s="2079"/>
      <c r="D772" s="1550"/>
      <c r="E772" s="2079"/>
      <c r="F772" s="2079"/>
      <c r="G772" s="1550"/>
      <c r="H772" s="843"/>
      <c r="I772" s="1549"/>
      <c r="J772" s="1606"/>
      <c r="K772" s="1549"/>
      <c r="L772" s="1607"/>
      <c r="M772" s="1549"/>
      <c r="N772" s="1552"/>
      <c r="O772" s="2081"/>
      <c r="P772" s="2082"/>
      <c r="Q772" s="1549"/>
      <c r="R772" s="969" t="s">
        <v>1482</v>
      </c>
      <c r="S772" s="1549"/>
      <c r="T772" s="969" t="s">
        <v>648</v>
      </c>
      <c r="U772" s="1548"/>
    </row>
    <row r="773" spans="1:21" ht="30.75" thickBot="1" x14ac:dyDescent="0.3">
      <c r="A773" s="537"/>
      <c r="B773" s="1550"/>
      <c r="C773" s="1551" t="s">
        <v>1483</v>
      </c>
      <c r="D773" s="2083">
        <v>5201</v>
      </c>
      <c r="E773" s="2084"/>
      <c r="F773" s="2079"/>
      <c r="G773" s="2079"/>
      <c r="H773" s="1550"/>
      <c r="I773" s="2082"/>
      <c r="J773" s="2082"/>
      <c r="K773" s="2082"/>
      <c r="L773" s="2082"/>
      <c r="M773" s="2082"/>
      <c r="N773" s="2082"/>
      <c r="O773" s="2082"/>
      <c r="P773" s="2082"/>
      <c r="Q773" s="2082"/>
      <c r="R773" s="2082"/>
      <c r="S773" s="2082"/>
      <c r="T773" s="2082"/>
      <c r="U773" s="1548"/>
    </row>
    <row r="774" spans="1:21" ht="15.75" thickBot="1" x14ac:dyDescent="0.3">
      <c r="A774" s="537"/>
      <c r="B774" s="2079"/>
      <c r="C774" s="2079"/>
      <c r="D774" s="1550"/>
      <c r="E774" s="2079"/>
      <c r="F774" s="2079"/>
      <c r="G774" s="1550"/>
      <c r="H774" s="968" t="s">
        <v>1382</v>
      </c>
      <c r="I774" s="2081"/>
      <c r="J774" s="2082"/>
      <c r="K774" s="2082"/>
      <c r="L774" s="2082"/>
      <c r="M774" s="2082"/>
      <c r="N774" s="2082"/>
      <c r="O774" s="2082"/>
      <c r="P774" s="2082"/>
      <c r="Q774" s="2082"/>
      <c r="R774" s="2082"/>
      <c r="S774" s="2082"/>
      <c r="T774" s="2082"/>
      <c r="U774" s="1548"/>
    </row>
    <row r="775" spans="1:21" ht="15.75" thickBot="1" x14ac:dyDescent="0.3">
      <c r="A775" s="537"/>
      <c r="B775" s="1550"/>
      <c r="C775" s="1551" t="s">
        <v>1378</v>
      </c>
      <c r="D775" s="2085" t="str">
        <f>AA38</f>
        <v/>
      </c>
      <c r="E775" s="2086"/>
      <c r="F775" s="2079"/>
      <c r="G775" s="2080"/>
      <c r="H775" s="1623"/>
      <c r="I775" s="2081"/>
      <c r="J775" s="2082"/>
      <c r="K775" s="2082"/>
      <c r="L775" s="2082"/>
      <c r="M775" s="2082"/>
      <c r="N775" s="2082"/>
      <c r="O775" s="2082"/>
      <c r="P775" s="2082"/>
      <c r="Q775" s="2082"/>
      <c r="R775" s="2082"/>
      <c r="S775" s="2082"/>
      <c r="T775" s="2082"/>
      <c r="U775" s="1548"/>
    </row>
    <row r="776" spans="1:21" ht="15.75" thickBot="1" x14ac:dyDescent="0.3">
      <c r="A776" s="537"/>
      <c r="B776" s="2079"/>
      <c r="C776" s="2079"/>
      <c r="D776" s="1550"/>
      <c r="E776" s="2079"/>
      <c r="F776" s="2079"/>
      <c r="G776" s="2079"/>
      <c r="H776" s="2079"/>
      <c r="I776" s="2082"/>
      <c r="J776" s="2082"/>
      <c r="K776" s="2082"/>
      <c r="L776" s="2082"/>
      <c r="M776" s="2082"/>
      <c r="N776" s="2082"/>
      <c r="O776" s="2082"/>
      <c r="P776" s="2082"/>
      <c r="Q776" s="2082"/>
      <c r="R776" s="2082"/>
      <c r="S776" s="2082"/>
      <c r="T776" s="2082"/>
      <c r="U776" s="1548"/>
    </row>
    <row r="777" spans="1:21" ht="15.75" thickBot="1" x14ac:dyDescent="0.3">
      <c r="A777" s="537"/>
      <c r="B777" s="1550"/>
      <c r="C777" s="1551" t="s">
        <v>1379</v>
      </c>
      <c r="D777" s="2085" t="str">
        <f>AB38</f>
        <v/>
      </c>
      <c r="E777" s="2086"/>
      <c r="F777" s="2079"/>
      <c r="G777" s="2079"/>
      <c r="H777" s="1550"/>
      <c r="I777" s="2082"/>
      <c r="J777" s="2082"/>
      <c r="K777" s="2082"/>
      <c r="L777" s="2082"/>
      <c r="M777" s="2082"/>
      <c r="N777" s="2082"/>
      <c r="O777" s="2082"/>
      <c r="P777" s="2082"/>
      <c r="Q777" s="2082"/>
      <c r="R777" s="2082"/>
      <c r="S777" s="1549"/>
      <c r="T777" s="968" t="s">
        <v>1591</v>
      </c>
      <c r="U777" s="1548"/>
    </row>
    <row r="778" spans="1:21" ht="15.75" thickBot="1" x14ac:dyDescent="0.3">
      <c r="A778" s="537"/>
      <c r="B778" s="2079"/>
      <c r="C778" s="2079"/>
      <c r="D778" s="1550"/>
      <c r="E778" s="2079"/>
      <c r="F778" s="2079"/>
      <c r="G778" s="2079"/>
      <c r="H778" s="2079"/>
      <c r="I778" s="2082"/>
      <c r="J778" s="2082"/>
      <c r="K778" s="2082"/>
      <c r="L778" s="2082"/>
      <c r="M778" s="2082"/>
      <c r="N778" s="2082"/>
      <c r="O778" s="2082"/>
      <c r="P778" s="2082"/>
      <c r="Q778" s="2082"/>
      <c r="R778" s="2082"/>
      <c r="S778" s="1549"/>
      <c r="T778" s="969" t="s">
        <v>646</v>
      </c>
      <c r="U778" s="1548"/>
    </row>
    <row r="779" spans="1:21" ht="30.75" thickBot="1" x14ac:dyDescent="0.3">
      <c r="A779" s="537"/>
      <c r="B779" s="1550"/>
      <c r="C779" s="1553" t="s">
        <v>1487</v>
      </c>
      <c r="D779" s="2088" t="s">
        <v>646</v>
      </c>
      <c r="E779" s="2089"/>
      <c r="F779" s="2090"/>
      <c r="G779" s="2079"/>
      <c r="H779" s="1550"/>
      <c r="I779" s="2082"/>
      <c r="J779" s="2082"/>
      <c r="K779" s="2082"/>
      <c r="L779" s="2082"/>
      <c r="M779" s="2082"/>
      <c r="N779" s="2082"/>
      <c r="O779" s="2082"/>
      <c r="P779" s="2082"/>
      <c r="Q779" s="2082"/>
      <c r="R779" s="2082"/>
      <c r="S779" s="2082"/>
      <c r="T779" s="2082"/>
      <c r="U779" s="1548"/>
    </row>
    <row r="780" spans="1:21" ht="15.75" thickBot="1" x14ac:dyDescent="0.3">
      <c r="A780" s="537"/>
      <c r="B780" s="2079"/>
      <c r="C780" s="2079"/>
      <c r="D780" s="1550"/>
      <c r="E780" s="2079"/>
      <c r="F780" s="2079"/>
      <c r="G780" s="2079"/>
      <c r="H780" s="2079"/>
      <c r="I780" s="2082"/>
      <c r="J780" s="2082"/>
      <c r="K780" s="2082"/>
      <c r="L780" s="2082"/>
      <c r="M780" s="2082"/>
      <c r="N780" s="2082"/>
      <c r="O780" s="2082"/>
      <c r="P780" s="2082"/>
      <c r="Q780" s="2082"/>
      <c r="R780" s="2082"/>
      <c r="S780" s="1549"/>
      <c r="T780" s="968" t="s">
        <v>523</v>
      </c>
      <c r="U780" s="1548"/>
    </row>
    <row r="781" spans="1:21" ht="15.75" thickBot="1" x14ac:dyDescent="0.3">
      <c r="A781" s="537"/>
      <c r="B781" s="1550"/>
      <c r="C781" s="1551" t="s">
        <v>1488</v>
      </c>
      <c r="D781" s="2083" t="s">
        <v>1489</v>
      </c>
      <c r="E781" s="2084"/>
      <c r="F781" s="2079"/>
      <c r="G781" s="2079"/>
      <c r="H781" s="1550"/>
      <c r="I781" s="2082"/>
      <c r="J781" s="2082"/>
      <c r="K781" s="2082"/>
      <c r="L781" s="2082"/>
      <c r="M781" s="2082"/>
      <c r="N781" s="2082"/>
      <c r="O781" s="2082"/>
      <c r="P781" s="2082"/>
      <c r="Q781" s="2082"/>
      <c r="R781" s="2082"/>
      <c r="S781" s="1549"/>
      <c r="T781" s="969" t="str">
        <f>Incentives!E435</f>
        <v>No</v>
      </c>
      <c r="U781" s="1548"/>
    </row>
    <row r="782" spans="1:21" ht="15.75" thickBot="1" x14ac:dyDescent="0.3">
      <c r="A782" s="537"/>
      <c r="B782" s="2087"/>
      <c r="C782" s="2087"/>
      <c r="D782" s="1549"/>
      <c r="E782" s="2087"/>
      <c r="F782" s="2087"/>
      <c r="G782" s="2087"/>
      <c r="H782" s="2087"/>
      <c r="I782" s="2087"/>
      <c r="J782" s="2087"/>
      <c r="K782" s="2087"/>
      <c r="L782" s="2087"/>
      <c r="M782" s="2087"/>
      <c r="N782" s="2087"/>
      <c r="O782" s="2087"/>
      <c r="P782" s="2087"/>
      <c r="Q782" s="2087"/>
      <c r="R782" s="2087"/>
      <c r="S782" s="2087"/>
      <c r="T782" s="2087"/>
      <c r="U782" s="1548"/>
    </row>
    <row r="783" spans="1:21" ht="15.75" thickBot="1" x14ac:dyDescent="0.3">
      <c r="A783" s="537"/>
      <c r="B783" s="2050" t="s">
        <v>2139</v>
      </c>
      <c r="C783" s="2035"/>
      <c r="D783" s="2035"/>
      <c r="E783" s="2035"/>
      <c r="F783" s="2035"/>
      <c r="G783" s="2035"/>
      <c r="H783" s="2035"/>
      <c r="I783" s="2035"/>
      <c r="J783" s="2035"/>
      <c r="K783" s="2035"/>
      <c r="L783" s="2035"/>
      <c r="M783" s="2035"/>
      <c r="N783" s="2035"/>
      <c r="O783" s="2035"/>
      <c r="P783" s="2035"/>
      <c r="Q783" s="2035"/>
      <c r="R783" s="2035"/>
      <c r="S783" s="2035"/>
      <c r="T783" s="2035"/>
      <c r="U783" s="2036"/>
    </row>
    <row r="784" spans="1:21" s="1608" customFormat="1" ht="15.75" thickBot="1" x14ac:dyDescent="0.3">
      <c r="A784" s="537"/>
      <c r="B784" s="2076"/>
      <c r="C784" s="2076"/>
      <c r="D784" s="1610"/>
      <c r="E784" s="2076"/>
      <c r="F784" s="2076"/>
      <c r="G784" s="2076"/>
      <c r="H784" s="2076"/>
      <c r="I784" s="2076"/>
      <c r="J784" s="2076"/>
      <c r="K784" s="2076"/>
      <c r="L784" s="2076"/>
      <c r="M784" s="2076"/>
      <c r="N784" s="2076"/>
      <c r="O784" s="2076"/>
      <c r="P784" s="2076"/>
      <c r="Q784" s="2076"/>
      <c r="R784" s="2076"/>
      <c r="S784" s="2076"/>
      <c r="T784" s="2076"/>
      <c r="U784" s="1548"/>
    </row>
    <row r="785" spans="1:21" s="1608" customFormat="1" ht="30.75" thickBot="1" x14ac:dyDescent="0.3">
      <c r="A785" s="537"/>
      <c r="B785" s="1609"/>
      <c r="C785" s="1551" t="s">
        <v>1376</v>
      </c>
      <c r="D785" s="2077" t="s">
        <v>2132</v>
      </c>
      <c r="E785" s="2078"/>
      <c r="F785" s="2079"/>
      <c r="G785" s="2080"/>
      <c r="H785" s="968" t="s">
        <v>1373</v>
      </c>
      <c r="I785" s="1610"/>
      <c r="J785" s="968" t="s">
        <v>1374</v>
      </c>
      <c r="K785" s="1610"/>
      <c r="L785" s="968" t="s">
        <v>1390</v>
      </c>
      <c r="M785" s="1610"/>
      <c r="N785" s="968" t="s">
        <v>1375</v>
      </c>
      <c r="O785" s="2081"/>
      <c r="P785" s="2082"/>
      <c r="Q785" s="1610"/>
      <c r="R785" s="968" t="s">
        <v>1479</v>
      </c>
      <c r="S785" s="1610"/>
      <c r="T785" s="968" t="s">
        <v>1480</v>
      </c>
      <c r="U785" s="1548"/>
    </row>
    <row r="786" spans="1:21" s="1608" customFormat="1" ht="15.75" thickBot="1" x14ac:dyDescent="0.3">
      <c r="A786" s="537"/>
      <c r="B786" s="2079"/>
      <c r="C786" s="2079"/>
      <c r="D786" s="1609"/>
      <c r="E786" s="2079"/>
      <c r="F786" s="2079"/>
      <c r="G786" s="1609"/>
      <c r="H786" s="843"/>
      <c r="I786" s="1610"/>
      <c r="J786" s="1606"/>
      <c r="K786" s="1610"/>
      <c r="L786" s="1607"/>
      <c r="M786" s="1610"/>
      <c r="N786" s="1552"/>
      <c r="O786" s="2081"/>
      <c r="P786" s="2082"/>
      <c r="Q786" s="1610"/>
      <c r="R786" s="969" t="s">
        <v>1482</v>
      </c>
      <c r="S786" s="1610"/>
      <c r="T786" s="969" t="s">
        <v>648</v>
      </c>
      <c r="U786" s="1548"/>
    </row>
    <row r="787" spans="1:21" s="1608" customFormat="1" ht="30.75" thickBot="1" x14ac:dyDescent="0.3">
      <c r="A787" s="537"/>
      <c r="B787" s="1609"/>
      <c r="C787" s="1551" t="s">
        <v>1483</v>
      </c>
      <c r="D787" s="2083">
        <v>5202</v>
      </c>
      <c r="E787" s="2084"/>
      <c r="F787" s="2079"/>
      <c r="G787" s="2079"/>
      <c r="H787" s="1609"/>
      <c r="I787" s="2082"/>
      <c r="J787" s="2082"/>
      <c r="K787" s="2082"/>
      <c r="L787" s="2082"/>
      <c r="M787" s="2082"/>
      <c r="N787" s="2082"/>
      <c r="O787" s="2082"/>
      <c r="P787" s="2082"/>
      <c r="Q787" s="2082"/>
      <c r="R787" s="2082"/>
      <c r="S787" s="2082"/>
      <c r="T787" s="2082"/>
      <c r="U787" s="1548"/>
    </row>
    <row r="788" spans="1:21" s="1608" customFormat="1" ht="15.75" thickBot="1" x14ac:dyDescent="0.3">
      <c r="A788" s="537"/>
      <c r="B788" s="2079"/>
      <c r="C788" s="2079"/>
      <c r="D788" s="1609"/>
      <c r="E788" s="2079"/>
      <c r="F788" s="2079"/>
      <c r="G788" s="1609"/>
      <c r="H788" s="968" t="s">
        <v>1382</v>
      </c>
      <c r="I788" s="2081"/>
      <c r="J788" s="2082"/>
      <c r="K788" s="2082"/>
      <c r="L788" s="2082"/>
      <c r="M788" s="2082"/>
      <c r="N788" s="2082"/>
      <c r="O788" s="2082"/>
      <c r="P788" s="2082"/>
      <c r="Q788" s="2082"/>
      <c r="R788" s="2082"/>
      <c r="S788" s="2082"/>
      <c r="T788" s="2082"/>
      <c r="U788" s="1548"/>
    </row>
    <row r="789" spans="1:21" s="1608" customFormat="1" ht="15.75" thickBot="1" x14ac:dyDescent="0.3">
      <c r="A789" s="537"/>
      <c r="B789" s="1609"/>
      <c r="C789" s="1551" t="s">
        <v>1378</v>
      </c>
      <c r="D789" s="2085" t="str">
        <f>AA39</f>
        <v/>
      </c>
      <c r="E789" s="2086"/>
      <c r="F789" s="2079"/>
      <c r="G789" s="2080"/>
      <c r="H789" s="1623"/>
      <c r="I789" s="2081"/>
      <c r="J789" s="2082"/>
      <c r="K789" s="2082"/>
      <c r="L789" s="2082"/>
      <c r="M789" s="2082"/>
      <c r="N789" s="2082"/>
      <c r="O789" s="2082"/>
      <c r="P789" s="2082"/>
      <c r="Q789" s="2082"/>
      <c r="R789" s="2082"/>
      <c r="S789" s="2082"/>
      <c r="T789" s="2082"/>
      <c r="U789" s="1548"/>
    </row>
    <row r="790" spans="1:21" s="1608" customFormat="1" ht="15.75" thickBot="1" x14ac:dyDescent="0.3">
      <c r="A790" s="537"/>
      <c r="B790" s="2079"/>
      <c r="C790" s="2079"/>
      <c r="D790" s="1609"/>
      <c r="E790" s="2079"/>
      <c r="F790" s="2079"/>
      <c r="G790" s="2079"/>
      <c r="H790" s="2079"/>
      <c r="I790" s="2082"/>
      <c r="J790" s="2082"/>
      <c r="K790" s="2082"/>
      <c r="L790" s="2082"/>
      <c r="M790" s="2082"/>
      <c r="N790" s="2082"/>
      <c r="O790" s="2082"/>
      <c r="P790" s="2082"/>
      <c r="Q790" s="2082"/>
      <c r="R790" s="2082"/>
      <c r="S790" s="2082"/>
      <c r="T790" s="2082"/>
      <c r="U790" s="1548"/>
    </row>
    <row r="791" spans="1:21" s="1608" customFormat="1" ht="15.75" thickBot="1" x14ac:dyDescent="0.3">
      <c r="A791" s="537"/>
      <c r="B791" s="1609"/>
      <c r="C791" s="1551" t="s">
        <v>1379</v>
      </c>
      <c r="D791" s="2085" t="str">
        <f>AB39</f>
        <v/>
      </c>
      <c r="E791" s="2086"/>
      <c r="F791" s="2079"/>
      <c r="G791" s="2079"/>
      <c r="H791" s="1609"/>
      <c r="I791" s="2082"/>
      <c r="J791" s="2082"/>
      <c r="K791" s="2082"/>
      <c r="L791" s="2082"/>
      <c r="M791" s="2082"/>
      <c r="N791" s="2082"/>
      <c r="O791" s="2082"/>
      <c r="P791" s="2082"/>
      <c r="Q791" s="2082"/>
      <c r="R791" s="2082"/>
      <c r="S791" s="1610"/>
      <c r="T791" s="968" t="s">
        <v>1591</v>
      </c>
      <c r="U791" s="1548"/>
    </row>
    <row r="792" spans="1:21" s="1608" customFormat="1" ht="15.75" thickBot="1" x14ac:dyDescent="0.3">
      <c r="A792" s="537"/>
      <c r="B792" s="2079"/>
      <c r="C792" s="2079"/>
      <c r="D792" s="1609"/>
      <c r="E792" s="2079"/>
      <c r="F792" s="2079"/>
      <c r="G792" s="2079"/>
      <c r="H792" s="2079"/>
      <c r="I792" s="2082"/>
      <c r="J792" s="2082"/>
      <c r="K792" s="2082"/>
      <c r="L792" s="2082"/>
      <c r="M792" s="2082"/>
      <c r="N792" s="2082"/>
      <c r="O792" s="2082"/>
      <c r="P792" s="2082"/>
      <c r="Q792" s="2082"/>
      <c r="R792" s="2082"/>
      <c r="S792" s="1610"/>
      <c r="T792" s="969" t="s">
        <v>646</v>
      </c>
      <c r="U792" s="1548"/>
    </row>
    <row r="793" spans="1:21" s="1608" customFormat="1" ht="30.75" thickBot="1" x14ac:dyDescent="0.3">
      <c r="A793" s="537"/>
      <c r="B793" s="1609"/>
      <c r="C793" s="1553" t="s">
        <v>1487</v>
      </c>
      <c r="D793" s="2088" t="s">
        <v>646</v>
      </c>
      <c r="E793" s="2089"/>
      <c r="F793" s="2090"/>
      <c r="G793" s="2079"/>
      <c r="H793" s="1609"/>
      <c r="I793" s="2082"/>
      <c r="J793" s="2082"/>
      <c r="K793" s="2082"/>
      <c r="L793" s="2082"/>
      <c r="M793" s="2082"/>
      <c r="N793" s="2082"/>
      <c r="O793" s="2082"/>
      <c r="P793" s="2082"/>
      <c r="Q793" s="2082"/>
      <c r="R793" s="2082"/>
      <c r="S793" s="2082"/>
      <c r="T793" s="2082"/>
      <c r="U793" s="1548"/>
    </row>
    <row r="794" spans="1:21" s="1608" customFormat="1" ht="15.75" thickBot="1" x14ac:dyDescent="0.3">
      <c r="A794" s="537"/>
      <c r="B794" s="2079"/>
      <c r="C794" s="2079"/>
      <c r="D794" s="1609"/>
      <c r="E794" s="2079"/>
      <c r="F794" s="2079"/>
      <c r="G794" s="2079"/>
      <c r="H794" s="2079"/>
      <c r="I794" s="2082"/>
      <c r="J794" s="2082"/>
      <c r="K794" s="2082"/>
      <c r="L794" s="2082"/>
      <c r="M794" s="2082"/>
      <c r="N794" s="2082"/>
      <c r="O794" s="2082"/>
      <c r="P794" s="2082"/>
      <c r="Q794" s="2082"/>
      <c r="R794" s="2082"/>
      <c r="S794" s="1610"/>
      <c r="T794" s="968" t="s">
        <v>523</v>
      </c>
      <c r="U794" s="1548"/>
    </row>
    <row r="795" spans="1:21" s="1608" customFormat="1" ht="15.75" thickBot="1" x14ac:dyDescent="0.3">
      <c r="A795" s="537"/>
      <c r="B795" s="1609"/>
      <c r="C795" s="1551" t="s">
        <v>1488</v>
      </c>
      <c r="D795" s="2083" t="s">
        <v>1489</v>
      </c>
      <c r="E795" s="2084"/>
      <c r="F795" s="2079"/>
      <c r="G795" s="2079"/>
      <c r="H795" s="1609"/>
      <c r="I795" s="2082"/>
      <c r="J795" s="2082"/>
      <c r="K795" s="2082"/>
      <c r="L795" s="2082"/>
      <c r="M795" s="2082"/>
      <c r="N795" s="2082"/>
      <c r="O795" s="2082"/>
      <c r="P795" s="2082"/>
      <c r="Q795" s="2082"/>
      <c r="R795" s="2082"/>
      <c r="S795" s="1610"/>
      <c r="T795" s="969" t="str">
        <f>Incentives!E443</f>
        <v>No</v>
      </c>
      <c r="U795" s="1548"/>
    </row>
    <row r="796" spans="1:21" s="1608" customFormat="1" ht="15.75" thickBot="1" x14ac:dyDescent="0.3">
      <c r="A796" s="537"/>
      <c r="B796" s="2087"/>
      <c r="C796" s="2087"/>
      <c r="D796" s="1610"/>
      <c r="E796" s="2087"/>
      <c r="F796" s="2087"/>
      <c r="G796" s="2087"/>
      <c r="H796" s="2087"/>
      <c r="I796" s="2087"/>
      <c r="J796" s="2087"/>
      <c r="K796" s="2087"/>
      <c r="L796" s="2087"/>
      <c r="M796" s="2087"/>
      <c r="N796" s="2087"/>
      <c r="O796" s="2087"/>
      <c r="P796" s="2087"/>
      <c r="Q796" s="2087"/>
      <c r="R796" s="2087"/>
      <c r="S796" s="2087"/>
      <c r="T796" s="2087"/>
      <c r="U796" s="1548"/>
    </row>
    <row r="797" spans="1:21" s="1608" customFormat="1" ht="15.75" thickBot="1" x14ac:dyDescent="0.3">
      <c r="A797" s="537"/>
      <c r="B797" s="2050" t="s">
        <v>2140</v>
      </c>
      <c r="C797" s="2035"/>
      <c r="D797" s="2035"/>
      <c r="E797" s="2035"/>
      <c r="F797" s="2035"/>
      <c r="G797" s="2035"/>
      <c r="H797" s="2035"/>
      <c r="I797" s="2035"/>
      <c r="J797" s="2035"/>
      <c r="K797" s="2035"/>
      <c r="L797" s="2035"/>
      <c r="M797" s="2035"/>
      <c r="N797" s="2035"/>
      <c r="O797" s="2035"/>
      <c r="P797" s="2035"/>
      <c r="Q797" s="2035"/>
      <c r="R797" s="2035"/>
      <c r="S797" s="2035"/>
      <c r="T797" s="2035"/>
      <c r="U797" s="2036"/>
    </row>
    <row r="798" spans="1:21" s="1608" customFormat="1" ht="15.75" thickBot="1" x14ac:dyDescent="0.3">
      <c r="A798" s="537"/>
      <c r="B798" s="2076"/>
      <c r="C798" s="2076"/>
      <c r="D798" s="1610"/>
      <c r="E798" s="2076"/>
      <c r="F798" s="2076"/>
      <c r="G798" s="2076"/>
      <c r="H798" s="2076"/>
      <c r="I798" s="2076"/>
      <c r="J798" s="2076"/>
      <c r="K798" s="2076"/>
      <c r="L798" s="2076"/>
      <c r="M798" s="2076"/>
      <c r="N798" s="2076"/>
      <c r="O798" s="2076"/>
      <c r="P798" s="2076"/>
      <c r="Q798" s="2076"/>
      <c r="R798" s="2076"/>
      <c r="S798" s="2076"/>
      <c r="T798" s="2076"/>
      <c r="U798" s="1548"/>
    </row>
    <row r="799" spans="1:21" s="1608" customFormat="1" ht="30.75" thickBot="1" x14ac:dyDescent="0.3">
      <c r="A799" s="537"/>
      <c r="B799" s="1609"/>
      <c r="C799" s="1551" t="s">
        <v>1376</v>
      </c>
      <c r="D799" s="2077" t="s">
        <v>2132</v>
      </c>
      <c r="E799" s="2078"/>
      <c r="F799" s="2079"/>
      <c r="G799" s="2080"/>
      <c r="H799" s="968" t="s">
        <v>1373</v>
      </c>
      <c r="I799" s="1610"/>
      <c r="J799" s="968" t="s">
        <v>1374</v>
      </c>
      <c r="K799" s="1610"/>
      <c r="L799" s="968" t="s">
        <v>1390</v>
      </c>
      <c r="M799" s="1610"/>
      <c r="N799" s="968" t="s">
        <v>1375</v>
      </c>
      <c r="O799" s="2081"/>
      <c r="P799" s="2082"/>
      <c r="Q799" s="1610"/>
      <c r="R799" s="968" t="s">
        <v>1479</v>
      </c>
      <c r="S799" s="1610"/>
      <c r="T799" s="968" t="s">
        <v>1480</v>
      </c>
      <c r="U799" s="1548"/>
    </row>
    <row r="800" spans="1:21" s="1608" customFormat="1" ht="15.75" thickBot="1" x14ac:dyDescent="0.3">
      <c r="A800" s="537"/>
      <c r="B800" s="2079"/>
      <c r="C800" s="2079"/>
      <c r="D800" s="1609"/>
      <c r="E800" s="2079"/>
      <c r="F800" s="2079"/>
      <c r="G800" s="1609"/>
      <c r="H800" s="843"/>
      <c r="I800" s="1610"/>
      <c r="J800" s="1606"/>
      <c r="K800" s="1610"/>
      <c r="L800" s="1607"/>
      <c r="M800" s="1610"/>
      <c r="N800" s="1552"/>
      <c r="O800" s="2081"/>
      <c r="P800" s="2082"/>
      <c r="Q800" s="1610"/>
      <c r="R800" s="969" t="s">
        <v>1482</v>
      </c>
      <c r="S800" s="1610"/>
      <c r="T800" s="969" t="s">
        <v>648</v>
      </c>
      <c r="U800" s="1548"/>
    </row>
    <row r="801" spans="1:21" s="1608" customFormat="1" ht="30.75" thickBot="1" x14ac:dyDescent="0.3">
      <c r="A801" s="537"/>
      <c r="B801" s="1609"/>
      <c r="C801" s="1551" t="s">
        <v>1483</v>
      </c>
      <c r="D801" s="2083">
        <v>5203</v>
      </c>
      <c r="E801" s="2084"/>
      <c r="F801" s="2079"/>
      <c r="G801" s="2079"/>
      <c r="H801" s="1609"/>
      <c r="I801" s="2082"/>
      <c r="J801" s="2082"/>
      <c r="K801" s="2082"/>
      <c r="L801" s="2082"/>
      <c r="M801" s="2082"/>
      <c r="N801" s="2082"/>
      <c r="O801" s="2082"/>
      <c r="P801" s="2082"/>
      <c r="Q801" s="2082"/>
      <c r="R801" s="2082"/>
      <c r="S801" s="2082"/>
      <c r="T801" s="2082"/>
      <c r="U801" s="1548"/>
    </row>
    <row r="802" spans="1:21" s="1608" customFormat="1" ht="15.75" thickBot="1" x14ac:dyDescent="0.3">
      <c r="A802" s="537"/>
      <c r="B802" s="2079"/>
      <c r="C802" s="2079"/>
      <c r="D802" s="1609"/>
      <c r="E802" s="2079"/>
      <c r="F802" s="2079"/>
      <c r="G802" s="1609"/>
      <c r="H802" s="968" t="s">
        <v>1382</v>
      </c>
      <c r="I802" s="2081"/>
      <c r="J802" s="2082"/>
      <c r="K802" s="2082"/>
      <c r="L802" s="2082"/>
      <c r="M802" s="2082"/>
      <c r="N802" s="2082"/>
      <c r="O802" s="2082"/>
      <c r="P802" s="2082"/>
      <c r="Q802" s="2082"/>
      <c r="R802" s="2082"/>
      <c r="S802" s="2082"/>
      <c r="T802" s="2082"/>
      <c r="U802" s="1548"/>
    </row>
    <row r="803" spans="1:21" s="1608" customFormat="1" ht="15.75" thickBot="1" x14ac:dyDescent="0.3">
      <c r="A803" s="537"/>
      <c r="B803" s="1609"/>
      <c r="C803" s="1551" t="s">
        <v>1378</v>
      </c>
      <c r="D803" s="2085" t="str">
        <f>AA40</f>
        <v/>
      </c>
      <c r="E803" s="2086"/>
      <c r="F803" s="2079"/>
      <c r="G803" s="2080"/>
      <c r="H803" s="1623"/>
      <c r="I803" s="2081"/>
      <c r="J803" s="2082"/>
      <c r="K803" s="2082"/>
      <c r="L803" s="2082"/>
      <c r="M803" s="2082"/>
      <c r="N803" s="2082"/>
      <c r="O803" s="2082"/>
      <c r="P803" s="2082"/>
      <c r="Q803" s="2082"/>
      <c r="R803" s="2082"/>
      <c r="S803" s="2082"/>
      <c r="T803" s="2082"/>
      <c r="U803" s="1548"/>
    </row>
    <row r="804" spans="1:21" s="1608" customFormat="1" ht="15.75" thickBot="1" x14ac:dyDescent="0.3">
      <c r="A804" s="537"/>
      <c r="B804" s="2079"/>
      <c r="C804" s="2079"/>
      <c r="D804" s="1609"/>
      <c r="E804" s="2079"/>
      <c r="F804" s="2079"/>
      <c r="G804" s="2079"/>
      <c r="H804" s="2079"/>
      <c r="I804" s="2082"/>
      <c r="J804" s="2082"/>
      <c r="K804" s="2082"/>
      <c r="L804" s="2082"/>
      <c r="M804" s="2082"/>
      <c r="N804" s="2082"/>
      <c r="O804" s="2082"/>
      <c r="P804" s="2082"/>
      <c r="Q804" s="2082"/>
      <c r="R804" s="2082"/>
      <c r="S804" s="2082"/>
      <c r="T804" s="2082"/>
      <c r="U804" s="1548"/>
    </row>
    <row r="805" spans="1:21" s="1608" customFormat="1" ht="15.75" thickBot="1" x14ac:dyDescent="0.3">
      <c r="A805" s="537"/>
      <c r="B805" s="1609"/>
      <c r="C805" s="1551" t="s">
        <v>1379</v>
      </c>
      <c r="D805" s="2085" t="str">
        <f>AB40</f>
        <v/>
      </c>
      <c r="E805" s="2086"/>
      <c r="F805" s="2079"/>
      <c r="G805" s="2079"/>
      <c r="H805" s="1609"/>
      <c r="I805" s="2082"/>
      <c r="J805" s="2082"/>
      <c r="K805" s="2082"/>
      <c r="L805" s="2082"/>
      <c r="M805" s="2082"/>
      <c r="N805" s="2082"/>
      <c r="O805" s="2082"/>
      <c r="P805" s="2082"/>
      <c r="Q805" s="2082"/>
      <c r="R805" s="2082"/>
      <c r="S805" s="1610"/>
      <c r="T805" s="968" t="s">
        <v>1591</v>
      </c>
      <c r="U805" s="1548"/>
    </row>
    <row r="806" spans="1:21" s="1608" customFormat="1" ht="15.75" thickBot="1" x14ac:dyDescent="0.3">
      <c r="A806" s="537"/>
      <c r="B806" s="2079"/>
      <c r="C806" s="2079"/>
      <c r="D806" s="1609"/>
      <c r="E806" s="2079"/>
      <c r="F806" s="2079"/>
      <c r="G806" s="2079"/>
      <c r="H806" s="2079"/>
      <c r="I806" s="2082"/>
      <c r="J806" s="2082"/>
      <c r="K806" s="2082"/>
      <c r="L806" s="2082"/>
      <c r="M806" s="2082"/>
      <c r="N806" s="2082"/>
      <c r="O806" s="2082"/>
      <c r="P806" s="2082"/>
      <c r="Q806" s="2082"/>
      <c r="R806" s="2082"/>
      <c r="S806" s="1610"/>
      <c r="T806" s="969" t="s">
        <v>646</v>
      </c>
      <c r="U806" s="1548"/>
    </row>
    <row r="807" spans="1:21" s="1608" customFormat="1" ht="30.75" thickBot="1" x14ac:dyDescent="0.3">
      <c r="A807" s="537"/>
      <c r="B807" s="1609"/>
      <c r="C807" s="1553" t="s">
        <v>1487</v>
      </c>
      <c r="D807" s="2088" t="s">
        <v>646</v>
      </c>
      <c r="E807" s="2089"/>
      <c r="F807" s="2090"/>
      <c r="G807" s="2079"/>
      <c r="H807" s="1609"/>
      <c r="I807" s="2082"/>
      <c r="J807" s="2082"/>
      <c r="K807" s="2082"/>
      <c r="L807" s="2082"/>
      <c r="M807" s="2082"/>
      <c r="N807" s="2082"/>
      <c r="O807" s="2082"/>
      <c r="P807" s="2082"/>
      <c r="Q807" s="2082"/>
      <c r="R807" s="2082"/>
      <c r="S807" s="2082"/>
      <c r="T807" s="2082"/>
      <c r="U807" s="1548"/>
    </row>
    <row r="808" spans="1:21" s="1608" customFormat="1" ht="15.75" thickBot="1" x14ac:dyDescent="0.3">
      <c r="A808" s="537"/>
      <c r="B808" s="2079"/>
      <c r="C808" s="2079"/>
      <c r="D808" s="1609"/>
      <c r="E808" s="2079"/>
      <c r="F808" s="2079"/>
      <c r="G808" s="2079"/>
      <c r="H808" s="2079"/>
      <c r="I808" s="2082"/>
      <c r="J808" s="2082"/>
      <c r="K808" s="2082"/>
      <c r="L808" s="2082"/>
      <c r="M808" s="2082"/>
      <c r="N808" s="2082"/>
      <c r="O808" s="2082"/>
      <c r="P808" s="2082"/>
      <c r="Q808" s="2082"/>
      <c r="R808" s="2082"/>
      <c r="S808" s="1610"/>
      <c r="T808" s="968" t="s">
        <v>523</v>
      </c>
      <c r="U808" s="1548"/>
    </row>
    <row r="809" spans="1:21" s="1608" customFormat="1" ht="15.75" thickBot="1" x14ac:dyDescent="0.3">
      <c r="A809" s="537"/>
      <c r="B809" s="1609"/>
      <c r="C809" s="1551" t="s">
        <v>1488</v>
      </c>
      <c r="D809" s="2083" t="s">
        <v>1489</v>
      </c>
      <c r="E809" s="2084"/>
      <c r="F809" s="2079"/>
      <c r="G809" s="2079"/>
      <c r="H809" s="1609"/>
      <c r="I809" s="2082"/>
      <c r="J809" s="2082"/>
      <c r="K809" s="2082"/>
      <c r="L809" s="2082"/>
      <c r="M809" s="2082"/>
      <c r="N809" s="2082"/>
      <c r="O809" s="2082"/>
      <c r="P809" s="2082"/>
      <c r="Q809" s="2082"/>
      <c r="R809" s="2082"/>
      <c r="S809" s="1610"/>
      <c r="T809" s="969" t="str">
        <f>Incentives!E451</f>
        <v>No</v>
      </c>
      <c r="U809" s="1548"/>
    </row>
    <row r="810" spans="1:21" s="1608" customFormat="1" ht="15.75" thickBot="1" x14ac:dyDescent="0.3">
      <c r="A810" s="537"/>
      <c r="B810" s="2087"/>
      <c r="C810" s="2087"/>
      <c r="D810" s="1610"/>
      <c r="E810" s="2087"/>
      <c r="F810" s="2087"/>
      <c r="G810" s="2087"/>
      <c r="H810" s="2087"/>
      <c r="I810" s="2087"/>
      <c r="J810" s="2087"/>
      <c r="K810" s="2087"/>
      <c r="L810" s="2087"/>
      <c r="M810" s="2087"/>
      <c r="N810" s="2087"/>
      <c r="O810" s="2087"/>
      <c r="P810" s="2087"/>
      <c r="Q810" s="2087"/>
      <c r="R810" s="2087"/>
      <c r="S810" s="2087"/>
      <c r="T810" s="2087"/>
      <c r="U810" s="1548"/>
    </row>
    <row r="811" spans="1:21" s="1608" customFormat="1" ht="15.75" thickBot="1" x14ac:dyDescent="0.3">
      <c r="A811" s="537"/>
      <c r="B811" s="2050" t="s">
        <v>2141</v>
      </c>
      <c r="C811" s="2035"/>
      <c r="D811" s="2035"/>
      <c r="E811" s="2035"/>
      <c r="F811" s="2035"/>
      <c r="G811" s="2035"/>
      <c r="H811" s="2035"/>
      <c r="I811" s="2035"/>
      <c r="J811" s="2035"/>
      <c r="K811" s="2035"/>
      <c r="L811" s="2035"/>
      <c r="M811" s="2035"/>
      <c r="N811" s="2035"/>
      <c r="O811" s="2035"/>
      <c r="P811" s="2035"/>
      <c r="Q811" s="2035"/>
      <c r="R811" s="2035"/>
      <c r="S811" s="2035"/>
      <c r="T811" s="2035"/>
      <c r="U811" s="2036"/>
    </row>
    <row r="812" spans="1:21" s="1608" customFormat="1" ht="15.75" thickBot="1" x14ac:dyDescent="0.3">
      <c r="A812" s="537"/>
      <c r="B812" s="2076"/>
      <c r="C812" s="2076"/>
      <c r="D812" s="1610"/>
      <c r="E812" s="2076"/>
      <c r="F812" s="2076"/>
      <c r="G812" s="2076"/>
      <c r="H812" s="2076"/>
      <c r="I812" s="2076"/>
      <c r="J812" s="2076"/>
      <c r="K812" s="2076"/>
      <c r="L812" s="2076"/>
      <c r="M812" s="2076"/>
      <c r="N812" s="2076"/>
      <c r="O812" s="2076"/>
      <c r="P812" s="2076"/>
      <c r="Q812" s="2076"/>
      <c r="R812" s="2076"/>
      <c r="S812" s="2076"/>
      <c r="T812" s="2076"/>
      <c r="U812" s="1548"/>
    </row>
    <row r="813" spans="1:21" s="1608" customFormat="1" ht="30.75" thickBot="1" x14ac:dyDescent="0.3">
      <c r="A813" s="537"/>
      <c r="B813" s="1609"/>
      <c r="C813" s="1551" t="s">
        <v>1376</v>
      </c>
      <c r="D813" s="2077" t="s">
        <v>2132</v>
      </c>
      <c r="E813" s="2078"/>
      <c r="F813" s="2079"/>
      <c r="G813" s="2080"/>
      <c r="H813" s="968" t="s">
        <v>1373</v>
      </c>
      <c r="I813" s="1610"/>
      <c r="J813" s="968" t="s">
        <v>1374</v>
      </c>
      <c r="K813" s="1610"/>
      <c r="L813" s="968" t="s">
        <v>1390</v>
      </c>
      <c r="M813" s="1610"/>
      <c r="N813" s="968" t="s">
        <v>1375</v>
      </c>
      <c r="O813" s="2081"/>
      <c r="P813" s="2082"/>
      <c r="Q813" s="1610"/>
      <c r="R813" s="968" t="s">
        <v>1479</v>
      </c>
      <c r="S813" s="1610"/>
      <c r="T813" s="968" t="s">
        <v>1480</v>
      </c>
      <c r="U813" s="1548"/>
    </row>
    <row r="814" spans="1:21" s="1608" customFormat="1" ht="15.75" thickBot="1" x14ac:dyDescent="0.3">
      <c r="A814" s="537"/>
      <c r="B814" s="2079"/>
      <c r="C814" s="2079"/>
      <c r="D814" s="1609"/>
      <c r="E814" s="2079"/>
      <c r="F814" s="2079"/>
      <c r="G814" s="1609"/>
      <c r="H814" s="843"/>
      <c r="I814" s="1610"/>
      <c r="J814" s="1606"/>
      <c r="K814" s="1610"/>
      <c r="L814" s="1607"/>
      <c r="M814" s="1610"/>
      <c r="N814" s="1552"/>
      <c r="O814" s="2081"/>
      <c r="P814" s="2082"/>
      <c r="Q814" s="1610"/>
      <c r="R814" s="969" t="s">
        <v>1482</v>
      </c>
      <c r="S814" s="1610"/>
      <c r="T814" s="969" t="s">
        <v>648</v>
      </c>
      <c r="U814" s="1548"/>
    </row>
    <row r="815" spans="1:21" s="1608" customFormat="1" ht="30.75" thickBot="1" x14ac:dyDescent="0.3">
      <c r="A815" s="537"/>
      <c r="B815" s="1609"/>
      <c r="C815" s="1551" t="s">
        <v>1483</v>
      </c>
      <c r="D815" s="2083">
        <v>5204</v>
      </c>
      <c r="E815" s="2084"/>
      <c r="F815" s="2079"/>
      <c r="G815" s="2079"/>
      <c r="H815" s="1609"/>
      <c r="I815" s="2082"/>
      <c r="J815" s="2082"/>
      <c r="K815" s="2082"/>
      <c r="L815" s="2082"/>
      <c r="M815" s="2082"/>
      <c r="N815" s="2082"/>
      <c r="O815" s="2082"/>
      <c r="P815" s="2082"/>
      <c r="Q815" s="2082"/>
      <c r="R815" s="2082"/>
      <c r="S815" s="2082"/>
      <c r="T815" s="2082"/>
      <c r="U815" s="1548"/>
    </row>
    <row r="816" spans="1:21" s="1608" customFormat="1" ht="15.75" thickBot="1" x14ac:dyDescent="0.3">
      <c r="A816" s="537"/>
      <c r="B816" s="2079"/>
      <c r="C816" s="2079"/>
      <c r="D816" s="1609"/>
      <c r="E816" s="2079"/>
      <c r="F816" s="2079"/>
      <c r="G816" s="1609"/>
      <c r="H816" s="968" t="s">
        <v>1382</v>
      </c>
      <c r="I816" s="2081"/>
      <c r="J816" s="2082"/>
      <c r="K816" s="2082"/>
      <c r="L816" s="2082"/>
      <c r="M816" s="2082"/>
      <c r="N816" s="2082"/>
      <c r="O816" s="2082"/>
      <c r="P816" s="2082"/>
      <c r="Q816" s="2082"/>
      <c r="R816" s="2082"/>
      <c r="S816" s="2082"/>
      <c r="T816" s="2082"/>
      <c r="U816" s="1548"/>
    </row>
    <row r="817" spans="1:21" s="1608" customFormat="1" ht="15.75" thickBot="1" x14ac:dyDescent="0.3">
      <c r="A817" s="537"/>
      <c r="B817" s="1609"/>
      <c r="C817" s="1551" t="s">
        <v>1378</v>
      </c>
      <c r="D817" s="2085" t="str">
        <f>AA41</f>
        <v/>
      </c>
      <c r="E817" s="2086"/>
      <c r="F817" s="2079"/>
      <c r="G817" s="2080"/>
      <c r="H817" s="1623"/>
      <c r="I817" s="2081"/>
      <c r="J817" s="2082"/>
      <c r="K817" s="2082"/>
      <c r="L817" s="2082"/>
      <c r="M817" s="2082"/>
      <c r="N817" s="2082"/>
      <c r="O817" s="2082"/>
      <c r="P817" s="2082"/>
      <c r="Q817" s="2082"/>
      <c r="R817" s="2082"/>
      <c r="S817" s="2082"/>
      <c r="T817" s="2082"/>
      <c r="U817" s="1548"/>
    </row>
    <row r="818" spans="1:21" s="1608" customFormat="1" ht="15.75" thickBot="1" x14ac:dyDescent="0.3">
      <c r="A818" s="537"/>
      <c r="B818" s="2079"/>
      <c r="C818" s="2079"/>
      <c r="D818" s="1609"/>
      <c r="E818" s="2079"/>
      <c r="F818" s="2079"/>
      <c r="G818" s="2079"/>
      <c r="H818" s="2079"/>
      <c r="I818" s="2082"/>
      <c r="J818" s="2082"/>
      <c r="K818" s="2082"/>
      <c r="L818" s="2082"/>
      <c r="M818" s="2082"/>
      <c r="N818" s="2082"/>
      <c r="O818" s="2082"/>
      <c r="P818" s="2082"/>
      <c r="Q818" s="2082"/>
      <c r="R818" s="2082"/>
      <c r="S818" s="2082"/>
      <c r="T818" s="2082"/>
      <c r="U818" s="1548"/>
    </row>
    <row r="819" spans="1:21" s="1608" customFormat="1" ht="15.75" thickBot="1" x14ac:dyDescent="0.3">
      <c r="A819" s="537"/>
      <c r="B819" s="1609"/>
      <c r="C819" s="1551" t="s">
        <v>1379</v>
      </c>
      <c r="D819" s="2085" t="str">
        <f>AB41</f>
        <v/>
      </c>
      <c r="E819" s="2086"/>
      <c r="F819" s="2079"/>
      <c r="G819" s="2079"/>
      <c r="H819" s="1609"/>
      <c r="I819" s="2082"/>
      <c r="J819" s="2082"/>
      <c r="K819" s="2082"/>
      <c r="L819" s="2082"/>
      <c r="M819" s="2082"/>
      <c r="N819" s="2082"/>
      <c r="O819" s="2082"/>
      <c r="P819" s="2082"/>
      <c r="Q819" s="2082"/>
      <c r="R819" s="2082"/>
      <c r="S819" s="1610"/>
      <c r="T819" s="968" t="s">
        <v>1591</v>
      </c>
      <c r="U819" s="1548"/>
    </row>
    <row r="820" spans="1:21" s="1608" customFormat="1" ht="15.75" thickBot="1" x14ac:dyDescent="0.3">
      <c r="A820" s="537"/>
      <c r="B820" s="2079"/>
      <c r="C820" s="2079"/>
      <c r="D820" s="1609"/>
      <c r="E820" s="2079"/>
      <c r="F820" s="2079"/>
      <c r="G820" s="2079"/>
      <c r="H820" s="2079"/>
      <c r="I820" s="2082"/>
      <c r="J820" s="2082"/>
      <c r="K820" s="2082"/>
      <c r="L820" s="2082"/>
      <c r="M820" s="2082"/>
      <c r="N820" s="2082"/>
      <c r="O820" s="2082"/>
      <c r="P820" s="2082"/>
      <c r="Q820" s="2082"/>
      <c r="R820" s="2082"/>
      <c r="S820" s="1610"/>
      <c r="T820" s="969" t="s">
        <v>646</v>
      </c>
      <c r="U820" s="1548"/>
    </row>
    <row r="821" spans="1:21" s="1608" customFormat="1" ht="30.75" thickBot="1" x14ac:dyDescent="0.3">
      <c r="A821" s="537"/>
      <c r="B821" s="1609"/>
      <c r="C821" s="1553" t="s">
        <v>1487</v>
      </c>
      <c r="D821" s="2088" t="s">
        <v>646</v>
      </c>
      <c r="E821" s="2089"/>
      <c r="F821" s="2090"/>
      <c r="G821" s="2079"/>
      <c r="H821" s="1609"/>
      <c r="I821" s="2082"/>
      <c r="J821" s="2082"/>
      <c r="K821" s="2082"/>
      <c r="L821" s="2082"/>
      <c r="M821" s="2082"/>
      <c r="N821" s="2082"/>
      <c r="O821" s="2082"/>
      <c r="P821" s="2082"/>
      <c r="Q821" s="2082"/>
      <c r="R821" s="2082"/>
      <c r="S821" s="2082"/>
      <c r="T821" s="2082"/>
      <c r="U821" s="1548"/>
    </row>
    <row r="822" spans="1:21" s="1608" customFormat="1" ht="15.75" thickBot="1" x14ac:dyDescent="0.3">
      <c r="A822" s="537"/>
      <c r="B822" s="2079"/>
      <c r="C822" s="2079"/>
      <c r="D822" s="1609"/>
      <c r="E822" s="2079"/>
      <c r="F822" s="2079"/>
      <c r="G822" s="2079"/>
      <c r="H822" s="2079"/>
      <c r="I822" s="2082"/>
      <c r="J822" s="2082"/>
      <c r="K822" s="2082"/>
      <c r="L822" s="2082"/>
      <c r="M822" s="2082"/>
      <c r="N822" s="2082"/>
      <c r="O822" s="2082"/>
      <c r="P822" s="2082"/>
      <c r="Q822" s="2082"/>
      <c r="R822" s="2082"/>
      <c r="S822" s="1610"/>
      <c r="T822" s="968" t="s">
        <v>523</v>
      </c>
      <c r="U822" s="1548"/>
    </row>
    <row r="823" spans="1:21" s="1608" customFormat="1" ht="15.75" thickBot="1" x14ac:dyDescent="0.3">
      <c r="A823" s="537"/>
      <c r="B823" s="1609"/>
      <c r="C823" s="1551" t="s">
        <v>1488</v>
      </c>
      <c r="D823" s="2083" t="s">
        <v>1489</v>
      </c>
      <c r="E823" s="2084"/>
      <c r="F823" s="2079"/>
      <c r="G823" s="2079"/>
      <c r="H823" s="1609"/>
      <c r="I823" s="2082"/>
      <c r="J823" s="2082"/>
      <c r="K823" s="2082"/>
      <c r="L823" s="2082"/>
      <c r="M823" s="2082"/>
      <c r="N823" s="2082"/>
      <c r="O823" s="2082"/>
      <c r="P823" s="2082"/>
      <c r="Q823" s="2082"/>
      <c r="R823" s="2082"/>
      <c r="S823" s="1610"/>
      <c r="T823" s="969" t="str">
        <f>Incentives!E459</f>
        <v>No</v>
      </c>
      <c r="U823" s="1548"/>
    </row>
    <row r="824" spans="1:21" s="1608" customFormat="1" ht="15.75" thickBot="1" x14ac:dyDescent="0.3">
      <c r="A824" s="537"/>
      <c r="B824" s="2087"/>
      <c r="C824" s="2087"/>
      <c r="D824" s="1610"/>
      <c r="E824" s="2087"/>
      <c r="F824" s="2087"/>
      <c r="G824" s="2087"/>
      <c r="H824" s="2087"/>
      <c r="I824" s="2087"/>
      <c r="J824" s="2087"/>
      <c r="K824" s="2087"/>
      <c r="L824" s="2087"/>
      <c r="M824" s="2087"/>
      <c r="N824" s="2087"/>
      <c r="O824" s="2087"/>
      <c r="P824" s="2087"/>
      <c r="Q824" s="2087"/>
      <c r="R824" s="2087"/>
      <c r="S824" s="2087"/>
      <c r="T824" s="2087"/>
      <c r="U824" s="1548"/>
    </row>
    <row r="825" spans="1:21" s="1608" customFormat="1" ht="15.75" thickBot="1" x14ac:dyDescent="0.3">
      <c r="A825" s="537"/>
      <c r="B825" s="2050" t="s">
        <v>2142</v>
      </c>
      <c r="C825" s="2035"/>
      <c r="D825" s="2035"/>
      <c r="E825" s="2035"/>
      <c r="F825" s="2035"/>
      <c r="G825" s="2035"/>
      <c r="H825" s="2035"/>
      <c r="I825" s="2035"/>
      <c r="J825" s="2035"/>
      <c r="K825" s="2035"/>
      <c r="L825" s="2035"/>
      <c r="M825" s="2035"/>
      <c r="N825" s="2035"/>
      <c r="O825" s="2035"/>
      <c r="P825" s="2035"/>
      <c r="Q825" s="2035"/>
      <c r="R825" s="2035"/>
      <c r="S825" s="2035"/>
      <c r="T825" s="2035"/>
      <c r="U825" s="2036"/>
    </row>
    <row r="826" spans="1:21" s="1608" customFormat="1" ht="15.75" thickBot="1" x14ac:dyDescent="0.3">
      <c r="A826" s="537"/>
      <c r="B826" s="2076"/>
      <c r="C826" s="2076"/>
      <c r="D826" s="1610"/>
      <c r="E826" s="2076"/>
      <c r="F826" s="2076"/>
      <c r="G826" s="2076"/>
      <c r="H826" s="2076"/>
      <c r="I826" s="2076"/>
      <c r="J826" s="2076"/>
      <c r="K826" s="2076"/>
      <c r="L826" s="2076"/>
      <c r="M826" s="2076"/>
      <c r="N826" s="2076"/>
      <c r="O826" s="2076"/>
      <c r="P826" s="2076"/>
      <c r="Q826" s="2076"/>
      <c r="R826" s="2076"/>
      <c r="S826" s="2076"/>
      <c r="T826" s="2076"/>
      <c r="U826" s="1548"/>
    </row>
    <row r="827" spans="1:21" s="1608" customFormat="1" ht="30.75" thickBot="1" x14ac:dyDescent="0.3">
      <c r="A827" s="537"/>
      <c r="B827" s="1609"/>
      <c r="C827" s="1551" t="s">
        <v>1376</v>
      </c>
      <c r="D827" s="2077" t="s">
        <v>2132</v>
      </c>
      <c r="E827" s="2078"/>
      <c r="F827" s="2079"/>
      <c r="G827" s="2080"/>
      <c r="H827" s="968" t="s">
        <v>1373</v>
      </c>
      <c r="I827" s="1610"/>
      <c r="J827" s="968" t="s">
        <v>1374</v>
      </c>
      <c r="K827" s="1610"/>
      <c r="L827" s="968" t="s">
        <v>1390</v>
      </c>
      <c r="M827" s="1610"/>
      <c r="N827" s="968" t="s">
        <v>1375</v>
      </c>
      <c r="O827" s="2081"/>
      <c r="P827" s="2082"/>
      <c r="Q827" s="1610"/>
      <c r="R827" s="968" t="s">
        <v>1479</v>
      </c>
      <c r="S827" s="1610"/>
      <c r="T827" s="968" t="s">
        <v>1480</v>
      </c>
      <c r="U827" s="1548"/>
    </row>
    <row r="828" spans="1:21" s="1608" customFormat="1" ht="15.75" thickBot="1" x14ac:dyDescent="0.3">
      <c r="A828" s="537"/>
      <c r="B828" s="2079"/>
      <c r="C828" s="2079"/>
      <c r="D828" s="1609"/>
      <c r="E828" s="2079"/>
      <c r="F828" s="2079"/>
      <c r="G828" s="1609"/>
      <c r="H828" s="843"/>
      <c r="I828" s="1610"/>
      <c r="J828" s="1606"/>
      <c r="K828" s="1610"/>
      <c r="L828" s="1607"/>
      <c r="M828" s="1610"/>
      <c r="N828" s="1552"/>
      <c r="O828" s="2081"/>
      <c r="P828" s="2082"/>
      <c r="Q828" s="1610"/>
      <c r="R828" s="969" t="s">
        <v>1482</v>
      </c>
      <c r="S828" s="1610"/>
      <c r="T828" s="969" t="s">
        <v>648</v>
      </c>
      <c r="U828" s="1548"/>
    </row>
    <row r="829" spans="1:21" s="1608" customFormat="1" ht="30.75" thickBot="1" x14ac:dyDescent="0.3">
      <c r="A829" s="537"/>
      <c r="B829" s="1609"/>
      <c r="C829" s="1551" t="s">
        <v>1483</v>
      </c>
      <c r="D829" s="2083">
        <v>5205</v>
      </c>
      <c r="E829" s="2084"/>
      <c r="F829" s="2079"/>
      <c r="G829" s="2079"/>
      <c r="H829" s="1609"/>
      <c r="I829" s="2082"/>
      <c r="J829" s="2082"/>
      <c r="K829" s="2082"/>
      <c r="L829" s="2082"/>
      <c r="M829" s="2082"/>
      <c r="N829" s="2082"/>
      <c r="O829" s="2082"/>
      <c r="P829" s="2082"/>
      <c r="Q829" s="2082"/>
      <c r="R829" s="2082"/>
      <c r="S829" s="2082"/>
      <c r="T829" s="2082"/>
      <c r="U829" s="1548"/>
    </row>
    <row r="830" spans="1:21" s="1608" customFormat="1" ht="15.75" thickBot="1" x14ac:dyDescent="0.3">
      <c r="A830" s="537"/>
      <c r="B830" s="2079"/>
      <c r="C830" s="2079"/>
      <c r="D830" s="1609"/>
      <c r="E830" s="2079"/>
      <c r="F830" s="2079"/>
      <c r="G830" s="1609"/>
      <c r="H830" s="968" t="s">
        <v>1382</v>
      </c>
      <c r="I830" s="2081"/>
      <c r="J830" s="2082"/>
      <c r="K830" s="2082"/>
      <c r="L830" s="2082"/>
      <c r="M830" s="2082"/>
      <c r="N830" s="2082"/>
      <c r="O830" s="2082"/>
      <c r="P830" s="2082"/>
      <c r="Q830" s="2082"/>
      <c r="R830" s="2082"/>
      <c r="S830" s="2082"/>
      <c r="T830" s="2082"/>
      <c r="U830" s="1548"/>
    </row>
    <row r="831" spans="1:21" s="1608" customFormat="1" ht="15.75" thickBot="1" x14ac:dyDescent="0.3">
      <c r="A831" s="537"/>
      <c r="B831" s="1609"/>
      <c r="C831" s="1551" t="s">
        <v>1378</v>
      </c>
      <c r="D831" s="2085" t="str">
        <f>AA42</f>
        <v/>
      </c>
      <c r="E831" s="2086"/>
      <c r="F831" s="2079"/>
      <c r="G831" s="2080"/>
      <c r="H831" s="1623"/>
      <c r="I831" s="2081"/>
      <c r="J831" s="2082"/>
      <c r="K831" s="2082"/>
      <c r="L831" s="2082"/>
      <c r="M831" s="2082"/>
      <c r="N831" s="2082"/>
      <c r="O831" s="2082"/>
      <c r="P831" s="2082"/>
      <c r="Q831" s="2082"/>
      <c r="R831" s="2082"/>
      <c r="S831" s="2082"/>
      <c r="T831" s="2082"/>
      <c r="U831" s="1548"/>
    </row>
    <row r="832" spans="1:21" s="1608" customFormat="1" ht="15.75" thickBot="1" x14ac:dyDescent="0.3">
      <c r="A832" s="537"/>
      <c r="B832" s="2079"/>
      <c r="C832" s="2079"/>
      <c r="D832" s="1609"/>
      <c r="E832" s="2079"/>
      <c r="F832" s="2079"/>
      <c r="G832" s="2079"/>
      <c r="H832" s="2079"/>
      <c r="I832" s="2082"/>
      <c r="J832" s="2082"/>
      <c r="K832" s="2082"/>
      <c r="L832" s="2082"/>
      <c r="M832" s="2082"/>
      <c r="N832" s="2082"/>
      <c r="O832" s="2082"/>
      <c r="P832" s="2082"/>
      <c r="Q832" s="2082"/>
      <c r="R832" s="2082"/>
      <c r="S832" s="2082"/>
      <c r="T832" s="2082"/>
      <c r="U832" s="1548"/>
    </row>
    <row r="833" spans="1:21" s="1608" customFormat="1" ht="15.75" thickBot="1" x14ac:dyDescent="0.3">
      <c r="A833" s="537"/>
      <c r="B833" s="1609"/>
      <c r="C833" s="1551" t="s">
        <v>1379</v>
      </c>
      <c r="D833" s="2085" t="str">
        <f>AB42</f>
        <v/>
      </c>
      <c r="E833" s="2086"/>
      <c r="F833" s="2079"/>
      <c r="G833" s="2079"/>
      <c r="H833" s="1609"/>
      <c r="I833" s="2082"/>
      <c r="J833" s="2082"/>
      <c r="K833" s="2082"/>
      <c r="L833" s="2082"/>
      <c r="M833" s="2082"/>
      <c r="N833" s="2082"/>
      <c r="O833" s="2082"/>
      <c r="P833" s="2082"/>
      <c r="Q833" s="2082"/>
      <c r="R833" s="2082"/>
      <c r="S833" s="1610"/>
      <c r="T833" s="968" t="s">
        <v>1591</v>
      </c>
      <c r="U833" s="1548"/>
    </row>
    <row r="834" spans="1:21" s="1608" customFormat="1" ht="15.75" thickBot="1" x14ac:dyDescent="0.3">
      <c r="A834" s="537"/>
      <c r="B834" s="2079"/>
      <c r="C834" s="2079"/>
      <c r="D834" s="1609"/>
      <c r="E834" s="2079"/>
      <c r="F834" s="2079"/>
      <c r="G834" s="2079"/>
      <c r="H834" s="2079"/>
      <c r="I834" s="2082"/>
      <c r="J834" s="2082"/>
      <c r="K834" s="2082"/>
      <c r="L834" s="2082"/>
      <c r="M834" s="2082"/>
      <c r="N834" s="2082"/>
      <c r="O834" s="2082"/>
      <c r="P834" s="2082"/>
      <c r="Q834" s="2082"/>
      <c r="R834" s="2082"/>
      <c r="S834" s="1610"/>
      <c r="T834" s="969" t="s">
        <v>646</v>
      </c>
      <c r="U834" s="1548"/>
    </row>
    <row r="835" spans="1:21" s="1608" customFormat="1" ht="30.75" thickBot="1" x14ac:dyDescent="0.3">
      <c r="A835" s="537"/>
      <c r="B835" s="1609"/>
      <c r="C835" s="1553" t="s">
        <v>1487</v>
      </c>
      <c r="D835" s="2088" t="s">
        <v>646</v>
      </c>
      <c r="E835" s="2089"/>
      <c r="F835" s="2090"/>
      <c r="G835" s="2079"/>
      <c r="H835" s="1609"/>
      <c r="I835" s="2082"/>
      <c r="J835" s="2082"/>
      <c r="K835" s="2082"/>
      <c r="L835" s="2082"/>
      <c r="M835" s="2082"/>
      <c r="N835" s="2082"/>
      <c r="O835" s="2082"/>
      <c r="P835" s="2082"/>
      <c r="Q835" s="2082"/>
      <c r="R835" s="2082"/>
      <c r="S835" s="2082"/>
      <c r="T835" s="2082"/>
      <c r="U835" s="1548"/>
    </row>
    <row r="836" spans="1:21" s="1608" customFormat="1" ht="15.75" thickBot="1" x14ac:dyDescent="0.3">
      <c r="A836" s="537"/>
      <c r="B836" s="2079"/>
      <c r="C836" s="2079"/>
      <c r="D836" s="1609"/>
      <c r="E836" s="2079"/>
      <c r="F836" s="2079"/>
      <c r="G836" s="2079"/>
      <c r="H836" s="2079"/>
      <c r="I836" s="2082"/>
      <c r="J836" s="2082"/>
      <c r="K836" s="2082"/>
      <c r="L836" s="2082"/>
      <c r="M836" s="2082"/>
      <c r="N836" s="2082"/>
      <c r="O836" s="2082"/>
      <c r="P836" s="2082"/>
      <c r="Q836" s="2082"/>
      <c r="R836" s="2082"/>
      <c r="S836" s="1610"/>
      <c r="T836" s="968" t="s">
        <v>523</v>
      </c>
      <c r="U836" s="1548"/>
    </row>
    <row r="837" spans="1:21" s="1608" customFormat="1" ht="15.75" thickBot="1" x14ac:dyDescent="0.3">
      <c r="A837" s="537"/>
      <c r="B837" s="1609"/>
      <c r="C837" s="1551" t="s">
        <v>1488</v>
      </c>
      <c r="D837" s="2083" t="s">
        <v>1489</v>
      </c>
      <c r="E837" s="2084"/>
      <c r="F837" s="2079"/>
      <c r="G837" s="2079"/>
      <c r="H837" s="1609"/>
      <c r="I837" s="2082"/>
      <c r="J837" s="2082"/>
      <c r="K837" s="2082"/>
      <c r="L837" s="2082"/>
      <c r="M837" s="2082"/>
      <c r="N837" s="2082"/>
      <c r="O837" s="2082"/>
      <c r="P837" s="2082"/>
      <c r="Q837" s="2082"/>
      <c r="R837" s="2082"/>
      <c r="S837" s="1610"/>
      <c r="T837" s="969" t="str">
        <f>Incentives!E467</f>
        <v>No</v>
      </c>
      <c r="U837" s="1548"/>
    </row>
    <row r="838" spans="1:21" s="1608" customFormat="1" ht="15.75" thickBot="1" x14ac:dyDescent="0.3">
      <c r="A838" s="537"/>
      <c r="B838" s="2087"/>
      <c r="C838" s="2087"/>
      <c r="D838" s="1610"/>
      <c r="E838" s="2087"/>
      <c r="F838" s="2087"/>
      <c r="G838" s="2087"/>
      <c r="H838" s="2087"/>
      <c r="I838" s="2087"/>
      <c r="J838" s="2087"/>
      <c r="K838" s="2087"/>
      <c r="L838" s="2087"/>
      <c r="M838" s="2087"/>
      <c r="N838" s="2087"/>
      <c r="O838" s="2087"/>
      <c r="P838" s="2087"/>
      <c r="Q838" s="2087"/>
      <c r="R838" s="2087"/>
      <c r="S838" s="2087"/>
      <c r="T838" s="2087"/>
      <c r="U838" s="1548"/>
    </row>
    <row r="839" spans="1:21" s="1608" customFormat="1" ht="15.75" thickBot="1" x14ac:dyDescent="0.3">
      <c r="A839" s="537"/>
      <c r="B839" s="2091"/>
      <c r="C839" s="2092"/>
      <c r="D839" s="2092"/>
      <c r="E839" s="2092"/>
      <c r="F839" s="2092"/>
      <c r="G839" s="2092"/>
      <c r="H839" s="2092"/>
      <c r="I839" s="2092"/>
      <c r="J839" s="2092"/>
      <c r="K839" s="2092"/>
      <c r="L839" s="2092"/>
      <c r="M839" s="2092"/>
      <c r="N839" s="2092"/>
      <c r="O839" s="2092"/>
      <c r="P839" s="2092"/>
      <c r="Q839" s="2092"/>
      <c r="R839" s="2092"/>
      <c r="S839" s="2092"/>
      <c r="T839" s="2092"/>
      <c r="U839" s="2092"/>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96"/>
      <c r="K2" s="2096"/>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92" t="e">
        <f>VLOOKUP($J$4,'Market Geography'!$D:$G,4,FALSE)</f>
        <v>#N/A</v>
      </c>
      <c r="K3" s="1992"/>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92">
        <f>Welcome!$D$4</f>
        <v>0</v>
      </c>
      <c r="K4" s="1992"/>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97" t="e">
        <f>VLOOKUP($J$4,'Market Geography'!$D:$F,3,FALSE)</f>
        <v>#N/A</v>
      </c>
      <c r="K5" s="2097"/>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92" t="s">
        <v>134</v>
      </c>
      <c r="K6" s="1992"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92" t="str">
        <f>IF(Welcome!$D$10="MDA","C","N")</f>
        <v>N</v>
      </c>
      <c r="K7" s="1992"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93" t="s">
        <v>920</v>
      </c>
      <c r="AI13" s="2094"/>
      <c r="AJ13" s="2095"/>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86">
        <f>ROUND('Multi-Customer'!$BK$51,0)</f>
        <v>0</v>
      </c>
      <c r="E15" s="1686">
        <f>ROUND('Multi-Customer'!$BK$52,0)</f>
        <v>0</v>
      </c>
      <c r="F15" s="168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86">
        <f>ROUND('Multi-Customer'!$CH$51,0)</f>
        <v>0</v>
      </c>
      <c r="E16" s="1686">
        <f>ROUND('Multi-Customer'!$CH$52,0)</f>
        <v>0</v>
      </c>
      <c r="F16" s="168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86">
        <f>ROUND('Multi-Customer'!$DE$51,0)</f>
        <v>0</v>
      </c>
      <c r="E17" s="1686">
        <f>ROUND('Multi-Customer'!$DE$52,0)</f>
        <v>0</v>
      </c>
      <c r="F17" s="168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86">
        <f>ROUND('Multi-Customer'!$EB$51,0)</f>
        <v>0</v>
      </c>
      <c r="E18" s="1686">
        <f>ROUND('Multi-Customer'!$EB$52,0)</f>
        <v>0</v>
      </c>
      <c r="F18" s="168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86">
        <f>ROUND('Multi-Customer'!$EY$51,0)</f>
        <v>0</v>
      </c>
      <c r="E19" s="1686">
        <f>ROUND('Multi-Customer'!$EY$52,0)</f>
        <v>0</v>
      </c>
      <c r="F19" s="168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86">
        <f>ROUND('Multi-Customer'!$FV$51,0)</f>
        <v>0</v>
      </c>
      <c r="E20" s="1686">
        <f>ROUND('Multi-Customer'!$FV$52,0)</f>
        <v>0</v>
      </c>
      <c r="F20" s="168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86">
        <f>ROUND('Multi-Customer'!$GS$51,0)</f>
        <v>0</v>
      </c>
      <c r="E21" s="1686">
        <f>ROUND('Multi-Customer'!$GS$52,0)</f>
        <v>0</v>
      </c>
      <c r="F21" s="168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86">
        <f>ROUND('Multi-Customer'!$HP$51,0)</f>
        <v>0</v>
      </c>
      <c r="E22" s="1686">
        <f>ROUND('Multi-Customer'!$HP$52,0)</f>
        <v>0</v>
      </c>
      <c r="F22" s="168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86">
        <f>ROUND('Multi-Customer'!$IM$51,0)</f>
        <v>0</v>
      </c>
      <c r="E23" s="1686">
        <f>ROUND('Multi-Customer'!$IM$52,0)</f>
        <v>0</v>
      </c>
      <c r="F23" s="168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86">
        <f>ROUND('Multi-Customer'!$JJ$51,0)</f>
        <v>0</v>
      </c>
      <c r="E24" s="1686">
        <f>ROUND('Multi-Customer'!$JJ$52,0)</f>
        <v>0</v>
      </c>
      <c r="F24" s="168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86">
        <f>ROUND('Multi-Customer'!$KG$51,0)</f>
        <v>0</v>
      </c>
      <c r="E25" s="1686">
        <f>ROUND('Multi-Customer'!$KG$52,0)</f>
        <v>0</v>
      </c>
      <c r="F25" s="168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2" t="str">
        <f>IF('Customer Inputs'!$F16="","",'Customer Inputs'!$G16)</f>
        <v/>
      </c>
      <c r="AH25" s="1673" t="e">
        <f t="shared" si="11"/>
        <v>#N/A</v>
      </c>
      <c r="AI25" s="1673" t="e">
        <f t="shared" si="12"/>
        <v>#N/A</v>
      </c>
      <c r="AJ25" s="1673" t="e">
        <f t="shared" si="13"/>
        <v>#N/A</v>
      </c>
      <c r="AK25" s="1673">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86">
        <f>ROUND('Multi-Customer'!$LD$51,0)</f>
        <v>0</v>
      </c>
      <c r="E26" s="1686">
        <f>ROUND('Multi-Customer'!$LD$52,0)</f>
        <v>0</v>
      </c>
      <c r="F26" s="168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2" t="str">
        <f>IF('Customer Inputs'!$F17="","",'Customer Inputs'!$G17)</f>
        <v/>
      </c>
      <c r="AH26" s="1673" t="e">
        <f t="shared" si="11"/>
        <v>#N/A</v>
      </c>
      <c r="AI26" s="1673" t="e">
        <f t="shared" si="12"/>
        <v>#N/A</v>
      </c>
      <c r="AJ26" s="1673" t="e">
        <f t="shared" si="13"/>
        <v>#N/A</v>
      </c>
      <c r="AK26" s="1673">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86">
        <f>ROUND('Multi-Customer'!$MA$51,0)</f>
        <v>0</v>
      </c>
      <c r="E27" s="1686">
        <f>ROUND('Multi-Customer'!$MA$52,0)</f>
        <v>0</v>
      </c>
      <c r="F27" s="168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2" t="str">
        <f>IF('Customer Inputs'!$F18="","",'Customer Inputs'!$G18)</f>
        <v/>
      </c>
      <c r="AH27" s="1673" t="e">
        <f t="shared" si="11"/>
        <v>#N/A</v>
      </c>
      <c r="AI27" s="1673" t="e">
        <f t="shared" si="12"/>
        <v>#N/A</v>
      </c>
      <c r="AJ27" s="1673" t="e">
        <f t="shared" si="13"/>
        <v>#N/A</v>
      </c>
      <c r="AK27" s="1673">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86">
        <f>ROUND('Multi-Customer'!$MX$51,0)</f>
        <v>0</v>
      </c>
      <c r="E28" s="1686">
        <f>ROUND('Multi-Customer'!$MX$52,0)</f>
        <v>0</v>
      </c>
      <c r="F28" s="168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2" t="str">
        <f>IF('Customer Inputs'!$F19="","",'Customer Inputs'!$G19)</f>
        <v/>
      </c>
      <c r="AH28" s="1673" t="e">
        <f t="shared" si="11"/>
        <v>#N/A</v>
      </c>
      <c r="AI28" s="1673" t="e">
        <f t="shared" si="12"/>
        <v>#N/A</v>
      </c>
      <c r="AJ28" s="1673" t="e">
        <f t="shared" si="13"/>
        <v>#N/A</v>
      </c>
      <c r="AK28" s="1673">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86">
        <f>ROUND('Multi-Customer'!$NU$51,0)</f>
        <v>0</v>
      </c>
      <c r="E29" s="1686">
        <f>ROUND('Multi-Customer'!$NU$52,0)</f>
        <v>0</v>
      </c>
      <c r="F29" s="168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2" t="str">
        <f>IF('Customer Inputs'!$F20="","",'Customer Inputs'!$G20)</f>
        <v/>
      </c>
      <c r="AH29" s="1673" t="e">
        <f t="shared" si="11"/>
        <v>#N/A</v>
      </c>
      <c r="AI29" s="1673" t="e">
        <f t="shared" si="12"/>
        <v>#N/A</v>
      </c>
      <c r="AJ29" s="1673" t="e">
        <f t="shared" si="13"/>
        <v>#N/A</v>
      </c>
      <c r="AK29" s="1673">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86">
        <f>ROUND('Multi-Customer'!$OR$51,0)</f>
        <v>0</v>
      </c>
      <c r="E30" s="1686">
        <f>ROUND('Multi-Customer'!$OR$52,0)</f>
        <v>0</v>
      </c>
      <c r="F30" s="168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2" t="str">
        <f>IF('Customer Inputs'!$F21="","",'Customer Inputs'!$G21)</f>
        <v/>
      </c>
      <c r="AH30" s="1673" t="e">
        <f t="shared" si="11"/>
        <v>#N/A</v>
      </c>
      <c r="AI30" s="1673" t="e">
        <f t="shared" si="12"/>
        <v>#N/A</v>
      </c>
      <c r="AJ30" s="1673" t="e">
        <f t="shared" si="13"/>
        <v>#N/A</v>
      </c>
      <c r="AK30" s="1673">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86">
        <f>ROUND('Multi-Customer'!$PO$51,0)</f>
        <v>0</v>
      </c>
      <c r="E31" s="1686">
        <f>ROUND('Multi-Customer'!$PO$52,0)</f>
        <v>0</v>
      </c>
      <c r="F31" s="168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2" t="str">
        <f>IF('Customer Inputs'!$F22="","",'Customer Inputs'!$G22)</f>
        <v/>
      </c>
      <c r="AH31" s="1673" t="e">
        <f t="shared" si="11"/>
        <v>#N/A</v>
      </c>
      <c r="AI31" s="1673" t="e">
        <f t="shared" si="12"/>
        <v>#N/A</v>
      </c>
      <c r="AJ31" s="1673" t="e">
        <f t="shared" si="13"/>
        <v>#N/A</v>
      </c>
      <c r="AK31" s="1673">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86">
        <f>ROUND('Multi-Customer'!$QL$51,0)</f>
        <v>0</v>
      </c>
      <c r="E32" s="1686">
        <f>ROUND('Multi-Customer'!$QL$52,0)</f>
        <v>0</v>
      </c>
      <c r="F32" s="168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2" t="str">
        <f>IF('Customer Inputs'!$F23="","",'Customer Inputs'!$G23)</f>
        <v/>
      </c>
      <c r="AH32" s="1673" t="e">
        <f t="shared" si="11"/>
        <v>#N/A</v>
      </c>
      <c r="AI32" s="1673" t="e">
        <f t="shared" si="12"/>
        <v>#N/A</v>
      </c>
      <c r="AJ32" s="1673" t="e">
        <f t="shared" si="13"/>
        <v>#N/A</v>
      </c>
      <c r="AK32" s="1673">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86">
        <f>ROUND('Multi-Customer'!$RI$51,0)</f>
        <v>0</v>
      </c>
      <c r="E33" s="1686">
        <f>ROUND('Multi-Customer'!$RI$52,0)</f>
        <v>0</v>
      </c>
      <c r="F33" s="168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2" t="str">
        <f>IF('Customer Inputs'!$F24="","",'Customer Inputs'!$G24)</f>
        <v/>
      </c>
      <c r="AH33" s="1673" t="e">
        <f t="shared" si="11"/>
        <v>#N/A</v>
      </c>
      <c r="AI33" s="1673" t="e">
        <f t="shared" si="12"/>
        <v>#N/A</v>
      </c>
      <c r="AJ33" s="1673" t="e">
        <f t="shared" si="13"/>
        <v>#N/A</v>
      </c>
      <c r="AK33" s="1673">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86">
        <f>ROUND('Multi-Customer'!$SF$51,0)</f>
        <v>0</v>
      </c>
      <c r="E34" s="1686">
        <f>ROUND('Multi-Customer'!$SF$52,0)</f>
        <v>0</v>
      </c>
      <c r="F34" s="168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2" t="str">
        <f>IF('Customer Inputs'!$F25="","",'Customer Inputs'!$G25)</f>
        <v/>
      </c>
      <c r="AH34" s="1673" t="e">
        <f t="shared" si="11"/>
        <v>#N/A</v>
      </c>
      <c r="AI34" s="1673" t="e">
        <f t="shared" si="12"/>
        <v>#N/A</v>
      </c>
      <c r="AJ34" s="1673" t="e">
        <f t="shared" si="13"/>
        <v>#N/A</v>
      </c>
      <c r="AK34" s="1673">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9" t="s">
        <v>965</v>
      </c>
      <c r="F1" s="2100"/>
      <c r="G1" s="2100"/>
      <c r="H1" s="2100"/>
      <c r="I1" s="2100"/>
      <c r="J1" s="2101"/>
      <c r="L1" s="2099" t="s">
        <v>964</v>
      </c>
      <c r="M1" s="2101"/>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9" t="s">
        <v>966</v>
      </c>
      <c r="F20" s="2100"/>
      <c r="G20" s="2101"/>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8" t="s">
        <v>113</v>
      </c>
      <c r="M22" s="2098"/>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9" t="s">
        <v>964</v>
      </c>
      <c r="M23" s="2101"/>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8" t="s">
        <v>967</v>
      </c>
      <c r="F28" s="2098"/>
      <c r="G28" s="2098"/>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75" t="s">
        <v>880</v>
      </c>
      <c r="B36" s="1676" t="s">
        <v>848</v>
      </c>
      <c r="C36" s="1677" t="s">
        <v>457</v>
      </c>
      <c r="D36" s="1677" t="s">
        <v>882</v>
      </c>
      <c r="E36" s="1678" t="s">
        <v>888</v>
      </c>
      <c r="F36" s="1682" t="s">
        <v>881</v>
      </c>
      <c r="G36" s="1679"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69" t="str">
        <f>'Customer Inputs'!Z6</f>
        <v/>
      </c>
      <c r="C37" s="1669">
        <f>'Customer Inputs'!P6</f>
        <v>0</v>
      </c>
      <c r="D37" s="333">
        <f>'Multi-Customer'!$BK$9</f>
        <v>0</v>
      </c>
      <c r="E37" s="333">
        <f>'Multi-Customer'!$BK$10</f>
        <v>0</v>
      </c>
      <c r="F37" s="1683">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69" t="str">
        <f>'Customer Inputs'!Z7</f>
        <v/>
      </c>
      <c r="C38" s="1669">
        <f>'Customer Inputs'!P7</f>
        <v>0</v>
      </c>
      <c r="D38" s="333">
        <f>'Multi-Customer'!$CH$9</f>
        <v>0</v>
      </c>
      <c r="E38" s="333">
        <f>'Multi-Customer'!$CH$10</f>
        <v>0</v>
      </c>
      <c r="F38" s="1683">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69" t="str">
        <f>'Customer Inputs'!Z8</f>
        <v/>
      </c>
      <c r="C39" s="1669">
        <f>'Customer Inputs'!P8</f>
        <v>0</v>
      </c>
      <c r="D39" s="333">
        <f>'Multi-Customer'!$DE$9</f>
        <v>0</v>
      </c>
      <c r="E39" s="333">
        <f>'Multi-Customer'!$DE$10</f>
        <v>0</v>
      </c>
      <c r="F39" s="1683">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69" t="str">
        <f>'Customer Inputs'!Z9</f>
        <v/>
      </c>
      <c r="C40" s="1669">
        <f>'Customer Inputs'!P9</f>
        <v>0</v>
      </c>
      <c r="D40" s="333">
        <f>'Multi-Customer'!$EB$9</f>
        <v>0</v>
      </c>
      <c r="E40" s="333">
        <f>'Multi-Customer'!$EB$10</f>
        <v>0</v>
      </c>
      <c r="F40" s="1683">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69" t="str">
        <f>'Customer Inputs'!Z10</f>
        <v/>
      </c>
      <c r="C41" s="1669">
        <f>'Customer Inputs'!P10</f>
        <v>0</v>
      </c>
      <c r="D41" s="333">
        <f>'Multi-Customer'!$EY$9</f>
        <v>0</v>
      </c>
      <c r="E41" s="333">
        <f>'Multi-Customer'!$EY$10</f>
        <v>0</v>
      </c>
      <c r="F41" s="1683">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69" t="str">
        <f>'Customer Inputs'!Z11</f>
        <v/>
      </c>
      <c r="C42" s="1669">
        <f>'Customer Inputs'!P11</f>
        <v>0</v>
      </c>
      <c r="D42" s="333">
        <f>'Multi-Customer'!$FV$9</f>
        <v>0</v>
      </c>
      <c r="E42" s="333">
        <f>'Multi-Customer'!$FV$10</f>
        <v>0</v>
      </c>
      <c r="F42" s="1683">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69" t="str">
        <f>'Customer Inputs'!Z12</f>
        <v/>
      </c>
      <c r="C43" s="1669">
        <f>'Customer Inputs'!P12</f>
        <v>0</v>
      </c>
      <c r="D43" s="333">
        <f>'Multi-Customer'!$GS$9</f>
        <v>0</v>
      </c>
      <c r="E43" s="333">
        <f>'Multi-Customer'!$GS$10</f>
        <v>0</v>
      </c>
      <c r="F43" s="1683">
        <f t="shared" si="1"/>
        <v>0</v>
      </c>
      <c r="G43" s="393">
        <f t="shared" si="2"/>
        <v>0</v>
      </c>
      <c r="L43" s="1" t="s">
        <v>570</v>
      </c>
      <c r="M43" s="1" t="s">
        <v>213</v>
      </c>
      <c r="N43" s="1" t="s">
        <v>15</v>
      </c>
      <c r="O43" s="50">
        <v>0.109</v>
      </c>
    </row>
    <row r="44" spans="1:18" x14ac:dyDescent="0.25">
      <c r="A44" s="1020">
        <v>8</v>
      </c>
      <c r="B44" s="1669" t="str">
        <f>'Customer Inputs'!Z13</f>
        <v/>
      </c>
      <c r="C44" s="1669">
        <f>'Customer Inputs'!P13</f>
        <v>0</v>
      </c>
      <c r="D44" s="333">
        <f>'Multi-Customer'!$HP$9</f>
        <v>0</v>
      </c>
      <c r="E44" s="333">
        <f>'Multi-Customer'!$HP$10</f>
        <v>0</v>
      </c>
      <c r="F44" s="1683">
        <f t="shared" si="1"/>
        <v>0</v>
      </c>
      <c r="G44" s="393">
        <f t="shared" si="2"/>
        <v>0</v>
      </c>
      <c r="L44" s="1" t="s">
        <v>571</v>
      </c>
      <c r="M44" s="1" t="s">
        <v>214</v>
      </c>
      <c r="N44" s="1" t="s">
        <v>15</v>
      </c>
      <c r="O44" s="50">
        <v>0.11600000000000001</v>
      </c>
    </row>
    <row r="45" spans="1:18" x14ac:dyDescent="0.25">
      <c r="A45" s="1020">
        <v>9</v>
      </c>
      <c r="B45" s="1669" t="str">
        <f>'Customer Inputs'!Z14</f>
        <v/>
      </c>
      <c r="C45" s="1669">
        <f>'Customer Inputs'!P14</f>
        <v>0</v>
      </c>
      <c r="D45" s="333">
        <f>'Multi-Customer'!$IM$9</f>
        <v>0</v>
      </c>
      <c r="E45" s="333">
        <f>'Multi-Customer'!$IM$10</f>
        <v>0</v>
      </c>
      <c r="F45" s="1683">
        <f t="shared" si="1"/>
        <v>0</v>
      </c>
      <c r="G45" s="393">
        <f t="shared" si="2"/>
        <v>0</v>
      </c>
      <c r="L45" s="1" t="s">
        <v>572</v>
      </c>
      <c r="M45" s="1" t="s">
        <v>265</v>
      </c>
      <c r="N45" s="1" t="s">
        <v>15</v>
      </c>
      <c r="O45" s="50">
        <v>0.11600000000000001</v>
      </c>
    </row>
    <row r="46" spans="1:18" x14ac:dyDescent="0.25">
      <c r="A46" s="1020">
        <v>10</v>
      </c>
      <c r="B46" s="1669" t="str">
        <f>'Customer Inputs'!Z15</f>
        <v/>
      </c>
      <c r="C46" s="1669">
        <f>'Customer Inputs'!P15</f>
        <v>0</v>
      </c>
      <c r="D46" s="333">
        <f>'Multi-Customer'!$JJ$9</f>
        <v>0</v>
      </c>
      <c r="E46" s="333">
        <f>'Multi-Customer'!$JJ$10</f>
        <v>0</v>
      </c>
      <c r="F46" s="1683">
        <f t="shared" si="1"/>
        <v>0</v>
      </c>
      <c r="G46" s="393">
        <f t="shared" si="2"/>
        <v>0</v>
      </c>
      <c r="L46" s="1" t="s">
        <v>573</v>
      </c>
      <c r="M46" s="1" t="s">
        <v>212</v>
      </c>
      <c r="N46" s="1" t="s">
        <v>45</v>
      </c>
      <c r="O46" s="50">
        <v>5.1999999999999998E-2</v>
      </c>
    </row>
    <row r="47" spans="1:18" x14ac:dyDescent="0.25">
      <c r="A47" s="1020">
        <v>11</v>
      </c>
      <c r="B47" s="1669" t="str">
        <f>'Customer Inputs'!Z16</f>
        <v/>
      </c>
      <c r="C47" s="1669">
        <f>'Customer Inputs'!P16</f>
        <v>0</v>
      </c>
      <c r="D47" s="333">
        <f>'Multi-Customer'!$KG$9</f>
        <v>0</v>
      </c>
      <c r="E47" s="333">
        <f>'Multi-Customer'!$KG$10</f>
        <v>0</v>
      </c>
      <c r="F47" s="1683">
        <f t="shared" ref="F47:F56" si="4">D47*C47</f>
        <v>0</v>
      </c>
      <c r="G47" s="393">
        <f t="shared" ref="G47:G56" si="5">E47*C47</f>
        <v>0</v>
      </c>
      <c r="O47" s="1" t="s">
        <v>574</v>
      </c>
      <c r="P47" s="1" t="s">
        <v>213</v>
      </c>
      <c r="Q47" s="1" t="s">
        <v>45</v>
      </c>
      <c r="R47" s="50">
        <v>6.3E-2</v>
      </c>
    </row>
    <row r="48" spans="1:18" x14ac:dyDescent="0.25">
      <c r="A48" s="1020">
        <v>12</v>
      </c>
      <c r="B48" s="1669" t="str">
        <f>'Customer Inputs'!Z17</f>
        <v/>
      </c>
      <c r="C48" s="1669">
        <f>'Customer Inputs'!P17</f>
        <v>0</v>
      </c>
      <c r="D48" s="333">
        <f>'Multi-Customer'!$LD$9</f>
        <v>0</v>
      </c>
      <c r="E48" s="333">
        <f>'Multi-Customer'!$LD$10</f>
        <v>0</v>
      </c>
      <c r="F48" s="1683">
        <f t="shared" si="4"/>
        <v>0</v>
      </c>
      <c r="G48" s="393">
        <f t="shared" si="5"/>
        <v>0</v>
      </c>
      <c r="O48" s="1" t="s">
        <v>575</v>
      </c>
      <c r="P48" s="1" t="s">
        <v>214</v>
      </c>
      <c r="Q48" s="1" t="s">
        <v>45</v>
      </c>
      <c r="R48" s="50">
        <v>0.115</v>
      </c>
    </row>
    <row r="49" spans="1:18" x14ac:dyDescent="0.25">
      <c r="A49" s="1020">
        <v>13</v>
      </c>
      <c r="B49" s="1669" t="str">
        <f>'Customer Inputs'!Z18</f>
        <v/>
      </c>
      <c r="C49" s="1669">
        <f>'Customer Inputs'!P18</f>
        <v>0</v>
      </c>
      <c r="D49" s="333">
        <f>'Multi-Customer'!$MA$9</f>
        <v>0</v>
      </c>
      <c r="E49" s="333">
        <f>'Multi-Customer'!$MA$10</f>
        <v>0</v>
      </c>
      <c r="F49" s="1683">
        <f t="shared" si="4"/>
        <v>0</v>
      </c>
      <c r="G49" s="393">
        <f t="shared" si="5"/>
        <v>0</v>
      </c>
      <c r="O49" s="1" t="s">
        <v>576</v>
      </c>
      <c r="P49" s="1" t="s">
        <v>265</v>
      </c>
      <c r="Q49" s="1" t="s">
        <v>45</v>
      </c>
      <c r="R49" s="50">
        <v>0.115</v>
      </c>
    </row>
    <row r="50" spans="1:18" x14ac:dyDescent="0.25">
      <c r="A50" s="1020">
        <v>14</v>
      </c>
      <c r="B50" s="1669" t="str">
        <f>'Customer Inputs'!Z19</f>
        <v/>
      </c>
      <c r="C50" s="1669">
        <f>'Customer Inputs'!P19</f>
        <v>0</v>
      </c>
      <c r="D50" s="333">
        <f>'Multi-Customer'!$MX$9</f>
        <v>0</v>
      </c>
      <c r="E50" s="333">
        <f>'Multi-Customer'!$MX$10</f>
        <v>0</v>
      </c>
      <c r="F50" s="1683">
        <f t="shared" si="4"/>
        <v>0</v>
      </c>
      <c r="G50" s="393">
        <f t="shared" si="5"/>
        <v>0</v>
      </c>
      <c r="O50" s="1" t="s">
        <v>577</v>
      </c>
      <c r="P50" s="1" t="s">
        <v>212</v>
      </c>
      <c r="Q50" s="1" t="s">
        <v>256</v>
      </c>
      <c r="R50" s="50">
        <v>5.9000000000000004E-2</v>
      </c>
    </row>
    <row r="51" spans="1:18" x14ac:dyDescent="0.25">
      <c r="A51" s="1020">
        <v>15</v>
      </c>
      <c r="B51" s="1669" t="str">
        <f>'Customer Inputs'!Z20</f>
        <v/>
      </c>
      <c r="C51" s="1669">
        <f>'Customer Inputs'!P20</f>
        <v>0</v>
      </c>
      <c r="D51" s="333">
        <f>'Multi-Customer'!$NU$9</f>
        <v>0</v>
      </c>
      <c r="E51" s="333">
        <f>'Multi-Customer'!$NU$10</f>
        <v>0</v>
      </c>
      <c r="F51" s="1683">
        <f t="shared" si="4"/>
        <v>0</v>
      </c>
      <c r="G51" s="393">
        <f t="shared" si="5"/>
        <v>0</v>
      </c>
      <c r="O51" s="1" t="s">
        <v>578</v>
      </c>
      <c r="P51" s="1" t="s">
        <v>213</v>
      </c>
      <c r="Q51" s="1" t="s">
        <v>256</v>
      </c>
      <c r="R51" s="50">
        <v>9.9000000000000005E-2</v>
      </c>
    </row>
    <row r="52" spans="1:18" x14ac:dyDescent="0.25">
      <c r="A52" s="1020">
        <v>16</v>
      </c>
      <c r="B52" s="1669" t="str">
        <f>'Customer Inputs'!Z21</f>
        <v/>
      </c>
      <c r="C52" s="1669">
        <f>'Customer Inputs'!P21</f>
        <v>0</v>
      </c>
      <c r="D52" s="333">
        <f>'Multi-Customer'!$OR$9</f>
        <v>0</v>
      </c>
      <c r="E52" s="333">
        <f>'Multi-Customer'!$OR$10</f>
        <v>0</v>
      </c>
      <c r="F52" s="1683">
        <f t="shared" si="4"/>
        <v>0</v>
      </c>
      <c r="G52" s="393">
        <f t="shared" si="5"/>
        <v>0</v>
      </c>
      <c r="O52" s="1" t="s">
        <v>579</v>
      </c>
      <c r="P52" s="1" t="s">
        <v>214</v>
      </c>
      <c r="Q52" s="1" t="s">
        <v>256</v>
      </c>
      <c r="R52" s="50">
        <v>0.11900000000000001</v>
      </c>
    </row>
    <row r="53" spans="1:18" x14ac:dyDescent="0.25">
      <c r="A53" s="1020">
        <v>17</v>
      </c>
      <c r="B53" s="1669" t="str">
        <f>'Customer Inputs'!Z22</f>
        <v/>
      </c>
      <c r="C53" s="1669">
        <f>'Customer Inputs'!P22</f>
        <v>0</v>
      </c>
      <c r="D53" s="333">
        <f>'Multi-Customer'!$PO$9</f>
        <v>0</v>
      </c>
      <c r="E53" s="333">
        <f>'Multi-Customer'!$PO$10</f>
        <v>0</v>
      </c>
      <c r="F53" s="1683">
        <f t="shared" si="4"/>
        <v>0</v>
      </c>
      <c r="G53" s="393">
        <f t="shared" si="5"/>
        <v>0</v>
      </c>
      <c r="H53" s="1668"/>
      <c r="O53" s="1" t="s">
        <v>580</v>
      </c>
      <c r="P53" s="1" t="s">
        <v>265</v>
      </c>
      <c r="Q53" s="1" t="s">
        <v>256</v>
      </c>
      <c r="R53" s="50">
        <v>0.15</v>
      </c>
    </row>
    <row r="54" spans="1:18" x14ac:dyDescent="0.25">
      <c r="A54" s="1020">
        <v>18</v>
      </c>
      <c r="B54" s="1669" t="str">
        <f>'Customer Inputs'!Z23</f>
        <v/>
      </c>
      <c r="C54" s="1669">
        <f>'Customer Inputs'!P23</f>
        <v>0</v>
      </c>
      <c r="D54" s="333">
        <f>'Multi-Customer'!$QL$9</f>
        <v>0</v>
      </c>
      <c r="E54" s="333">
        <f>'Multi-Customer'!$QL$10</f>
        <v>0</v>
      </c>
      <c r="F54" s="1683">
        <f t="shared" si="4"/>
        <v>0</v>
      </c>
      <c r="G54" s="393">
        <f t="shared" si="5"/>
        <v>0</v>
      </c>
      <c r="H54" s="1668"/>
      <c r="O54" s="1" t="s">
        <v>581</v>
      </c>
      <c r="P54" s="1" t="s">
        <v>212</v>
      </c>
      <c r="Q54" s="1" t="s">
        <v>48</v>
      </c>
      <c r="R54" s="50">
        <v>5.8999999999999997E-2</v>
      </c>
    </row>
    <row r="55" spans="1:18" x14ac:dyDescent="0.25">
      <c r="A55" s="1020">
        <v>19</v>
      </c>
      <c r="B55" s="1669" t="str">
        <f>'Customer Inputs'!Z24</f>
        <v/>
      </c>
      <c r="C55" s="1669">
        <f>'Customer Inputs'!P24</f>
        <v>0</v>
      </c>
      <c r="D55" s="333">
        <f>'Multi-Customer'!$RI$9</f>
        <v>0</v>
      </c>
      <c r="E55" s="333">
        <f>'Multi-Customer'!$RI$10</f>
        <v>0</v>
      </c>
      <c r="F55" s="1683">
        <f t="shared" si="4"/>
        <v>0</v>
      </c>
      <c r="G55" s="393">
        <f t="shared" si="5"/>
        <v>0</v>
      </c>
      <c r="O55" s="1" t="s">
        <v>582</v>
      </c>
      <c r="P55" s="1" t="s">
        <v>213</v>
      </c>
      <c r="Q55" s="1" t="s">
        <v>48</v>
      </c>
      <c r="R55" s="50">
        <v>9.9000000000000005E-2</v>
      </c>
    </row>
    <row r="56" spans="1:18" ht="15.75" thickBot="1" x14ac:dyDescent="0.3">
      <c r="A56" s="1674">
        <v>20</v>
      </c>
      <c r="B56" s="1670" t="str">
        <f>'Customer Inputs'!Z25</f>
        <v/>
      </c>
      <c r="C56" s="255">
        <f>'Customer Inputs'!P25</f>
        <v>0</v>
      </c>
      <c r="D56" s="1680">
        <f>'Multi-Customer'!$SF$9</f>
        <v>0</v>
      </c>
      <c r="E56" s="1681">
        <f>'Multi-Customer'!$SF$10</f>
        <v>0</v>
      </c>
      <c r="F56" s="1684">
        <f t="shared" si="4"/>
        <v>0</v>
      </c>
      <c r="G56" s="393">
        <f t="shared" si="5"/>
        <v>0</v>
      </c>
      <c r="O56" s="1" t="s">
        <v>583</v>
      </c>
      <c r="P56" s="1" t="s">
        <v>214</v>
      </c>
      <c r="Q56" s="1" t="s">
        <v>48</v>
      </c>
      <c r="R56" s="50">
        <v>0.13900000000000001</v>
      </c>
    </row>
    <row r="57" spans="1:18" ht="15.75" thickBot="1" x14ac:dyDescent="0.3">
      <c r="F57" s="168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63"/>
      <c r="B1" s="1663"/>
      <c r="C1" s="1663"/>
      <c r="D1" s="1663"/>
      <c r="E1" s="1663"/>
      <c r="F1" s="1663"/>
      <c r="G1" s="1663"/>
      <c r="H1" s="1663"/>
      <c r="I1" s="1663"/>
      <c r="J1" s="1663"/>
      <c r="K1" s="1663"/>
      <c r="L1" s="1663"/>
      <c r="M1" s="1663"/>
      <c r="N1" s="1663"/>
      <c r="O1" s="1663"/>
      <c r="P1" s="1663"/>
      <c r="Q1" s="1663"/>
      <c r="R1" s="1663"/>
      <c r="S1" s="1663"/>
      <c r="T1" s="1663"/>
      <c r="U1" s="1663"/>
      <c r="V1" s="1663"/>
      <c r="W1" s="1663"/>
      <c r="X1" s="1663"/>
      <c r="Y1" s="1663"/>
      <c r="Z1" s="1663"/>
      <c r="AA1" s="1663"/>
      <c r="AB1" s="1663"/>
      <c r="AC1" s="2102" t="s">
        <v>804</v>
      </c>
      <c r="AD1" s="2102"/>
      <c r="AE1" s="1663">
        <f>COUNTIF($BJ$1:$SF$1,"New Location")</f>
        <v>0</v>
      </c>
      <c r="AF1" s="1663"/>
      <c r="AG1" s="1663"/>
      <c r="AH1" s="1663"/>
      <c r="AI1" s="1663"/>
      <c r="AJ1" s="1663"/>
      <c r="AK1" s="1663"/>
      <c r="AL1" s="1663"/>
      <c r="AM1" s="1663"/>
      <c r="AN1" s="1663"/>
      <c r="AO1" s="1663"/>
      <c r="AP1" s="1663"/>
      <c r="AQ1" s="1663"/>
      <c r="AR1" s="1663"/>
      <c r="AS1" s="1663"/>
      <c r="AT1" s="1663"/>
      <c r="AU1" s="1663"/>
      <c r="AV1" s="1663"/>
      <c r="AW1" s="1663"/>
      <c r="AX1" s="1663"/>
      <c r="AY1" s="1663"/>
      <c r="AZ1" s="1663"/>
      <c r="BA1" s="1663"/>
      <c r="BB1" s="1663"/>
      <c r="BC1" s="1663"/>
      <c r="BD1" s="1663"/>
      <c r="BE1" s="1663"/>
      <c r="BF1" s="567" t="e">
        <f>VLOOKUP('Existing Customers'!AB2,'Market Geography'!A:B,2,0)</f>
        <v>#N/A</v>
      </c>
      <c r="BG1" s="1663"/>
      <c r="BH1" s="1663"/>
      <c r="BI1" s="1663"/>
      <c r="BJ1" s="1667" t="s">
        <v>770</v>
      </c>
      <c r="BK1" s="85">
        <f>'Customer Inputs'!$G$6</f>
        <v>0</v>
      </c>
      <c r="BL1" s="567"/>
      <c r="BM1" s="1663"/>
      <c r="BN1" s="1663"/>
      <c r="BO1" s="1663"/>
      <c r="BP1" s="1663"/>
      <c r="BQ1" s="1663"/>
      <c r="BR1" s="1663"/>
      <c r="BS1" s="1663"/>
      <c r="BT1" s="1663"/>
      <c r="BU1" s="1663"/>
      <c r="BV1" s="1663"/>
      <c r="BW1" s="1663"/>
      <c r="BX1" s="1663"/>
      <c r="BY1" s="1663"/>
      <c r="BZ1" s="1663"/>
      <c r="CA1" s="1663"/>
      <c r="CB1" s="1663"/>
      <c r="CC1" s="1663"/>
      <c r="CD1" s="1663"/>
      <c r="CE1" s="1663"/>
      <c r="CF1" s="1663"/>
      <c r="CG1" s="1667" t="s">
        <v>771</v>
      </c>
      <c r="CH1" s="85">
        <f>'Customer Inputs'!$G$7</f>
        <v>0</v>
      </c>
      <c r="CI1" s="567"/>
      <c r="CJ1" s="1663"/>
      <c r="CK1" s="1663"/>
      <c r="CL1" s="1663"/>
      <c r="CM1" s="1663"/>
      <c r="CN1" s="1663"/>
      <c r="CO1" s="1663"/>
      <c r="CP1" s="1663"/>
      <c r="CQ1" s="1663"/>
      <c r="CR1" s="1663"/>
      <c r="CS1" s="1663"/>
      <c r="CT1" s="1663"/>
      <c r="CU1" s="1663"/>
      <c r="CV1" s="1663"/>
      <c r="CW1" s="1663"/>
      <c r="CX1" s="1663"/>
      <c r="CY1" s="1663"/>
      <c r="CZ1" s="1663"/>
      <c r="DA1" s="1663"/>
      <c r="DB1" s="1663"/>
      <c r="DC1" s="1663"/>
      <c r="DD1" s="1667" t="s">
        <v>772</v>
      </c>
      <c r="DE1" s="85">
        <f>'Customer Inputs'!$G$8</f>
        <v>0</v>
      </c>
      <c r="DF1" s="567"/>
      <c r="DG1" s="1663"/>
      <c r="DH1" s="1663"/>
      <c r="DI1" s="1663"/>
      <c r="DJ1" s="1663"/>
      <c r="DK1" s="1663"/>
      <c r="DL1" s="1663"/>
      <c r="DM1" s="1663"/>
      <c r="DN1" s="1663"/>
      <c r="DO1" s="1663"/>
      <c r="DP1" s="1663"/>
      <c r="DQ1" s="1663"/>
      <c r="DR1" s="1663"/>
      <c r="DS1" s="1663"/>
      <c r="DT1" s="1663"/>
      <c r="DU1" s="1663"/>
      <c r="DV1" s="1663"/>
      <c r="DW1" s="1663"/>
      <c r="DX1" s="1663"/>
      <c r="DY1" s="1663"/>
      <c r="DZ1" s="1663"/>
      <c r="EA1" s="1667" t="s">
        <v>773</v>
      </c>
      <c r="EB1" s="292">
        <f>'Customer Inputs'!$G$9</f>
        <v>0</v>
      </c>
      <c r="EC1" s="567"/>
      <c r="ED1" s="1663"/>
      <c r="EE1" s="1663"/>
      <c r="EF1" s="1663"/>
      <c r="EG1" s="1663"/>
      <c r="EH1" s="1663"/>
      <c r="EI1" s="1663"/>
      <c r="EJ1" s="1663"/>
      <c r="EK1" s="1663"/>
      <c r="EL1" s="1663"/>
      <c r="EM1" s="1663"/>
      <c r="EN1" s="1663"/>
      <c r="EO1" s="1663"/>
      <c r="EP1" s="1663"/>
      <c r="EQ1" s="1663"/>
      <c r="ER1" s="1663"/>
      <c r="ES1" s="1663"/>
      <c r="ET1" s="1663"/>
      <c r="EU1" s="1663"/>
      <c r="EV1" s="1663"/>
      <c r="EW1" s="1663"/>
      <c r="EX1" s="1667" t="s">
        <v>774</v>
      </c>
      <c r="EY1" s="85">
        <f>'Customer Inputs'!$G$10</f>
        <v>0</v>
      </c>
      <c r="EZ1" s="567"/>
      <c r="FA1" s="1663"/>
      <c r="FB1" s="1663"/>
      <c r="FC1" s="1663"/>
      <c r="FD1" s="1663"/>
      <c r="FE1" s="1663"/>
      <c r="FF1" s="1663"/>
      <c r="FG1" s="1663"/>
      <c r="FH1" s="1663"/>
      <c r="FI1" s="1663"/>
      <c r="FJ1" s="1663"/>
      <c r="FK1" s="1663"/>
      <c r="FL1" s="1663"/>
      <c r="FM1" s="1663"/>
      <c r="FN1" s="1663"/>
      <c r="FO1" s="1663"/>
      <c r="FP1" s="1663"/>
      <c r="FQ1" s="1663"/>
      <c r="FR1" s="1663"/>
      <c r="FS1" s="1663"/>
      <c r="FT1" s="1663"/>
      <c r="FU1" s="1667" t="s">
        <v>775</v>
      </c>
      <c r="FV1" s="85">
        <f>'Customer Inputs'!$G$11</f>
        <v>0</v>
      </c>
      <c r="FW1" s="567"/>
      <c r="FX1" s="1663"/>
      <c r="FY1" s="1663"/>
      <c r="FZ1" s="1663"/>
      <c r="GA1" s="1663"/>
      <c r="GB1" s="1663"/>
      <c r="GC1" s="1663"/>
      <c r="GD1" s="1663"/>
      <c r="GE1" s="1663"/>
      <c r="GF1" s="1663"/>
      <c r="GG1" s="1663"/>
      <c r="GH1" s="1663"/>
      <c r="GI1" s="1663"/>
      <c r="GJ1" s="1663"/>
      <c r="GK1" s="1663"/>
      <c r="GL1" s="1663"/>
      <c r="GM1" s="1663"/>
      <c r="GN1" s="1663"/>
      <c r="GO1" s="1663"/>
      <c r="GP1" s="1663"/>
      <c r="GQ1" s="1663"/>
      <c r="GR1" s="1667" t="s">
        <v>776</v>
      </c>
      <c r="GS1" s="85">
        <f>'Customer Inputs'!$G$12</f>
        <v>0</v>
      </c>
      <c r="GT1" s="567"/>
      <c r="GU1" s="1663"/>
      <c r="GV1" s="1663"/>
      <c r="GW1" s="1663"/>
      <c r="GX1" s="1663"/>
      <c r="GY1" s="1663"/>
      <c r="GZ1" s="1663"/>
      <c r="HA1" s="1663"/>
      <c r="HB1" s="1663"/>
      <c r="HC1" s="1663"/>
      <c r="HD1" s="1663"/>
      <c r="HE1" s="1663"/>
      <c r="HF1" s="1663"/>
      <c r="HG1" s="1663"/>
      <c r="HH1" s="1663"/>
      <c r="HI1" s="1663"/>
      <c r="HJ1" s="1663"/>
      <c r="HK1" s="1663"/>
      <c r="HL1" s="1663"/>
      <c r="HM1" s="1663"/>
      <c r="HN1" s="1663"/>
      <c r="HO1" s="1667" t="s">
        <v>777</v>
      </c>
      <c r="HP1" s="85">
        <f>'Customer Inputs'!$G$13</f>
        <v>0</v>
      </c>
      <c r="HQ1" s="567"/>
      <c r="HR1" s="1663"/>
      <c r="HS1" s="1663"/>
      <c r="HT1" s="1663"/>
      <c r="HU1" s="1663"/>
      <c r="HV1" s="1663"/>
      <c r="HW1" s="1663"/>
      <c r="HX1" s="1663"/>
      <c r="HY1" s="1663"/>
      <c r="HZ1" s="1663"/>
      <c r="IA1" s="1663"/>
      <c r="IB1" s="1663"/>
      <c r="IC1" s="1663"/>
      <c r="ID1" s="1663"/>
      <c r="IE1" s="1663"/>
      <c r="IF1" s="1663"/>
      <c r="IG1" s="1663"/>
      <c r="IH1" s="1663"/>
      <c r="II1" s="1663"/>
      <c r="IJ1" s="1663"/>
      <c r="IK1" s="1663"/>
      <c r="IL1" s="1667" t="s">
        <v>778</v>
      </c>
      <c r="IM1" s="85">
        <f>'Customer Inputs'!$G$14</f>
        <v>0</v>
      </c>
      <c r="IN1" s="567"/>
      <c r="IO1" s="1663"/>
      <c r="IP1" s="1663"/>
      <c r="IQ1" s="1663"/>
      <c r="IR1" s="1663"/>
      <c r="IS1" s="1663"/>
      <c r="IT1" s="1663"/>
      <c r="IU1" s="1663"/>
      <c r="IV1" s="1663"/>
      <c r="IW1" s="1663"/>
      <c r="IX1" s="1663"/>
      <c r="IY1" s="1663"/>
      <c r="IZ1" s="1663"/>
      <c r="JA1" s="1663"/>
      <c r="JB1" s="1663"/>
      <c r="JC1" s="1663"/>
      <c r="JD1" s="1663"/>
      <c r="JE1" s="1663"/>
      <c r="JF1" s="1663"/>
      <c r="JG1" s="1663"/>
      <c r="JH1" s="1663"/>
      <c r="JI1" s="1667" t="s">
        <v>779</v>
      </c>
      <c r="JJ1" s="85">
        <f>'Customer Inputs'!$G$15</f>
        <v>0</v>
      </c>
      <c r="JK1" s="567"/>
      <c r="JL1" s="1663"/>
      <c r="JM1" s="1663"/>
      <c r="JN1" s="1663"/>
      <c r="JO1" s="1663"/>
      <c r="JP1" s="1663"/>
      <c r="JQ1" s="1663"/>
      <c r="JR1" s="1663"/>
      <c r="JS1" s="1663"/>
      <c r="JT1" s="1663"/>
      <c r="JU1" s="1663"/>
      <c r="JV1" s="1663"/>
      <c r="JW1" s="1663"/>
      <c r="JX1" s="1663"/>
      <c r="JY1" s="1663"/>
      <c r="JZ1" s="1663"/>
      <c r="KA1" s="1663"/>
      <c r="KB1" s="1663"/>
      <c r="KC1" s="1663"/>
      <c r="KD1" s="1663"/>
      <c r="KE1" s="1663"/>
      <c r="KF1" s="1667" t="s">
        <v>2202</v>
      </c>
      <c r="KG1" s="85">
        <f>'Customer Inputs'!$G$16</f>
        <v>0</v>
      </c>
      <c r="KH1" s="567"/>
      <c r="KI1" s="1663"/>
      <c r="KJ1" s="1663"/>
      <c r="KK1" s="1663"/>
      <c r="KL1" s="1663"/>
      <c r="KM1" s="1663"/>
      <c r="KN1" s="1663"/>
      <c r="KO1" s="1663"/>
      <c r="KP1" s="1663"/>
      <c r="KQ1" s="1663"/>
      <c r="KR1" s="1663"/>
      <c r="KS1" s="1663"/>
      <c r="KT1" s="1663"/>
      <c r="KU1" s="1663"/>
      <c r="KV1" s="1663"/>
      <c r="KW1" s="1663"/>
      <c r="KX1" s="1663"/>
      <c r="KY1" s="1663"/>
      <c r="KZ1" s="1663"/>
      <c r="LA1" s="1663"/>
      <c r="LB1" s="1663"/>
      <c r="LC1" s="1667" t="s">
        <v>2203</v>
      </c>
      <c r="LD1" s="85">
        <f>'Customer Inputs'!$G$17</f>
        <v>0</v>
      </c>
      <c r="LE1" s="567"/>
      <c r="LF1" s="1663"/>
      <c r="LG1" s="1663"/>
      <c r="LH1" s="1663"/>
      <c r="LI1" s="1663"/>
      <c r="LJ1" s="1663"/>
      <c r="LK1" s="1663"/>
      <c r="LL1" s="1663"/>
      <c r="LM1" s="1663"/>
      <c r="LN1" s="1663"/>
      <c r="LO1" s="1663"/>
      <c r="LP1" s="1663"/>
      <c r="LQ1" s="1663"/>
      <c r="LR1" s="1663"/>
      <c r="LS1" s="1663"/>
      <c r="LT1" s="1663"/>
      <c r="LU1" s="1663"/>
      <c r="LV1" s="1663"/>
      <c r="LW1" s="1663"/>
      <c r="LX1" s="1663"/>
      <c r="LY1" s="1663"/>
      <c r="LZ1" s="1667" t="s">
        <v>2204</v>
      </c>
      <c r="MA1" s="85">
        <f>'Customer Inputs'!$G$18</f>
        <v>0</v>
      </c>
      <c r="MB1" s="567"/>
      <c r="MC1" s="1663"/>
      <c r="MD1" s="1663"/>
      <c r="ME1" s="1663"/>
      <c r="MF1" s="1663"/>
      <c r="MG1" s="1663"/>
      <c r="MH1" s="1663"/>
      <c r="MI1" s="1663"/>
      <c r="MJ1" s="1663"/>
      <c r="MK1" s="1663"/>
      <c r="ML1" s="1663"/>
      <c r="MM1" s="1663"/>
      <c r="MN1" s="1663"/>
      <c r="MO1" s="1663"/>
      <c r="MP1" s="1663"/>
      <c r="MQ1" s="1663"/>
      <c r="MR1" s="1663"/>
      <c r="MS1" s="1663"/>
      <c r="MT1" s="1663"/>
      <c r="MU1" s="1663"/>
      <c r="MV1" s="1663"/>
      <c r="MW1" s="1667" t="s">
        <v>2205</v>
      </c>
      <c r="MX1" s="85">
        <f>'Customer Inputs'!$G$19</f>
        <v>0</v>
      </c>
      <c r="MY1" s="567"/>
      <c r="MZ1" s="1663"/>
      <c r="NA1" s="1663"/>
      <c r="NB1" s="1663"/>
      <c r="NC1" s="1663"/>
      <c r="ND1" s="1663"/>
      <c r="NE1" s="1663"/>
      <c r="NF1" s="1663"/>
      <c r="NG1" s="1663"/>
      <c r="NH1" s="1663"/>
      <c r="NI1" s="1663"/>
      <c r="NJ1" s="1663"/>
      <c r="NK1" s="1663"/>
      <c r="NL1" s="1663"/>
      <c r="NM1" s="1663"/>
      <c r="NN1" s="1663"/>
      <c r="NO1" s="1663"/>
      <c r="NP1" s="1663"/>
      <c r="NQ1" s="1663"/>
      <c r="NR1" s="1663"/>
      <c r="NS1" s="1663"/>
      <c r="NT1" s="1667" t="s">
        <v>2206</v>
      </c>
      <c r="NU1" s="85">
        <f>'Customer Inputs'!$G$20</f>
        <v>0</v>
      </c>
      <c r="NV1" s="567"/>
      <c r="NW1" s="1663"/>
      <c r="NX1" s="1663"/>
      <c r="NY1" s="1663"/>
      <c r="NZ1" s="1663"/>
      <c r="OA1" s="1663"/>
      <c r="OB1" s="1663"/>
      <c r="OC1" s="1663"/>
      <c r="OD1" s="1663"/>
      <c r="OE1" s="1663"/>
      <c r="OF1" s="1663"/>
      <c r="OG1" s="1663"/>
      <c r="OH1" s="1663"/>
      <c r="OI1" s="1663"/>
      <c r="OJ1" s="1663"/>
      <c r="OK1" s="1663"/>
      <c r="OL1" s="1663"/>
      <c r="OM1" s="1663"/>
      <c r="ON1" s="1663"/>
      <c r="OO1" s="1663"/>
      <c r="OP1" s="1663"/>
      <c r="OQ1" s="1667" t="s">
        <v>2207</v>
      </c>
      <c r="OR1" s="85">
        <f>'Customer Inputs'!$G$21</f>
        <v>0</v>
      </c>
      <c r="OS1" s="567"/>
      <c r="OT1" s="1663"/>
      <c r="OU1" s="1663"/>
      <c r="OV1" s="1663"/>
      <c r="OW1" s="1663"/>
      <c r="OX1" s="1663"/>
      <c r="OY1" s="1663"/>
      <c r="OZ1" s="1663"/>
      <c r="PA1" s="1663"/>
      <c r="PB1" s="1663"/>
      <c r="PC1" s="1663"/>
      <c r="PD1" s="1663"/>
      <c r="PE1" s="1663"/>
      <c r="PF1" s="1663"/>
      <c r="PG1" s="1663"/>
      <c r="PH1" s="1663"/>
      <c r="PI1" s="1663"/>
      <c r="PJ1" s="1663"/>
      <c r="PK1" s="1663"/>
      <c r="PL1" s="1663"/>
      <c r="PM1" s="1663"/>
      <c r="PN1" s="1667" t="s">
        <v>2208</v>
      </c>
      <c r="PO1" s="85">
        <f>'Customer Inputs'!$G$22</f>
        <v>0</v>
      </c>
      <c r="PP1" s="567"/>
      <c r="PQ1" s="1663"/>
      <c r="PR1" s="1663"/>
      <c r="PS1" s="1663"/>
      <c r="PT1" s="1663"/>
      <c r="PU1" s="1663"/>
      <c r="PV1" s="1663"/>
      <c r="PW1" s="1663"/>
      <c r="PX1" s="1663"/>
      <c r="PY1" s="1663"/>
      <c r="PZ1" s="1663"/>
      <c r="QA1" s="1663"/>
      <c r="QB1" s="1663"/>
      <c r="QC1" s="1663"/>
      <c r="QD1" s="1663"/>
      <c r="QE1" s="1663"/>
      <c r="QF1" s="1663"/>
      <c r="QG1" s="1663"/>
      <c r="QH1" s="1663"/>
      <c r="QI1" s="1663"/>
      <c r="QJ1" s="1663"/>
      <c r="QK1" s="1667" t="s">
        <v>2209</v>
      </c>
      <c r="QL1" s="85">
        <f>'Customer Inputs'!$G$23</f>
        <v>0</v>
      </c>
      <c r="QM1" s="567"/>
      <c r="QN1" s="1663"/>
      <c r="QO1" s="1663"/>
      <c r="QP1" s="1663"/>
      <c r="QQ1" s="1663"/>
      <c r="QR1" s="1663"/>
      <c r="QS1" s="1663"/>
      <c r="QT1" s="1663"/>
      <c r="QU1" s="1663"/>
      <c r="QV1" s="1663"/>
      <c r="QW1" s="1663"/>
      <c r="QX1" s="1663"/>
      <c r="QY1" s="1663"/>
      <c r="QZ1" s="1663"/>
      <c r="RA1" s="1663"/>
      <c r="RB1" s="1663"/>
      <c r="RC1" s="1663"/>
      <c r="RD1" s="1663"/>
      <c r="RE1" s="1663"/>
      <c r="RF1" s="1663"/>
      <c r="RG1" s="1663"/>
      <c r="RH1" s="1667" t="s">
        <v>2210</v>
      </c>
      <c r="RI1" s="85">
        <f>'Customer Inputs'!$G$24</f>
        <v>0</v>
      </c>
      <c r="RJ1" s="567"/>
      <c r="RK1" s="1663"/>
      <c r="RL1" s="1663"/>
      <c r="RM1" s="1663"/>
      <c r="RN1" s="1663"/>
      <c r="RO1" s="1663"/>
      <c r="RP1" s="1663"/>
      <c r="RQ1" s="1663"/>
      <c r="RR1" s="1663"/>
      <c r="RS1" s="1663"/>
      <c r="RT1" s="1663"/>
      <c r="RU1" s="1663"/>
      <c r="RV1" s="1663"/>
      <c r="RW1" s="1663"/>
      <c r="RX1" s="1663"/>
      <c r="RY1" s="1663"/>
      <c r="RZ1" s="1663"/>
      <c r="SA1" s="1663"/>
      <c r="SB1" s="1663"/>
      <c r="SC1" s="1663"/>
      <c r="SD1" s="1663"/>
      <c r="SE1" s="1667" t="s">
        <v>2211</v>
      </c>
      <c r="SF1" s="85">
        <f>'Customer Inputs'!$G$25</f>
        <v>0</v>
      </c>
      <c r="SG1" s="567"/>
      <c r="SH1" s="1663"/>
      <c r="SI1" s="1663"/>
      <c r="SJ1" s="1663"/>
      <c r="SK1" s="1663"/>
      <c r="SL1" s="1663"/>
      <c r="SM1" s="1663"/>
      <c r="SN1" s="1663"/>
      <c r="SO1" s="1663"/>
      <c r="SP1" s="1663"/>
      <c r="SQ1" s="1663"/>
      <c r="SR1" s="1663"/>
      <c r="SS1" s="1663"/>
      <c r="ST1" s="1663"/>
      <c r="SU1" s="1663"/>
      <c r="SV1" s="1663"/>
      <c r="SW1" s="1663"/>
      <c r="SX1" s="1663"/>
      <c r="SY1" s="1663"/>
      <c r="SZ1" s="1663"/>
      <c r="TA1" s="1663"/>
      <c r="TB1" s="1663"/>
      <c r="TC1" s="1663"/>
      <c r="TD1" s="1663"/>
      <c r="TE1" s="1663"/>
      <c r="TF1" s="1663"/>
      <c r="TG1" s="1663"/>
      <c r="TH1" s="1663"/>
      <c r="TI1" s="1663"/>
      <c r="TJ1" s="1663"/>
      <c r="TK1" s="1663"/>
      <c r="TL1" s="1663"/>
      <c r="TM1" s="1663"/>
      <c r="TN1" s="1663"/>
      <c r="TO1" s="1663"/>
      <c r="TP1" s="1663"/>
      <c r="TQ1" s="1663"/>
      <c r="TR1" s="1663"/>
    </row>
    <row r="2" spans="1:538" x14ac:dyDescent="0.25">
      <c r="A2" s="1663"/>
      <c r="B2" s="1663"/>
      <c r="C2" s="1663"/>
      <c r="D2" s="1663"/>
      <c r="E2" s="1663"/>
      <c r="F2" s="1663"/>
      <c r="G2" s="1663"/>
      <c r="H2" s="1663"/>
      <c r="I2" s="1663"/>
      <c r="J2" s="1663"/>
      <c r="K2" s="1663"/>
      <c r="L2" s="1663"/>
      <c r="M2" s="1663"/>
      <c r="N2" s="1663"/>
      <c r="O2" s="1663"/>
      <c r="P2" s="1663"/>
      <c r="Q2" s="1663"/>
      <c r="R2" s="1663"/>
      <c r="S2" s="1663"/>
      <c r="T2" s="1663"/>
      <c r="U2" s="1663"/>
      <c r="V2" s="1663"/>
      <c r="W2" s="1663"/>
      <c r="X2" s="1663"/>
      <c r="Y2" s="1663"/>
      <c r="Z2" s="1663"/>
      <c r="AA2" s="1663"/>
      <c r="AB2" s="1663"/>
      <c r="AC2" s="1664"/>
      <c r="AD2" s="1664"/>
      <c r="AE2" s="1663"/>
      <c r="AF2" s="1663"/>
      <c r="AG2" s="1663"/>
      <c r="AH2" s="1663"/>
      <c r="AI2" s="1663"/>
      <c r="AJ2" s="1663"/>
      <c r="AK2" s="1663"/>
      <c r="AL2" s="1663"/>
      <c r="AM2" s="1663"/>
      <c r="AN2" s="1663"/>
      <c r="AO2" s="1663"/>
      <c r="AP2" s="1663"/>
      <c r="AQ2" s="1663"/>
      <c r="AR2" s="1663"/>
      <c r="AS2" s="1663"/>
      <c r="AT2" s="1663"/>
      <c r="AU2" s="1663"/>
      <c r="AV2" s="1663"/>
      <c r="AW2" s="1663"/>
      <c r="AX2" s="1663"/>
      <c r="AY2" s="1663"/>
      <c r="AZ2" s="1663"/>
      <c r="BA2" s="1663"/>
      <c r="BB2" s="1663"/>
      <c r="BC2" s="1663"/>
      <c r="BD2" s="1663"/>
      <c r="BE2" s="1663"/>
      <c r="BF2" s="1663"/>
      <c r="BG2" s="1663"/>
      <c r="BH2" s="1663"/>
      <c r="BI2" s="1663"/>
      <c r="BJ2" s="1664" t="s">
        <v>850</v>
      </c>
      <c r="BK2" s="85" t="str">
        <f>'Customer Inputs'!$K$6</f>
        <v/>
      </c>
      <c r="BL2" s="767">
        <f>'Customer Inputs'!$U$6</f>
        <v>0</v>
      </c>
      <c r="BM2" s="1663"/>
      <c r="BN2" s="1663"/>
      <c r="BO2" s="1663"/>
      <c r="BP2" s="1663"/>
      <c r="BQ2" s="1663"/>
      <c r="BR2" s="1663"/>
      <c r="BS2" s="1663"/>
      <c r="BT2" s="1663"/>
      <c r="BU2" s="1663"/>
      <c r="BV2" s="1663"/>
      <c r="BW2" s="1663"/>
      <c r="BX2" s="1663"/>
      <c r="BY2" s="1663"/>
      <c r="BZ2" s="1663"/>
      <c r="CA2" s="1663"/>
      <c r="CB2" s="1663"/>
      <c r="CC2" s="1663"/>
      <c r="CD2" s="1663"/>
      <c r="CE2" s="1663"/>
      <c r="CF2" s="1663"/>
      <c r="CG2" s="1664" t="s">
        <v>850</v>
      </c>
      <c r="CH2" s="85" t="str">
        <f>'Customer Inputs'!$K$7</f>
        <v/>
      </c>
      <c r="CI2" s="768">
        <f>'Customer Inputs'!$U$7</f>
        <v>0</v>
      </c>
      <c r="CJ2" s="1663"/>
      <c r="CK2" s="1663"/>
      <c r="CL2" s="1663"/>
      <c r="CM2" s="1663"/>
      <c r="CN2" s="1663"/>
      <c r="CO2" s="1663"/>
      <c r="CP2" s="1663"/>
      <c r="CQ2" s="1663"/>
      <c r="CR2" s="1663"/>
      <c r="CS2" s="1663"/>
      <c r="CT2" s="1663"/>
      <c r="CU2" s="1663"/>
      <c r="CV2" s="1663"/>
      <c r="CW2" s="1663"/>
      <c r="CX2" s="1663"/>
      <c r="CY2" s="1663"/>
      <c r="CZ2" s="1663"/>
      <c r="DA2" s="1663"/>
      <c r="DB2" s="1663"/>
      <c r="DC2" s="1663"/>
      <c r="DD2" s="1664" t="s">
        <v>850</v>
      </c>
      <c r="DE2" s="85" t="str">
        <f>'Customer Inputs'!$K$8</f>
        <v/>
      </c>
      <c r="DF2" s="768">
        <f>'Customer Inputs'!$U$8</f>
        <v>0</v>
      </c>
      <c r="DG2" s="1663"/>
      <c r="DH2" s="1663"/>
      <c r="DI2" s="1663"/>
      <c r="DJ2" s="1663"/>
      <c r="DK2" s="1663"/>
      <c r="DL2" s="1663"/>
      <c r="DM2" s="1663"/>
      <c r="DN2" s="1663"/>
      <c r="DO2" s="1663"/>
      <c r="DP2" s="1663"/>
      <c r="DQ2" s="1663"/>
      <c r="DR2" s="1663"/>
      <c r="DS2" s="1663"/>
      <c r="DT2" s="1663"/>
      <c r="DU2" s="1663"/>
      <c r="DV2" s="1663"/>
      <c r="DW2" s="1663"/>
      <c r="DX2" s="1663"/>
      <c r="DY2" s="1663"/>
      <c r="DZ2" s="1663"/>
      <c r="EA2" s="1664" t="s">
        <v>850</v>
      </c>
      <c r="EB2" s="85" t="str">
        <f>'Customer Inputs'!$K$9</f>
        <v/>
      </c>
      <c r="EC2" s="768">
        <f>'Customer Inputs'!$U$9</f>
        <v>0</v>
      </c>
      <c r="ED2" s="1663"/>
      <c r="EE2" s="1663"/>
      <c r="EF2" s="1663"/>
      <c r="EG2" s="1663"/>
      <c r="EH2" s="1663"/>
      <c r="EI2" s="1663"/>
      <c r="EJ2" s="1663"/>
      <c r="EK2" s="1663"/>
      <c r="EL2" s="1663"/>
      <c r="EM2" s="1663"/>
      <c r="EN2" s="1663"/>
      <c r="EO2" s="1663"/>
      <c r="EP2" s="1663"/>
      <c r="EQ2" s="1663"/>
      <c r="ER2" s="1663"/>
      <c r="ES2" s="1663"/>
      <c r="ET2" s="1663"/>
      <c r="EU2" s="1663"/>
      <c r="EV2" s="1663"/>
      <c r="EW2" s="1663"/>
      <c r="EX2" s="1664" t="s">
        <v>850</v>
      </c>
      <c r="EY2" s="85" t="str">
        <f>'Customer Inputs'!$K$10</f>
        <v/>
      </c>
      <c r="EZ2" s="768">
        <f>'Customer Inputs'!$U$10</f>
        <v>0</v>
      </c>
      <c r="FA2" s="1663"/>
      <c r="FB2" s="1663"/>
      <c r="FC2" s="1663"/>
      <c r="FD2" s="1663"/>
      <c r="FE2" s="1663"/>
      <c r="FF2" s="1663"/>
      <c r="FG2" s="1663"/>
      <c r="FH2" s="1663"/>
      <c r="FI2" s="1663"/>
      <c r="FJ2" s="1663"/>
      <c r="FK2" s="1663"/>
      <c r="FL2" s="1663"/>
      <c r="FM2" s="1663"/>
      <c r="FN2" s="1663"/>
      <c r="FO2" s="1663"/>
      <c r="FP2" s="1663"/>
      <c r="FQ2" s="1663"/>
      <c r="FR2" s="1663"/>
      <c r="FS2" s="1663"/>
      <c r="FT2" s="1663"/>
      <c r="FU2" s="1664" t="s">
        <v>850</v>
      </c>
      <c r="FV2" s="85" t="str">
        <f>'Customer Inputs'!$K$11</f>
        <v/>
      </c>
      <c r="FW2" s="768">
        <f>'Customer Inputs'!$U$11</f>
        <v>0</v>
      </c>
      <c r="FX2" s="1663"/>
      <c r="FY2" s="1663"/>
      <c r="FZ2" s="1663"/>
      <c r="GA2" s="1663"/>
      <c r="GB2" s="1663"/>
      <c r="GC2" s="1663"/>
      <c r="GD2" s="1663"/>
      <c r="GE2" s="1663"/>
      <c r="GF2" s="1663"/>
      <c r="GG2" s="1663"/>
      <c r="GH2" s="1663"/>
      <c r="GI2" s="1663"/>
      <c r="GJ2" s="1663"/>
      <c r="GK2" s="1663"/>
      <c r="GL2" s="1663"/>
      <c r="GM2" s="1663"/>
      <c r="GN2" s="1663"/>
      <c r="GO2" s="1663"/>
      <c r="GP2" s="1663"/>
      <c r="GQ2" s="1663"/>
      <c r="GR2" s="1664" t="s">
        <v>850</v>
      </c>
      <c r="GS2" s="85" t="str">
        <f>'Customer Inputs'!$K$12</f>
        <v/>
      </c>
      <c r="GT2" s="768">
        <f>'Customer Inputs'!$U$12</f>
        <v>0</v>
      </c>
      <c r="GU2" s="1663"/>
      <c r="GV2" s="1663"/>
      <c r="GW2" s="1663"/>
      <c r="GX2" s="1663"/>
      <c r="GY2" s="1663"/>
      <c r="GZ2" s="1663"/>
      <c r="HA2" s="1663"/>
      <c r="HB2" s="1663"/>
      <c r="HC2" s="1663"/>
      <c r="HD2" s="1663"/>
      <c r="HE2" s="1663"/>
      <c r="HF2" s="1663"/>
      <c r="HG2" s="1663"/>
      <c r="HH2" s="1663"/>
      <c r="HI2" s="1663"/>
      <c r="HJ2" s="1663"/>
      <c r="HK2" s="1663"/>
      <c r="HL2" s="1663"/>
      <c r="HM2" s="1663"/>
      <c r="HN2" s="1663"/>
      <c r="HO2" s="1664" t="s">
        <v>850</v>
      </c>
      <c r="HP2" s="85" t="str">
        <f>'Customer Inputs'!$K$13</f>
        <v/>
      </c>
      <c r="HQ2" s="768">
        <f>'Customer Inputs'!$U$13</f>
        <v>0</v>
      </c>
      <c r="HR2" s="1663"/>
      <c r="HS2" s="1663"/>
      <c r="HT2" s="1663"/>
      <c r="HU2" s="1663"/>
      <c r="HV2" s="1663"/>
      <c r="HW2" s="1663"/>
      <c r="HX2" s="1663"/>
      <c r="HY2" s="1663"/>
      <c r="HZ2" s="1663"/>
      <c r="IA2" s="1663"/>
      <c r="IB2" s="1663"/>
      <c r="IC2" s="1663"/>
      <c r="ID2" s="1663"/>
      <c r="IE2" s="1663"/>
      <c r="IF2" s="1663"/>
      <c r="IG2" s="1663"/>
      <c r="IH2" s="1663"/>
      <c r="II2" s="1663"/>
      <c r="IJ2" s="1663"/>
      <c r="IK2" s="1663"/>
      <c r="IL2" s="1664" t="s">
        <v>850</v>
      </c>
      <c r="IM2" s="85" t="str">
        <f>'Customer Inputs'!$K$14</f>
        <v/>
      </c>
      <c r="IN2" s="768">
        <f>'Customer Inputs'!$U$14</f>
        <v>0</v>
      </c>
      <c r="IO2" s="1663"/>
      <c r="IP2" s="1663"/>
      <c r="IQ2" s="1663"/>
      <c r="IR2" s="1663"/>
      <c r="IS2" s="1663"/>
      <c r="IT2" s="1663"/>
      <c r="IU2" s="1663"/>
      <c r="IV2" s="1663"/>
      <c r="IW2" s="1663"/>
      <c r="IX2" s="1663"/>
      <c r="IY2" s="1663"/>
      <c r="IZ2" s="1663"/>
      <c r="JA2" s="1663"/>
      <c r="JB2" s="1663"/>
      <c r="JC2" s="1663"/>
      <c r="JD2" s="1663"/>
      <c r="JE2" s="1663"/>
      <c r="JF2" s="1663"/>
      <c r="JG2" s="1663"/>
      <c r="JH2" s="1663"/>
      <c r="JI2" s="1664" t="s">
        <v>850</v>
      </c>
      <c r="JJ2" s="85" t="str">
        <f>'Customer Inputs'!$K$15</f>
        <v/>
      </c>
      <c r="JK2" s="767">
        <f>'Customer Inputs'!$U$15</f>
        <v>0</v>
      </c>
      <c r="JL2" s="1663"/>
      <c r="JM2" s="1663"/>
      <c r="JN2" s="1663"/>
      <c r="JO2" s="1663"/>
      <c r="JP2" s="1663"/>
      <c r="JQ2" s="1663"/>
      <c r="JR2" s="1663"/>
      <c r="JS2" s="1663"/>
      <c r="JT2" s="1663"/>
      <c r="JU2" s="1663"/>
      <c r="JV2" s="1663"/>
      <c r="JW2" s="1663"/>
      <c r="JX2" s="1663"/>
      <c r="JY2" s="1663"/>
      <c r="JZ2" s="1663"/>
      <c r="KA2" s="1663"/>
      <c r="KB2" s="1663"/>
      <c r="KC2" s="1663"/>
      <c r="KD2" s="1663"/>
      <c r="KE2" s="1663"/>
      <c r="KF2" s="1664" t="s">
        <v>850</v>
      </c>
      <c r="KG2" s="85" t="str">
        <f>'Customer Inputs'!$K$16</f>
        <v/>
      </c>
      <c r="KH2" s="767">
        <f>'Customer Inputs'!$U$16</f>
        <v>0</v>
      </c>
      <c r="KI2" s="1663"/>
      <c r="KJ2" s="1663"/>
      <c r="KK2" s="1663"/>
      <c r="KL2" s="1663"/>
      <c r="KM2" s="1663"/>
      <c r="KN2" s="1663"/>
      <c r="KO2" s="1663"/>
      <c r="KP2" s="1663"/>
      <c r="KQ2" s="1663"/>
      <c r="KR2" s="1663"/>
      <c r="KS2" s="1663"/>
      <c r="KT2" s="1663"/>
      <c r="KU2" s="1663"/>
      <c r="KV2" s="1663"/>
      <c r="KW2" s="1663"/>
      <c r="KX2" s="1663"/>
      <c r="KY2" s="1663"/>
      <c r="KZ2" s="1663"/>
      <c r="LA2" s="1663"/>
      <c r="LB2" s="1663"/>
      <c r="LC2" s="1664" t="s">
        <v>850</v>
      </c>
      <c r="LD2" s="85" t="str">
        <f>'Customer Inputs'!$K$17</f>
        <v/>
      </c>
      <c r="LE2" s="767">
        <f>'Customer Inputs'!$U$17</f>
        <v>0</v>
      </c>
      <c r="LF2" s="1663"/>
      <c r="LG2" s="1663"/>
      <c r="LH2" s="1663"/>
      <c r="LI2" s="1663"/>
      <c r="LJ2" s="1663"/>
      <c r="LK2" s="1663"/>
      <c r="LL2" s="1663"/>
      <c r="LM2" s="1663"/>
      <c r="LN2" s="1663"/>
      <c r="LO2" s="1663"/>
      <c r="LP2" s="1663"/>
      <c r="LQ2" s="1663"/>
      <c r="LR2" s="1663"/>
      <c r="LS2" s="1663"/>
      <c r="LT2" s="1663"/>
      <c r="LU2" s="1663"/>
      <c r="LV2" s="1663"/>
      <c r="LW2" s="1663"/>
      <c r="LX2" s="1663"/>
      <c r="LY2" s="1663"/>
      <c r="LZ2" s="1664" t="s">
        <v>850</v>
      </c>
      <c r="MA2" s="85" t="str">
        <f>'Customer Inputs'!$K$18</f>
        <v/>
      </c>
      <c r="MB2" s="767">
        <f>'Customer Inputs'!$U$18</f>
        <v>0</v>
      </c>
      <c r="MC2" s="1663"/>
      <c r="MD2" s="1663"/>
      <c r="ME2" s="1663"/>
      <c r="MF2" s="1663"/>
      <c r="MG2" s="1663"/>
      <c r="MH2" s="1663"/>
      <c r="MI2" s="1663"/>
      <c r="MJ2" s="1663"/>
      <c r="MK2" s="1663"/>
      <c r="ML2" s="1663"/>
      <c r="MM2" s="1663"/>
      <c r="MN2" s="1663"/>
      <c r="MO2" s="1663"/>
      <c r="MP2" s="1663"/>
      <c r="MQ2" s="1663"/>
      <c r="MR2" s="1663"/>
      <c r="MS2" s="1663"/>
      <c r="MT2" s="1663"/>
      <c r="MU2" s="1663"/>
      <c r="MV2" s="1663"/>
      <c r="MW2" s="1664" t="s">
        <v>850</v>
      </c>
      <c r="MX2" s="85" t="str">
        <f>'Customer Inputs'!$K$19</f>
        <v/>
      </c>
      <c r="MY2" s="767">
        <f>'Customer Inputs'!$U$19</f>
        <v>0</v>
      </c>
      <c r="MZ2" s="1663"/>
      <c r="NA2" s="1663"/>
      <c r="NB2" s="1663"/>
      <c r="NC2" s="1663"/>
      <c r="ND2" s="1663"/>
      <c r="NE2" s="1663"/>
      <c r="NF2" s="1663"/>
      <c r="NG2" s="1663"/>
      <c r="NH2" s="1663"/>
      <c r="NI2" s="1663"/>
      <c r="NJ2" s="1663"/>
      <c r="NK2" s="1663"/>
      <c r="NL2" s="1663"/>
      <c r="NM2" s="1663"/>
      <c r="NN2" s="1663"/>
      <c r="NO2" s="1663"/>
      <c r="NP2" s="1663"/>
      <c r="NQ2" s="1663"/>
      <c r="NR2" s="1663"/>
      <c r="NS2" s="1663"/>
      <c r="NT2" s="1664" t="s">
        <v>850</v>
      </c>
      <c r="NU2" s="85" t="str">
        <f>'Customer Inputs'!$K$20</f>
        <v/>
      </c>
      <c r="NV2" s="767">
        <f>'Customer Inputs'!$U$20</f>
        <v>0</v>
      </c>
      <c r="NW2" s="1663"/>
      <c r="NX2" s="1663"/>
      <c r="NY2" s="1663"/>
      <c r="NZ2" s="1663"/>
      <c r="OA2" s="1663"/>
      <c r="OB2" s="1663"/>
      <c r="OC2" s="1663"/>
      <c r="OD2" s="1663"/>
      <c r="OE2" s="1663"/>
      <c r="OF2" s="1663"/>
      <c r="OG2" s="1663"/>
      <c r="OH2" s="1663"/>
      <c r="OI2" s="1663"/>
      <c r="OJ2" s="1663"/>
      <c r="OK2" s="1663"/>
      <c r="OL2" s="1663"/>
      <c r="OM2" s="1663"/>
      <c r="ON2" s="1663"/>
      <c r="OO2" s="1663"/>
      <c r="OP2" s="1663"/>
      <c r="OQ2" s="1664" t="s">
        <v>850</v>
      </c>
      <c r="OR2" s="85" t="str">
        <f>'Customer Inputs'!$K$21</f>
        <v/>
      </c>
      <c r="OS2" s="767">
        <f>'Customer Inputs'!$U$21</f>
        <v>0</v>
      </c>
      <c r="OT2" s="1663"/>
      <c r="OU2" s="1663"/>
      <c r="OV2" s="1663"/>
      <c r="OW2" s="1663"/>
      <c r="OX2" s="1663"/>
      <c r="OY2" s="1663"/>
      <c r="OZ2" s="1663"/>
      <c r="PA2" s="1663"/>
      <c r="PB2" s="1663"/>
      <c r="PC2" s="1663"/>
      <c r="PD2" s="1663"/>
      <c r="PE2" s="1663"/>
      <c r="PF2" s="1663"/>
      <c r="PG2" s="1663"/>
      <c r="PH2" s="1663"/>
      <c r="PI2" s="1663"/>
      <c r="PJ2" s="1663"/>
      <c r="PK2" s="1663"/>
      <c r="PL2" s="1663"/>
      <c r="PM2" s="1663"/>
      <c r="PN2" s="1664" t="s">
        <v>850</v>
      </c>
      <c r="PO2" s="85" t="str">
        <f>'Customer Inputs'!$K$22</f>
        <v/>
      </c>
      <c r="PP2" s="767">
        <f>'Customer Inputs'!$U$22</f>
        <v>0</v>
      </c>
      <c r="PQ2" s="1663"/>
      <c r="PR2" s="1663"/>
      <c r="PS2" s="1663"/>
      <c r="PT2" s="1663"/>
      <c r="PU2" s="1663"/>
      <c r="PV2" s="1663"/>
      <c r="PW2" s="1663"/>
      <c r="PX2" s="1663"/>
      <c r="PY2" s="1663"/>
      <c r="PZ2" s="1663"/>
      <c r="QA2" s="1663"/>
      <c r="QB2" s="1663"/>
      <c r="QC2" s="1663"/>
      <c r="QD2" s="1663"/>
      <c r="QE2" s="1663"/>
      <c r="QF2" s="1663"/>
      <c r="QG2" s="1663"/>
      <c r="QH2" s="1663"/>
      <c r="QI2" s="1663"/>
      <c r="QJ2" s="1663"/>
      <c r="QK2" s="1664" t="s">
        <v>850</v>
      </c>
      <c r="QL2" s="85" t="str">
        <f>'Customer Inputs'!$K$23</f>
        <v/>
      </c>
      <c r="QM2" s="767">
        <f>'Customer Inputs'!$U$23</f>
        <v>0</v>
      </c>
      <c r="QN2" s="1663"/>
      <c r="QO2" s="1663"/>
      <c r="QP2" s="1663"/>
      <c r="QQ2" s="1663"/>
      <c r="QR2" s="1663"/>
      <c r="QS2" s="1663"/>
      <c r="QT2" s="1663"/>
      <c r="QU2" s="1663"/>
      <c r="QV2" s="1663"/>
      <c r="QW2" s="1663"/>
      <c r="QX2" s="1663"/>
      <c r="QY2" s="1663"/>
      <c r="QZ2" s="1663"/>
      <c r="RA2" s="1663"/>
      <c r="RB2" s="1663"/>
      <c r="RC2" s="1663"/>
      <c r="RD2" s="1663"/>
      <c r="RE2" s="1663"/>
      <c r="RF2" s="1663"/>
      <c r="RG2" s="1663"/>
      <c r="RH2" s="1664" t="s">
        <v>850</v>
      </c>
      <c r="RI2" s="85" t="str">
        <f>'Customer Inputs'!$K$24</f>
        <v/>
      </c>
      <c r="RJ2" s="767">
        <f>'Customer Inputs'!$U$24</f>
        <v>0</v>
      </c>
      <c r="RK2" s="1663"/>
      <c r="RL2" s="1663"/>
      <c r="RM2" s="1663"/>
      <c r="RN2" s="1663"/>
      <c r="RO2" s="1663"/>
      <c r="RP2" s="1663"/>
      <c r="RQ2" s="1663"/>
      <c r="RR2" s="1663"/>
      <c r="RS2" s="1663"/>
      <c r="RT2" s="1663"/>
      <c r="RU2" s="1663"/>
      <c r="RV2" s="1663"/>
      <c r="RW2" s="1663"/>
      <c r="RX2" s="1663"/>
      <c r="RY2" s="1663"/>
      <c r="RZ2" s="1663"/>
      <c r="SA2" s="1663"/>
      <c r="SB2" s="1663"/>
      <c r="SC2" s="1663"/>
      <c r="SD2" s="1663"/>
      <c r="SE2" s="1664" t="s">
        <v>850</v>
      </c>
      <c r="SF2" s="85" t="str">
        <f>'Customer Inputs'!$K$25</f>
        <v/>
      </c>
      <c r="SG2" s="767">
        <f>'Customer Inputs'!$U$25</f>
        <v>0</v>
      </c>
      <c r="SH2" s="1663"/>
      <c r="SI2" s="1663"/>
      <c r="SJ2" s="1663"/>
      <c r="SK2" s="1663"/>
      <c r="SL2" s="1663"/>
      <c r="SM2" s="1663"/>
      <c r="SN2" s="1663"/>
      <c r="SO2" s="1663"/>
      <c r="SP2" s="1663"/>
      <c r="SQ2" s="1663"/>
      <c r="SR2" s="1663"/>
      <c r="SS2" s="1663"/>
      <c r="ST2" s="1663"/>
      <c r="SU2" s="1663"/>
      <c r="SV2" s="1663"/>
      <c r="SW2" s="1663"/>
      <c r="SX2" s="1663"/>
      <c r="SY2" s="1663"/>
      <c r="SZ2" s="1663"/>
      <c r="TA2" s="1663"/>
      <c r="TB2" s="1663"/>
      <c r="TC2" s="1663"/>
      <c r="TD2" s="1663"/>
      <c r="TE2" s="1663"/>
      <c r="TF2" s="1663"/>
      <c r="TG2" s="1663"/>
      <c r="TH2" s="1663"/>
      <c r="TI2" s="1663"/>
      <c r="TJ2" s="1663"/>
      <c r="TK2" s="1663"/>
      <c r="TL2" s="1663"/>
      <c r="TM2" s="1663"/>
      <c r="TN2" s="1663"/>
      <c r="TO2" s="1663"/>
      <c r="TP2" s="1663"/>
      <c r="TQ2" s="1663"/>
      <c r="TR2" s="1663"/>
    </row>
    <row r="3" spans="1:538" x14ac:dyDescent="0.25">
      <c r="A3" s="1663"/>
      <c r="B3" s="1663"/>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4"/>
      <c r="AD3" s="1664"/>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63"/>
      <c r="BG3" s="1663"/>
      <c r="BH3" s="1663"/>
      <c r="BI3" s="1663"/>
      <c r="BJ3" s="1664" t="s">
        <v>851</v>
      </c>
      <c r="BK3" s="85">
        <f>'Customer Inputs'!$P$6</f>
        <v>0</v>
      </c>
      <c r="BL3" s="1663"/>
      <c r="BM3" s="1663"/>
      <c r="BN3" s="1663"/>
      <c r="BO3" s="1663"/>
      <c r="BP3" s="1663"/>
      <c r="BQ3" s="1663"/>
      <c r="BR3" s="1663"/>
      <c r="BS3" s="1663"/>
      <c r="BT3" s="1663"/>
      <c r="BU3" s="1663"/>
      <c r="BV3" s="1663"/>
      <c r="BW3" s="1663"/>
      <c r="BX3" s="1663"/>
      <c r="BY3" s="1663"/>
      <c r="BZ3" s="1663"/>
      <c r="CA3" s="1663"/>
      <c r="CB3" s="1663"/>
      <c r="CC3" s="1663"/>
      <c r="CD3" s="1663"/>
      <c r="CE3" s="1663"/>
      <c r="CF3" s="1663"/>
      <c r="CG3" s="1664" t="s">
        <v>851</v>
      </c>
      <c r="CH3" s="85">
        <f>'Customer Inputs'!$P$7</f>
        <v>0</v>
      </c>
      <c r="CI3" s="1663"/>
      <c r="CJ3" s="1663"/>
      <c r="CK3" s="1663"/>
      <c r="CL3" s="1663"/>
      <c r="CM3" s="1663"/>
      <c r="CN3" s="1663"/>
      <c r="CO3" s="1663"/>
      <c r="CP3" s="1663"/>
      <c r="CQ3" s="1663"/>
      <c r="CR3" s="1663"/>
      <c r="CS3" s="1663"/>
      <c r="CT3" s="1663"/>
      <c r="CU3" s="1663"/>
      <c r="CV3" s="1663"/>
      <c r="CW3" s="1663"/>
      <c r="CX3" s="1663"/>
      <c r="CY3" s="1663"/>
      <c r="CZ3" s="1663"/>
      <c r="DA3" s="1663"/>
      <c r="DB3" s="1663"/>
      <c r="DC3" s="1663"/>
      <c r="DD3" s="1664" t="s">
        <v>851</v>
      </c>
      <c r="DE3" s="85">
        <f>'Customer Inputs'!$P$8</f>
        <v>0</v>
      </c>
      <c r="DF3" s="1663"/>
      <c r="DG3" s="1663"/>
      <c r="DH3" s="1663"/>
      <c r="DI3" s="1663"/>
      <c r="DJ3" s="1663"/>
      <c r="DK3" s="1663"/>
      <c r="DL3" s="1663"/>
      <c r="DM3" s="1663"/>
      <c r="DN3" s="1663"/>
      <c r="DO3" s="1663"/>
      <c r="DP3" s="1663"/>
      <c r="DQ3" s="1663"/>
      <c r="DR3" s="1663"/>
      <c r="DS3" s="1663"/>
      <c r="DT3" s="1663"/>
      <c r="DU3" s="1663"/>
      <c r="DV3" s="1663"/>
      <c r="DW3" s="1663"/>
      <c r="DX3" s="1663"/>
      <c r="DY3" s="1663"/>
      <c r="DZ3" s="1663"/>
      <c r="EA3" s="1664" t="s">
        <v>851</v>
      </c>
      <c r="EB3" s="85">
        <f>'Customer Inputs'!$P$9</f>
        <v>0</v>
      </c>
      <c r="EC3" s="1663"/>
      <c r="ED3" s="1663"/>
      <c r="EE3" s="1663"/>
      <c r="EF3" s="1663"/>
      <c r="EG3" s="1663"/>
      <c r="EH3" s="1663"/>
      <c r="EI3" s="1663"/>
      <c r="EJ3" s="1663"/>
      <c r="EK3" s="1663"/>
      <c r="EL3" s="1663"/>
      <c r="EM3" s="1663"/>
      <c r="EN3" s="1663"/>
      <c r="EO3" s="1663"/>
      <c r="EP3" s="1663"/>
      <c r="EQ3" s="1663"/>
      <c r="ER3" s="1663"/>
      <c r="ES3" s="1663"/>
      <c r="ET3" s="1663"/>
      <c r="EU3" s="1663"/>
      <c r="EV3" s="1663"/>
      <c r="EW3" s="1663"/>
      <c r="EX3" s="1664" t="s">
        <v>851</v>
      </c>
      <c r="EY3" s="85">
        <f>'Customer Inputs'!$P$10</f>
        <v>0</v>
      </c>
      <c r="EZ3" s="1663"/>
      <c r="FA3" s="1663"/>
      <c r="FB3" s="1663"/>
      <c r="FC3" s="1663"/>
      <c r="FD3" s="1663"/>
      <c r="FE3" s="1663"/>
      <c r="FF3" s="1663"/>
      <c r="FG3" s="1663"/>
      <c r="FH3" s="1663"/>
      <c r="FI3" s="1663"/>
      <c r="FJ3" s="1663"/>
      <c r="FK3" s="1663"/>
      <c r="FL3" s="1663"/>
      <c r="FM3" s="1663"/>
      <c r="FN3" s="1663"/>
      <c r="FO3" s="1663"/>
      <c r="FP3" s="1663"/>
      <c r="FQ3" s="1663"/>
      <c r="FR3" s="1663"/>
      <c r="FS3" s="1663"/>
      <c r="FT3" s="1663"/>
      <c r="FU3" s="1664" t="s">
        <v>851</v>
      </c>
      <c r="FV3" s="85">
        <f>'Customer Inputs'!$P$11</f>
        <v>0</v>
      </c>
      <c r="FW3" s="1663"/>
      <c r="FX3" s="1663"/>
      <c r="FY3" s="1663"/>
      <c r="FZ3" s="1663"/>
      <c r="GA3" s="1663"/>
      <c r="GB3" s="1663"/>
      <c r="GC3" s="1663"/>
      <c r="GD3" s="1663"/>
      <c r="GE3" s="1663"/>
      <c r="GF3" s="1663"/>
      <c r="GG3" s="1663"/>
      <c r="GH3" s="1663"/>
      <c r="GI3" s="1663"/>
      <c r="GJ3" s="1663"/>
      <c r="GK3" s="1663"/>
      <c r="GL3" s="1663"/>
      <c r="GM3" s="1663"/>
      <c r="GN3" s="1663"/>
      <c r="GO3" s="1663"/>
      <c r="GP3" s="1663"/>
      <c r="GQ3" s="1663"/>
      <c r="GR3" s="1664" t="s">
        <v>851</v>
      </c>
      <c r="GS3" s="85">
        <f>'Customer Inputs'!$P$12</f>
        <v>0</v>
      </c>
      <c r="GT3" s="1663"/>
      <c r="GU3" s="1663"/>
      <c r="GV3" s="1663"/>
      <c r="GW3" s="1663"/>
      <c r="GX3" s="1663"/>
      <c r="GY3" s="1663"/>
      <c r="GZ3" s="1663"/>
      <c r="HA3" s="1663"/>
      <c r="HB3" s="1663"/>
      <c r="HC3" s="1663"/>
      <c r="HD3" s="1663"/>
      <c r="HE3" s="1663"/>
      <c r="HF3" s="1663"/>
      <c r="HG3" s="1663"/>
      <c r="HH3" s="1663"/>
      <c r="HI3" s="1663"/>
      <c r="HJ3" s="1663"/>
      <c r="HK3" s="1663"/>
      <c r="HL3" s="1663"/>
      <c r="HM3" s="1663"/>
      <c r="HN3" s="1663"/>
      <c r="HO3" s="1664" t="s">
        <v>851</v>
      </c>
      <c r="HP3" s="85">
        <f>'Customer Inputs'!$P$13</f>
        <v>0</v>
      </c>
      <c r="HQ3" s="1663"/>
      <c r="HR3" s="1663"/>
      <c r="HS3" s="1663"/>
      <c r="HT3" s="1663"/>
      <c r="HU3" s="1663"/>
      <c r="HV3" s="1663"/>
      <c r="HW3" s="1663"/>
      <c r="HX3" s="1663"/>
      <c r="HY3" s="1663"/>
      <c r="HZ3" s="1663"/>
      <c r="IA3" s="1663"/>
      <c r="IB3" s="1663"/>
      <c r="IC3" s="1663"/>
      <c r="ID3" s="1663"/>
      <c r="IE3" s="1663"/>
      <c r="IF3" s="1663"/>
      <c r="IG3" s="1663"/>
      <c r="IH3" s="1663"/>
      <c r="II3" s="1663"/>
      <c r="IJ3" s="1663"/>
      <c r="IK3" s="1663"/>
      <c r="IL3" s="1664" t="s">
        <v>851</v>
      </c>
      <c r="IM3" s="85">
        <f>'Customer Inputs'!$P$14</f>
        <v>0</v>
      </c>
      <c r="IN3" s="1663"/>
      <c r="IO3" s="1663"/>
      <c r="IP3" s="1663"/>
      <c r="IQ3" s="1663"/>
      <c r="IR3" s="1663"/>
      <c r="IS3" s="1663"/>
      <c r="IT3" s="1663"/>
      <c r="IU3" s="1663"/>
      <c r="IV3" s="1663"/>
      <c r="IW3" s="1663"/>
      <c r="IX3" s="1663"/>
      <c r="IY3" s="1663"/>
      <c r="IZ3" s="1663"/>
      <c r="JA3" s="1663"/>
      <c r="JB3" s="1663"/>
      <c r="JC3" s="1663"/>
      <c r="JD3" s="1663"/>
      <c r="JE3" s="1663"/>
      <c r="JF3" s="1663"/>
      <c r="JG3" s="1663"/>
      <c r="JH3" s="1663"/>
      <c r="JI3" s="1664" t="s">
        <v>851</v>
      </c>
      <c r="JJ3" s="85">
        <f>'Customer Inputs'!$P$15</f>
        <v>0</v>
      </c>
      <c r="JK3" s="1663"/>
      <c r="JL3" s="1663"/>
      <c r="JM3" s="1663"/>
      <c r="JN3" s="1663"/>
      <c r="JO3" s="1663"/>
      <c r="JP3" s="1663"/>
      <c r="JQ3" s="1663"/>
      <c r="JR3" s="1663"/>
      <c r="JS3" s="1663"/>
      <c r="JT3" s="1663"/>
      <c r="JU3" s="1663"/>
      <c r="JV3" s="1663"/>
      <c r="JW3" s="1663"/>
      <c r="JX3" s="1663"/>
      <c r="JY3" s="1663"/>
      <c r="JZ3" s="1663"/>
      <c r="KA3" s="1663"/>
      <c r="KB3" s="1663"/>
      <c r="KC3" s="1663"/>
      <c r="KD3" s="1663"/>
      <c r="KE3" s="1663"/>
      <c r="KF3" s="1664" t="s">
        <v>851</v>
      </c>
      <c r="KG3" s="85">
        <f>'Customer Inputs'!$P$16</f>
        <v>0</v>
      </c>
      <c r="KH3" s="1663"/>
      <c r="KI3" s="1663"/>
      <c r="KJ3" s="1663"/>
      <c r="KK3" s="1663"/>
      <c r="KL3" s="1663"/>
      <c r="KM3" s="1663"/>
      <c r="KN3" s="1663"/>
      <c r="KO3" s="1663"/>
      <c r="KP3" s="1663"/>
      <c r="KQ3" s="1663"/>
      <c r="KR3" s="1663"/>
      <c r="KS3" s="1663"/>
      <c r="KT3" s="1663"/>
      <c r="KU3" s="1663"/>
      <c r="KV3" s="1663"/>
      <c r="KW3" s="1663"/>
      <c r="KX3" s="1663"/>
      <c r="KY3" s="1663"/>
      <c r="KZ3" s="1663"/>
      <c r="LA3" s="1663"/>
      <c r="LB3" s="1663"/>
      <c r="LC3" s="1664" t="s">
        <v>851</v>
      </c>
      <c r="LD3" s="85">
        <f>'Customer Inputs'!$P$17</f>
        <v>0</v>
      </c>
      <c r="LE3" s="1663"/>
      <c r="LF3" s="1663"/>
      <c r="LG3" s="1663"/>
      <c r="LH3" s="1663"/>
      <c r="LI3" s="1663"/>
      <c r="LJ3" s="1663"/>
      <c r="LK3" s="1663"/>
      <c r="LL3" s="1663"/>
      <c r="LM3" s="1663"/>
      <c r="LN3" s="1663"/>
      <c r="LO3" s="1663"/>
      <c r="LP3" s="1663"/>
      <c r="LQ3" s="1663"/>
      <c r="LR3" s="1663"/>
      <c r="LS3" s="1663"/>
      <c r="LT3" s="1663"/>
      <c r="LU3" s="1663"/>
      <c r="LV3" s="1663"/>
      <c r="LW3" s="1663"/>
      <c r="LX3" s="1663"/>
      <c r="LY3" s="1663"/>
      <c r="LZ3" s="1664" t="s">
        <v>851</v>
      </c>
      <c r="MA3" s="85">
        <f>'Customer Inputs'!$P$18</f>
        <v>0</v>
      </c>
      <c r="MB3" s="1663"/>
      <c r="MC3" s="1663"/>
      <c r="MD3" s="1663"/>
      <c r="ME3" s="1663"/>
      <c r="MF3" s="1663"/>
      <c r="MG3" s="1663"/>
      <c r="MH3" s="1663"/>
      <c r="MI3" s="1663"/>
      <c r="MJ3" s="1663"/>
      <c r="MK3" s="1663"/>
      <c r="ML3" s="1663"/>
      <c r="MM3" s="1663"/>
      <c r="MN3" s="1663"/>
      <c r="MO3" s="1663"/>
      <c r="MP3" s="1663"/>
      <c r="MQ3" s="1663"/>
      <c r="MR3" s="1663"/>
      <c r="MS3" s="1663"/>
      <c r="MT3" s="1663"/>
      <c r="MU3" s="1663"/>
      <c r="MV3" s="1663"/>
      <c r="MW3" s="1664" t="s">
        <v>851</v>
      </c>
      <c r="MX3" s="85">
        <f>'Customer Inputs'!$P$19</f>
        <v>0</v>
      </c>
      <c r="MY3" s="1663"/>
      <c r="MZ3" s="1663"/>
      <c r="NA3" s="1663"/>
      <c r="NB3" s="1663"/>
      <c r="NC3" s="1663"/>
      <c r="ND3" s="1663"/>
      <c r="NE3" s="1663"/>
      <c r="NF3" s="1663"/>
      <c r="NG3" s="1663"/>
      <c r="NH3" s="1663"/>
      <c r="NI3" s="1663"/>
      <c r="NJ3" s="1663"/>
      <c r="NK3" s="1663"/>
      <c r="NL3" s="1663"/>
      <c r="NM3" s="1663"/>
      <c r="NN3" s="1663"/>
      <c r="NO3" s="1663"/>
      <c r="NP3" s="1663"/>
      <c r="NQ3" s="1663"/>
      <c r="NR3" s="1663"/>
      <c r="NS3" s="1663"/>
      <c r="NT3" s="1664" t="s">
        <v>851</v>
      </c>
      <c r="NU3" s="85">
        <f>'Customer Inputs'!$P$20</f>
        <v>0</v>
      </c>
      <c r="NV3" s="1663"/>
      <c r="NW3" s="1663"/>
      <c r="NX3" s="1663"/>
      <c r="NY3" s="1663"/>
      <c r="NZ3" s="1663"/>
      <c r="OA3" s="1663"/>
      <c r="OB3" s="1663"/>
      <c r="OC3" s="1663"/>
      <c r="OD3" s="1663"/>
      <c r="OE3" s="1663"/>
      <c r="OF3" s="1663"/>
      <c r="OG3" s="1663"/>
      <c r="OH3" s="1663"/>
      <c r="OI3" s="1663"/>
      <c r="OJ3" s="1663"/>
      <c r="OK3" s="1663"/>
      <c r="OL3" s="1663"/>
      <c r="OM3" s="1663"/>
      <c r="ON3" s="1663"/>
      <c r="OO3" s="1663"/>
      <c r="OP3" s="1663"/>
      <c r="OQ3" s="1664" t="s">
        <v>851</v>
      </c>
      <c r="OR3" s="85">
        <f>'Customer Inputs'!$P$21</f>
        <v>0</v>
      </c>
      <c r="OS3" s="1663"/>
      <c r="OT3" s="1663"/>
      <c r="OU3" s="1663"/>
      <c r="OV3" s="1663"/>
      <c r="OW3" s="1663"/>
      <c r="OX3" s="1663"/>
      <c r="OY3" s="1663"/>
      <c r="OZ3" s="1663"/>
      <c r="PA3" s="1663"/>
      <c r="PB3" s="1663"/>
      <c r="PC3" s="1663"/>
      <c r="PD3" s="1663"/>
      <c r="PE3" s="1663"/>
      <c r="PF3" s="1663"/>
      <c r="PG3" s="1663"/>
      <c r="PH3" s="1663"/>
      <c r="PI3" s="1663"/>
      <c r="PJ3" s="1663"/>
      <c r="PK3" s="1663"/>
      <c r="PL3" s="1663"/>
      <c r="PM3" s="1663"/>
      <c r="PN3" s="1664" t="s">
        <v>851</v>
      </c>
      <c r="PO3" s="85">
        <f>'Customer Inputs'!$P$22</f>
        <v>0</v>
      </c>
      <c r="PP3" s="1663"/>
      <c r="PQ3" s="1663"/>
      <c r="PR3" s="1663"/>
      <c r="PS3" s="1663"/>
      <c r="PT3" s="1663"/>
      <c r="PU3" s="1663"/>
      <c r="PV3" s="1663"/>
      <c r="PW3" s="1663"/>
      <c r="PX3" s="1663"/>
      <c r="PY3" s="1663"/>
      <c r="PZ3" s="1663"/>
      <c r="QA3" s="1663"/>
      <c r="QB3" s="1663"/>
      <c r="QC3" s="1663"/>
      <c r="QD3" s="1663"/>
      <c r="QE3" s="1663"/>
      <c r="QF3" s="1663"/>
      <c r="QG3" s="1663"/>
      <c r="QH3" s="1663"/>
      <c r="QI3" s="1663"/>
      <c r="QJ3" s="1663"/>
      <c r="QK3" s="1664" t="s">
        <v>851</v>
      </c>
      <c r="QL3" s="85">
        <f>'Customer Inputs'!$P$23</f>
        <v>0</v>
      </c>
      <c r="QM3" s="1663"/>
      <c r="QN3" s="1663"/>
      <c r="QO3" s="1663"/>
      <c r="QP3" s="1663"/>
      <c r="QQ3" s="1663"/>
      <c r="QR3" s="1663"/>
      <c r="QS3" s="1663"/>
      <c r="QT3" s="1663"/>
      <c r="QU3" s="1663"/>
      <c r="QV3" s="1663"/>
      <c r="QW3" s="1663"/>
      <c r="QX3" s="1663"/>
      <c r="QY3" s="1663"/>
      <c r="QZ3" s="1663"/>
      <c r="RA3" s="1663"/>
      <c r="RB3" s="1663"/>
      <c r="RC3" s="1663"/>
      <c r="RD3" s="1663"/>
      <c r="RE3" s="1663"/>
      <c r="RF3" s="1663"/>
      <c r="RG3" s="1663"/>
      <c r="RH3" s="1664" t="s">
        <v>851</v>
      </c>
      <c r="RI3" s="85">
        <f>'Customer Inputs'!$P$24</f>
        <v>0</v>
      </c>
      <c r="RJ3" s="1663"/>
      <c r="RK3" s="1663"/>
      <c r="RL3" s="1663"/>
      <c r="RM3" s="1663"/>
      <c r="RN3" s="1663"/>
      <c r="RO3" s="1663"/>
      <c r="RP3" s="1663"/>
      <c r="RQ3" s="1663"/>
      <c r="RR3" s="1663"/>
      <c r="RS3" s="1663"/>
      <c r="RT3" s="1663"/>
      <c r="RU3" s="1663"/>
      <c r="RV3" s="1663"/>
      <c r="RW3" s="1663"/>
      <c r="RX3" s="1663"/>
      <c r="RY3" s="1663"/>
      <c r="RZ3" s="1663"/>
      <c r="SA3" s="1663"/>
      <c r="SB3" s="1663"/>
      <c r="SC3" s="1663"/>
      <c r="SD3" s="1663"/>
      <c r="SE3" s="1664" t="s">
        <v>851</v>
      </c>
      <c r="SF3" s="85">
        <f>'Customer Inputs'!$P$25</f>
        <v>0</v>
      </c>
      <c r="SG3" s="1663"/>
      <c r="SH3" s="1663"/>
      <c r="SI3" s="1663"/>
      <c r="SJ3" s="1663"/>
      <c r="SK3" s="1663"/>
      <c r="SL3" s="1663"/>
      <c r="SM3" s="1663"/>
      <c r="SN3" s="1663"/>
      <c r="SO3" s="1663"/>
      <c r="SP3" s="1663"/>
      <c r="SQ3" s="1663"/>
      <c r="SR3" s="1663"/>
      <c r="SS3" s="1663"/>
      <c r="ST3" s="1663"/>
      <c r="SU3" s="1663"/>
      <c r="SV3" s="1663"/>
      <c r="SW3" s="1663"/>
      <c r="SX3" s="1663"/>
      <c r="SY3" s="1663"/>
      <c r="SZ3" s="1663"/>
      <c r="TA3" s="1663"/>
      <c r="TB3" s="1663"/>
      <c r="TC3" s="1663"/>
      <c r="TD3" s="1663"/>
      <c r="TE3" s="1663"/>
      <c r="TF3" s="1663"/>
      <c r="TG3" s="1663"/>
      <c r="TH3" s="1663"/>
      <c r="TI3" s="1663"/>
      <c r="TJ3" s="1663"/>
      <c r="TK3" s="1663"/>
      <c r="TL3" s="1663"/>
      <c r="TM3" s="1663"/>
      <c r="TN3" s="1663"/>
      <c r="TO3" s="1663"/>
      <c r="TP3" s="1663"/>
      <c r="TQ3" s="1663"/>
      <c r="TR3" s="1663"/>
    </row>
    <row r="4" spans="1:538" x14ac:dyDescent="0.25">
      <c r="A4" s="1663"/>
      <c r="B4" s="1663"/>
      <c r="C4" s="1663"/>
      <c r="D4" s="1663"/>
      <c r="E4" s="1663"/>
      <c r="F4" s="1663"/>
      <c r="G4" s="1663"/>
      <c r="H4" s="1663"/>
      <c r="I4" s="1663"/>
      <c r="J4" s="1663"/>
      <c r="K4" s="1663"/>
      <c r="L4" s="1663"/>
      <c r="M4" s="1663"/>
      <c r="N4" s="1663"/>
      <c r="O4" s="1663"/>
      <c r="P4" s="1663"/>
      <c r="Q4" s="1663"/>
      <c r="R4" s="1663"/>
      <c r="S4" s="1663"/>
      <c r="T4" s="1663"/>
      <c r="U4" s="1663"/>
      <c r="V4" s="1663"/>
      <c r="W4" s="1663"/>
      <c r="X4" s="1663"/>
      <c r="Y4" s="1663"/>
      <c r="Z4" s="1663"/>
      <c r="AA4" s="1663"/>
      <c r="AB4" s="1663"/>
      <c r="AC4" s="1664"/>
      <c r="AD4" s="1664"/>
      <c r="AE4" s="1663"/>
      <c r="AF4" s="1663"/>
      <c r="AG4" s="1663"/>
      <c r="AH4" s="1663"/>
      <c r="AI4" s="1663"/>
      <c r="AJ4" s="1663"/>
      <c r="AK4" s="1663"/>
      <c r="AL4" s="1663"/>
      <c r="AM4" s="1663"/>
      <c r="AN4" s="1663"/>
      <c r="AO4" s="1663"/>
      <c r="AP4" s="1663"/>
      <c r="AQ4" s="1663"/>
      <c r="AR4" s="1663"/>
      <c r="AS4" s="1663"/>
      <c r="AT4" s="1663"/>
      <c r="AU4" s="1663"/>
      <c r="AV4" s="1663"/>
      <c r="AW4" s="1663"/>
      <c r="AX4" s="1663"/>
      <c r="AY4" s="1663"/>
      <c r="AZ4" s="1663"/>
      <c r="BA4" s="1663"/>
      <c r="BB4" s="1663"/>
      <c r="BC4" s="1663"/>
      <c r="BD4" s="1663"/>
      <c r="BE4" s="1663"/>
      <c r="BF4" s="1663"/>
      <c r="BG4" s="1663"/>
      <c r="BH4" s="1663"/>
      <c r="BI4" s="1663"/>
      <c r="BJ4" s="1664" t="s">
        <v>854</v>
      </c>
      <c r="BK4" s="293" t="e">
        <f>BK3/BK2</f>
        <v>#VALUE!</v>
      </c>
      <c r="BL4" s="1663"/>
      <c r="BM4" s="1663"/>
      <c r="BN4" s="1663"/>
      <c r="BO4" s="1663"/>
      <c r="BP4" s="1663"/>
      <c r="BQ4" s="1663"/>
      <c r="BR4" s="1663"/>
      <c r="BS4" s="1663"/>
      <c r="BT4" s="1663"/>
      <c r="BU4" s="1663"/>
      <c r="BV4" s="1663"/>
      <c r="BW4" s="1663"/>
      <c r="BX4" s="1663"/>
      <c r="BY4" s="1663"/>
      <c r="BZ4" s="1663"/>
      <c r="CA4" s="1663"/>
      <c r="CB4" s="1663"/>
      <c r="CC4" s="1663"/>
      <c r="CD4" s="1663"/>
      <c r="CE4" s="1663"/>
      <c r="CF4" s="1663"/>
      <c r="CG4" s="1664" t="s">
        <v>854</v>
      </c>
      <c r="CH4" s="293" t="e">
        <f>CH3/CH2</f>
        <v>#VALUE!</v>
      </c>
      <c r="CI4" s="1663"/>
      <c r="CJ4" s="1663"/>
      <c r="CK4" s="1663"/>
      <c r="CL4" s="1663"/>
      <c r="CM4" s="1663"/>
      <c r="CN4" s="1663"/>
      <c r="CO4" s="1663"/>
      <c r="CP4" s="1663"/>
      <c r="CQ4" s="1663"/>
      <c r="CR4" s="1663"/>
      <c r="CS4" s="1663"/>
      <c r="CT4" s="1663"/>
      <c r="CU4" s="1663"/>
      <c r="CV4" s="1663"/>
      <c r="CW4" s="1663"/>
      <c r="CX4" s="1663"/>
      <c r="CY4" s="1663"/>
      <c r="CZ4" s="1663"/>
      <c r="DA4" s="1663"/>
      <c r="DB4" s="1663"/>
      <c r="DC4" s="1663"/>
      <c r="DD4" s="1664" t="s">
        <v>854</v>
      </c>
      <c r="DE4" s="293" t="e">
        <f>DE3/DE2</f>
        <v>#VALUE!</v>
      </c>
      <c r="DF4" s="1663"/>
      <c r="DG4" s="1663"/>
      <c r="DH4" s="1663"/>
      <c r="DI4" s="1663"/>
      <c r="DJ4" s="1663"/>
      <c r="DK4" s="1663"/>
      <c r="DL4" s="1663"/>
      <c r="DM4" s="1663"/>
      <c r="DN4" s="1663"/>
      <c r="DO4" s="1663"/>
      <c r="DP4" s="1663"/>
      <c r="DQ4" s="1663"/>
      <c r="DR4" s="1663"/>
      <c r="DS4" s="1663"/>
      <c r="DT4" s="1663"/>
      <c r="DU4" s="1663"/>
      <c r="DV4" s="1663"/>
      <c r="DW4" s="1663"/>
      <c r="DX4" s="1663"/>
      <c r="DY4" s="1663"/>
      <c r="DZ4" s="1663"/>
      <c r="EA4" s="1664" t="s">
        <v>854</v>
      </c>
      <c r="EB4" s="293" t="e">
        <f>EB3/EB2</f>
        <v>#VALUE!</v>
      </c>
      <c r="EC4" s="1663"/>
      <c r="ED4" s="1663"/>
      <c r="EE4" s="1663"/>
      <c r="EF4" s="1663"/>
      <c r="EG4" s="1663"/>
      <c r="EH4" s="1663"/>
      <c r="EI4" s="1663"/>
      <c r="EJ4" s="1663"/>
      <c r="EK4" s="1663"/>
      <c r="EL4" s="1663"/>
      <c r="EM4" s="1663"/>
      <c r="EN4" s="1663"/>
      <c r="EO4" s="1663"/>
      <c r="EP4" s="1663"/>
      <c r="EQ4" s="1663"/>
      <c r="ER4" s="1663"/>
      <c r="ES4" s="1663"/>
      <c r="ET4" s="1663"/>
      <c r="EU4" s="1663"/>
      <c r="EV4" s="1663"/>
      <c r="EW4" s="1663"/>
      <c r="EX4" s="1664" t="s">
        <v>854</v>
      </c>
      <c r="EY4" s="293" t="e">
        <f>EY3/EY2</f>
        <v>#VALUE!</v>
      </c>
      <c r="EZ4" s="1663"/>
      <c r="FA4" s="1663"/>
      <c r="FB4" s="1663"/>
      <c r="FC4" s="1663"/>
      <c r="FD4" s="1663"/>
      <c r="FE4" s="1663"/>
      <c r="FF4" s="1663"/>
      <c r="FG4" s="1663"/>
      <c r="FH4" s="1663"/>
      <c r="FI4" s="1663"/>
      <c r="FJ4" s="1663"/>
      <c r="FK4" s="1663"/>
      <c r="FL4" s="1663"/>
      <c r="FM4" s="1663"/>
      <c r="FN4" s="1663"/>
      <c r="FO4" s="1663"/>
      <c r="FP4" s="1663"/>
      <c r="FQ4" s="1663"/>
      <c r="FR4" s="1663"/>
      <c r="FS4" s="1663"/>
      <c r="FT4" s="1663"/>
      <c r="FU4" s="1664" t="s">
        <v>854</v>
      </c>
      <c r="FV4" s="293" t="e">
        <f>FV3/FV2</f>
        <v>#VALUE!</v>
      </c>
      <c r="FW4" s="1663"/>
      <c r="FX4" s="1663"/>
      <c r="FY4" s="1663"/>
      <c r="FZ4" s="1663"/>
      <c r="GA4" s="1663"/>
      <c r="GB4" s="1663"/>
      <c r="GC4" s="1663"/>
      <c r="GD4" s="1663"/>
      <c r="GE4" s="1663"/>
      <c r="GF4" s="1663"/>
      <c r="GG4" s="1663"/>
      <c r="GH4" s="1663"/>
      <c r="GI4" s="1663"/>
      <c r="GJ4" s="1663"/>
      <c r="GK4" s="1663"/>
      <c r="GL4" s="1663"/>
      <c r="GM4" s="1663"/>
      <c r="GN4" s="1663"/>
      <c r="GO4" s="1663"/>
      <c r="GP4" s="1663"/>
      <c r="GQ4" s="1663"/>
      <c r="GR4" s="1664" t="s">
        <v>854</v>
      </c>
      <c r="GS4" s="293" t="e">
        <f>GS3/GS2</f>
        <v>#VALUE!</v>
      </c>
      <c r="GT4" s="1663"/>
      <c r="GU4" s="1663"/>
      <c r="GV4" s="1663"/>
      <c r="GW4" s="1663"/>
      <c r="GX4" s="1663"/>
      <c r="GY4" s="1663"/>
      <c r="GZ4" s="1663"/>
      <c r="HA4" s="1663"/>
      <c r="HB4" s="1663"/>
      <c r="HC4" s="1663"/>
      <c r="HD4" s="1663"/>
      <c r="HE4" s="1663"/>
      <c r="HF4" s="1663"/>
      <c r="HG4" s="1663"/>
      <c r="HH4" s="1663"/>
      <c r="HI4" s="1663"/>
      <c r="HJ4" s="1663"/>
      <c r="HK4" s="1663"/>
      <c r="HL4" s="1663"/>
      <c r="HM4" s="1663"/>
      <c r="HN4" s="1663"/>
      <c r="HO4" s="1664" t="s">
        <v>854</v>
      </c>
      <c r="HP4" s="293" t="e">
        <f>HP3/HP2</f>
        <v>#VALUE!</v>
      </c>
      <c r="HQ4" s="1663"/>
      <c r="HR4" s="1663"/>
      <c r="HS4" s="1663"/>
      <c r="HT4" s="1663"/>
      <c r="HU4" s="1663"/>
      <c r="HV4" s="1663"/>
      <c r="HW4" s="1663"/>
      <c r="HX4" s="1663"/>
      <c r="HY4" s="1663"/>
      <c r="HZ4" s="1663"/>
      <c r="IA4" s="1663"/>
      <c r="IB4" s="1663"/>
      <c r="IC4" s="1663"/>
      <c r="ID4" s="1663"/>
      <c r="IE4" s="1663"/>
      <c r="IF4" s="1663"/>
      <c r="IG4" s="1663"/>
      <c r="IH4" s="1663"/>
      <c r="II4" s="1663"/>
      <c r="IJ4" s="1663"/>
      <c r="IK4" s="1663"/>
      <c r="IL4" s="1664" t="s">
        <v>854</v>
      </c>
      <c r="IM4" s="293" t="e">
        <f>IM3/IM2</f>
        <v>#VALUE!</v>
      </c>
      <c r="IN4" s="1663"/>
      <c r="IO4" s="1663"/>
      <c r="IP4" s="1663"/>
      <c r="IQ4" s="1663"/>
      <c r="IR4" s="1663"/>
      <c r="IS4" s="1663"/>
      <c r="IT4" s="1663"/>
      <c r="IU4" s="1663"/>
      <c r="IV4" s="1663"/>
      <c r="IW4" s="1663"/>
      <c r="IX4" s="1663"/>
      <c r="IY4" s="1663"/>
      <c r="IZ4" s="1663"/>
      <c r="JA4" s="1663"/>
      <c r="JB4" s="1663"/>
      <c r="JC4" s="1663"/>
      <c r="JD4" s="1663"/>
      <c r="JE4" s="1663"/>
      <c r="JF4" s="1663"/>
      <c r="JG4" s="1663"/>
      <c r="JH4" s="1663"/>
      <c r="JI4" s="1664" t="s">
        <v>854</v>
      </c>
      <c r="JJ4" s="293" t="e">
        <f>JJ3/JJ2</f>
        <v>#VALUE!</v>
      </c>
      <c r="JK4" s="1663"/>
      <c r="JL4" s="1663"/>
      <c r="JM4" s="1663"/>
      <c r="JN4" s="1663"/>
      <c r="JO4" s="1663"/>
      <c r="JP4" s="1663"/>
      <c r="JQ4" s="1663"/>
      <c r="JR4" s="1663"/>
      <c r="JS4" s="1663"/>
      <c r="JT4" s="1663"/>
      <c r="JU4" s="1663"/>
      <c r="JV4" s="1663"/>
      <c r="JW4" s="1663"/>
      <c r="JX4" s="1663"/>
      <c r="JY4" s="1663"/>
      <c r="JZ4" s="1663"/>
      <c r="KA4" s="1663"/>
      <c r="KB4" s="1663"/>
      <c r="KC4" s="1663"/>
      <c r="KD4" s="1663"/>
      <c r="KE4" s="1663"/>
      <c r="KF4" s="1664" t="s">
        <v>854</v>
      </c>
      <c r="KG4" s="293" t="e">
        <f>KG3/KG2</f>
        <v>#VALUE!</v>
      </c>
      <c r="KH4" s="1663"/>
      <c r="KI4" s="1663"/>
      <c r="KJ4" s="1663"/>
      <c r="KK4" s="1663"/>
      <c r="KL4" s="1663"/>
      <c r="KM4" s="1663"/>
      <c r="KN4" s="1663"/>
      <c r="KO4" s="1663"/>
      <c r="KP4" s="1663"/>
      <c r="KQ4" s="1663"/>
      <c r="KR4" s="1663"/>
      <c r="KS4" s="1663"/>
      <c r="KT4" s="1663"/>
      <c r="KU4" s="1663"/>
      <c r="KV4" s="1663"/>
      <c r="KW4" s="1663"/>
      <c r="KX4" s="1663"/>
      <c r="KY4" s="1663"/>
      <c r="KZ4" s="1663"/>
      <c r="LA4" s="1663"/>
      <c r="LB4" s="1663"/>
      <c r="LC4" s="1664" t="s">
        <v>854</v>
      </c>
      <c r="LD4" s="293" t="e">
        <f>LD3/LD2</f>
        <v>#VALUE!</v>
      </c>
      <c r="LE4" s="1663"/>
      <c r="LF4" s="1663"/>
      <c r="LG4" s="1663"/>
      <c r="LH4" s="1663"/>
      <c r="LI4" s="1663"/>
      <c r="LJ4" s="1663"/>
      <c r="LK4" s="1663"/>
      <c r="LL4" s="1663"/>
      <c r="LM4" s="1663"/>
      <c r="LN4" s="1663"/>
      <c r="LO4" s="1663"/>
      <c r="LP4" s="1663"/>
      <c r="LQ4" s="1663"/>
      <c r="LR4" s="1663"/>
      <c r="LS4" s="1663"/>
      <c r="LT4" s="1663"/>
      <c r="LU4" s="1663"/>
      <c r="LV4" s="1663"/>
      <c r="LW4" s="1663"/>
      <c r="LX4" s="1663"/>
      <c r="LY4" s="1663"/>
      <c r="LZ4" s="1664" t="s">
        <v>854</v>
      </c>
      <c r="MA4" s="293" t="e">
        <f>MA3/MA2</f>
        <v>#VALUE!</v>
      </c>
      <c r="MB4" s="1663"/>
      <c r="MC4" s="1663"/>
      <c r="MD4" s="1663"/>
      <c r="ME4" s="1663"/>
      <c r="MF4" s="1663"/>
      <c r="MG4" s="1663"/>
      <c r="MH4" s="1663"/>
      <c r="MI4" s="1663"/>
      <c r="MJ4" s="1663"/>
      <c r="MK4" s="1663"/>
      <c r="ML4" s="1663"/>
      <c r="MM4" s="1663"/>
      <c r="MN4" s="1663"/>
      <c r="MO4" s="1663"/>
      <c r="MP4" s="1663"/>
      <c r="MQ4" s="1663"/>
      <c r="MR4" s="1663"/>
      <c r="MS4" s="1663"/>
      <c r="MT4" s="1663"/>
      <c r="MU4" s="1663"/>
      <c r="MV4" s="1663"/>
      <c r="MW4" s="1664" t="s">
        <v>854</v>
      </c>
      <c r="MX4" s="293" t="e">
        <f>MX3/MX2</f>
        <v>#VALUE!</v>
      </c>
      <c r="MY4" s="1663"/>
      <c r="MZ4" s="1663"/>
      <c r="NA4" s="1663"/>
      <c r="NB4" s="1663"/>
      <c r="NC4" s="1663"/>
      <c r="ND4" s="1663"/>
      <c r="NE4" s="1663"/>
      <c r="NF4" s="1663"/>
      <c r="NG4" s="1663"/>
      <c r="NH4" s="1663"/>
      <c r="NI4" s="1663"/>
      <c r="NJ4" s="1663"/>
      <c r="NK4" s="1663"/>
      <c r="NL4" s="1663"/>
      <c r="NM4" s="1663"/>
      <c r="NN4" s="1663"/>
      <c r="NO4" s="1663"/>
      <c r="NP4" s="1663"/>
      <c r="NQ4" s="1663"/>
      <c r="NR4" s="1663"/>
      <c r="NS4" s="1663"/>
      <c r="NT4" s="1664" t="s">
        <v>854</v>
      </c>
      <c r="NU4" s="293" t="e">
        <f>NU3/NU2</f>
        <v>#VALUE!</v>
      </c>
      <c r="NV4" s="1663"/>
      <c r="NW4" s="1663"/>
      <c r="NX4" s="1663"/>
      <c r="NY4" s="1663"/>
      <c r="NZ4" s="1663"/>
      <c r="OA4" s="1663"/>
      <c r="OB4" s="1663"/>
      <c r="OC4" s="1663"/>
      <c r="OD4" s="1663"/>
      <c r="OE4" s="1663"/>
      <c r="OF4" s="1663"/>
      <c r="OG4" s="1663"/>
      <c r="OH4" s="1663"/>
      <c r="OI4" s="1663"/>
      <c r="OJ4" s="1663"/>
      <c r="OK4" s="1663"/>
      <c r="OL4" s="1663"/>
      <c r="OM4" s="1663"/>
      <c r="ON4" s="1663"/>
      <c r="OO4" s="1663"/>
      <c r="OP4" s="1663"/>
      <c r="OQ4" s="1664" t="s">
        <v>854</v>
      </c>
      <c r="OR4" s="293" t="e">
        <f>OR3/OR2</f>
        <v>#VALUE!</v>
      </c>
      <c r="OS4" s="1663"/>
      <c r="OT4" s="1663"/>
      <c r="OU4" s="1663"/>
      <c r="OV4" s="1663"/>
      <c r="OW4" s="1663"/>
      <c r="OX4" s="1663"/>
      <c r="OY4" s="1663"/>
      <c r="OZ4" s="1663"/>
      <c r="PA4" s="1663"/>
      <c r="PB4" s="1663"/>
      <c r="PC4" s="1663"/>
      <c r="PD4" s="1663"/>
      <c r="PE4" s="1663"/>
      <c r="PF4" s="1663"/>
      <c r="PG4" s="1663"/>
      <c r="PH4" s="1663"/>
      <c r="PI4" s="1663"/>
      <c r="PJ4" s="1663"/>
      <c r="PK4" s="1663"/>
      <c r="PL4" s="1663"/>
      <c r="PM4" s="1663"/>
      <c r="PN4" s="1664" t="s">
        <v>854</v>
      </c>
      <c r="PO4" s="293" t="e">
        <f>PO3/PO2</f>
        <v>#VALUE!</v>
      </c>
      <c r="PP4" s="1663"/>
      <c r="PQ4" s="1663"/>
      <c r="PR4" s="1663"/>
      <c r="PS4" s="1663"/>
      <c r="PT4" s="1663"/>
      <c r="PU4" s="1663"/>
      <c r="PV4" s="1663"/>
      <c r="PW4" s="1663"/>
      <c r="PX4" s="1663"/>
      <c r="PY4" s="1663"/>
      <c r="PZ4" s="1663"/>
      <c r="QA4" s="1663"/>
      <c r="QB4" s="1663"/>
      <c r="QC4" s="1663"/>
      <c r="QD4" s="1663"/>
      <c r="QE4" s="1663"/>
      <c r="QF4" s="1663"/>
      <c r="QG4" s="1663"/>
      <c r="QH4" s="1663"/>
      <c r="QI4" s="1663"/>
      <c r="QJ4" s="1663"/>
      <c r="QK4" s="1664" t="s">
        <v>854</v>
      </c>
      <c r="QL4" s="293" t="e">
        <f>QL3/QL2</f>
        <v>#VALUE!</v>
      </c>
      <c r="QM4" s="1663"/>
      <c r="QN4" s="1663"/>
      <c r="QO4" s="1663"/>
      <c r="QP4" s="1663"/>
      <c r="QQ4" s="1663"/>
      <c r="QR4" s="1663"/>
      <c r="QS4" s="1663"/>
      <c r="QT4" s="1663"/>
      <c r="QU4" s="1663"/>
      <c r="QV4" s="1663"/>
      <c r="QW4" s="1663"/>
      <c r="QX4" s="1663"/>
      <c r="QY4" s="1663"/>
      <c r="QZ4" s="1663"/>
      <c r="RA4" s="1663"/>
      <c r="RB4" s="1663"/>
      <c r="RC4" s="1663"/>
      <c r="RD4" s="1663"/>
      <c r="RE4" s="1663"/>
      <c r="RF4" s="1663"/>
      <c r="RG4" s="1663"/>
      <c r="RH4" s="1664" t="s">
        <v>854</v>
      </c>
      <c r="RI4" s="293" t="e">
        <f>RI3/RI2</f>
        <v>#VALUE!</v>
      </c>
      <c r="RJ4" s="1663"/>
      <c r="RK4" s="1663"/>
      <c r="RL4" s="1663"/>
      <c r="RM4" s="1663"/>
      <c r="RN4" s="1663"/>
      <c r="RO4" s="1663"/>
      <c r="RP4" s="1663"/>
      <c r="RQ4" s="1663"/>
      <c r="RR4" s="1663"/>
      <c r="RS4" s="1663"/>
      <c r="RT4" s="1663"/>
      <c r="RU4" s="1663"/>
      <c r="RV4" s="1663"/>
      <c r="RW4" s="1663"/>
      <c r="RX4" s="1663"/>
      <c r="RY4" s="1663"/>
      <c r="RZ4" s="1663"/>
      <c r="SA4" s="1663"/>
      <c r="SB4" s="1663"/>
      <c r="SC4" s="1663"/>
      <c r="SD4" s="1663"/>
      <c r="SE4" s="1664" t="s">
        <v>854</v>
      </c>
      <c r="SF4" s="293" t="e">
        <f>SF3/SF2</f>
        <v>#VALUE!</v>
      </c>
      <c r="SG4" s="1663"/>
      <c r="SH4" s="1663"/>
      <c r="SI4" s="1663"/>
      <c r="SJ4" s="1663"/>
      <c r="SK4" s="1663"/>
      <c r="SL4" s="1663"/>
      <c r="SM4" s="1663"/>
      <c r="SN4" s="1663"/>
      <c r="SO4" s="1663"/>
      <c r="SP4" s="1663"/>
      <c r="SQ4" s="1663"/>
      <c r="SR4" s="1663"/>
      <c r="SS4" s="1663"/>
      <c r="ST4" s="1663"/>
      <c r="SU4" s="1663"/>
      <c r="SV4" s="1663"/>
      <c r="SW4" s="1663"/>
      <c r="SX4" s="1663"/>
      <c r="SY4" s="1663"/>
      <c r="SZ4" s="1663"/>
      <c r="TA4" s="1663"/>
      <c r="TB4" s="1663"/>
      <c r="TC4" s="1663"/>
      <c r="TD4" s="1663"/>
      <c r="TE4" s="1663"/>
      <c r="TF4" s="1663"/>
      <c r="TG4" s="1663"/>
      <c r="TH4" s="1663"/>
      <c r="TI4" s="1663"/>
      <c r="TJ4" s="1663"/>
      <c r="TK4" s="1663"/>
      <c r="TL4" s="1663"/>
      <c r="TM4" s="1663"/>
      <c r="TN4" s="1663"/>
      <c r="TO4" s="1663"/>
      <c r="TP4" s="1663"/>
      <c r="TQ4" s="1663"/>
      <c r="TR4" s="1663"/>
    </row>
    <row r="5" spans="1:538" x14ac:dyDescent="0.25">
      <c r="A5" s="1663"/>
      <c r="B5" s="1663"/>
      <c r="C5" s="1663"/>
      <c r="D5" s="1663"/>
      <c r="E5" s="1663"/>
      <c r="F5" s="1663"/>
      <c r="G5" s="1663"/>
      <c r="H5" s="1663"/>
      <c r="I5" s="1663"/>
      <c r="J5" s="1663"/>
      <c r="K5" s="1663"/>
      <c r="L5" s="1663"/>
      <c r="M5" s="1663"/>
      <c r="N5" s="1663"/>
      <c r="O5" s="1663"/>
      <c r="P5" s="1663"/>
      <c r="Q5" s="1663"/>
      <c r="R5" s="1663"/>
      <c r="S5" s="1663"/>
      <c r="T5" s="1663"/>
      <c r="U5" s="1663"/>
      <c r="V5" s="1663"/>
      <c r="W5" s="1663"/>
      <c r="X5" s="1663"/>
      <c r="Y5" s="1663"/>
      <c r="Z5" s="1663"/>
      <c r="AA5" s="1663"/>
      <c r="AB5" s="1663"/>
      <c r="AC5" s="2102" t="s">
        <v>805</v>
      </c>
      <c r="AD5" s="2102"/>
      <c r="AE5" s="1663">
        <f>COUNT(BK1,CH1,DE1,EB1,EY1,FV1,GS1,HP1,IM1,JJ1,KG1,LD1,MA1,MX1,NU1,OR1,PO1,QL1,RI1,SF1)</f>
        <v>20</v>
      </c>
      <c r="AF5" s="1663"/>
      <c r="AG5" s="1663"/>
      <c r="AH5" s="1663"/>
      <c r="AI5" s="1663"/>
      <c r="AJ5" s="1663"/>
      <c r="AK5" s="1663"/>
      <c r="AL5" s="1663"/>
      <c r="AM5" s="1663"/>
      <c r="AN5" s="1663"/>
      <c r="AO5" s="1663"/>
      <c r="AP5" s="1663"/>
      <c r="AQ5" s="1663"/>
      <c r="AR5" s="1663"/>
      <c r="AS5" s="1663"/>
      <c r="AT5" s="1663"/>
      <c r="AU5" s="1663"/>
      <c r="AV5" s="1663"/>
      <c r="AW5" s="1663"/>
      <c r="AX5" s="1663"/>
      <c r="AY5" s="1663"/>
      <c r="AZ5" s="1663"/>
      <c r="BA5" s="1663"/>
      <c r="BB5" s="1663"/>
      <c r="BC5" s="1663"/>
      <c r="BD5" s="1663"/>
      <c r="BE5" s="1663"/>
      <c r="BF5" s="1663"/>
      <c r="BG5" s="1663"/>
      <c r="BH5" s="1663"/>
      <c r="BI5" s="1663"/>
      <c r="BJ5" s="1664" t="s">
        <v>879</v>
      </c>
      <c r="BK5" s="1663">
        <f>IFERROR(VLOOKUP(BK$1,'Existing Customers'!$A:$AD,30,FALSE),BK6)</f>
        <v>0</v>
      </c>
      <c r="BL5" s="1663"/>
      <c r="BM5" s="1663"/>
      <c r="BN5" s="1663"/>
      <c r="BO5" s="1663"/>
      <c r="BP5" s="1663"/>
      <c r="BQ5" s="1663"/>
      <c r="BR5" s="1663"/>
      <c r="BS5" s="1663"/>
      <c r="BT5" s="1663"/>
      <c r="BU5" s="1663"/>
      <c r="BV5" s="1663"/>
      <c r="BW5" s="1663"/>
      <c r="BX5" s="1663"/>
      <c r="BY5" s="1663"/>
      <c r="BZ5" s="1663"/>
      <c r="CA5" s="1663"/>
      <c r="CB5" s="1663"/>
      <c r="CC5" s="1663"/>
      <c r="CD5" s="1663"/>
      <c r="CE5" s="1663"/>
      <c r="CF5" s="1663"/>
      <c r="CG5" s="1664" t="s">
        <v>879</v>
      </c>
      <c r="CH5" s="1663">
        <f>IFERROR(VLOOKUP(CH$1,'Existing Customers'!$A:$AD,30,FALSE),CH6)</f>
        <v>0</v>
      </c>
      <c r="CI5" s="1663"/>
      <c r="CJ5" s="1663"/>
      <c r="CK5" s="1663"/>
      <c r="CL5" s="1663"/>
      <c r="CM5" s="1663"/>
      <c r="CN5" s="1663"/>
      <c r="CO5" s="1663"/>
      <c r="CP5" s="1663"/>
      <c r="CQ5" s="1663"/>
      <c r="CR5" s="1663"/>
      <c r="CS5" s="1663"/>
      <c r="CT5" s="1663"/>
      <c r="CU5" s="1663"/>
      <c r="CV5" s="1663"/>
      <c r="CW5" s="1663"/>
      <c r="CX5" s="1663"/>
      <c r="CY5" s="1663"/>
      <c r="CZ5" s="1663"/>
      <c r="DA5" s="1663"/>
      <c r="DB5" s="1663"/>
      <c r="DC5" s="1663"/>
      <c r="DD5" s="1664" t="s">
        <v>879</v>
      </c>
      <c r="DE5" s="1663">
        <f>IFERROR(VLOOKUP(DE$1,'Existing Customers'!$A:$AD,30,FALSE),DE6)</f>
        <v>0</v>
      </c>
      <c r="DF5" s="1663"/>
      <c r="DG5" s="1663"/>
      <c r="DH5" s="1663"/>
      <c r="DI5" s="1663"/>
      <c r="DJ5" s="1663"/>
      <c r="DK5" s="1663"/>
      <c r="DL5" s="1663"/>
      <c r="DM5" s="1663"/>
      <c r="DN5" s="1663"/>
      <c r="DO5" s="1663"/>
      <c r="DP5" s="1663"/>
      <c r="DQ5" s="1663"/>
      <c r="DR5" s="1663"/>
      <c r="DS5" s="1663"/>
      <c r="DT5" s="1663"/>
      <c r="DU5" s="1663"/>
      <c r="DV5" s="1663"/>
      <c r="DW5" s="1663"/>
      <c r="DX5" s="1663"/>
      <c r="DY5" s="1663"/>
      <c r="DZ5" s="1663"/>
      <c r="EA5" s="1664" t="s">
        <v>879</v>
      </c>
      <c r="EB5" s="1663">
        <f>IFERROR(VLOOKUP(EB$1,'Existing Customers'!$A:$AD,30,FALSE),EB6)</f>
        <v>0</v>
      </c>
      <c r="EC5" s="1663"/>
      <c r="ED5" s="1663"/>
      <c r="EE5" s="1663"/>
      <c r="EF5" s="1663"/>
      <c r="EG5" s="1663"/>
      <c r="EH5" s="1663"/>
      <c r="EI5" s="1663"/>
      <c r="EJ5" s="1663"/>
      <c r="EK5" s="1663"/>
      <c r="EL5" s="1663"/>
      <c r="EM5" s="1663"/>
      <c r="EN5" s="1663"/>
      <c r="EO5" s="1663"/>
      <c r="EP5" s="1663"/>
      <c r="EQ5" s="1663"/>
      <c r="ER5" s="1663"/>
      <c r="ES5" s="1663"/>
      <c r="ET5" s="1663"/>
      <c r="EU5" s="1663"/>
      <c r="EV5" s="1663"/>
      <c r="EW5" s="1663"/>
      <c r="EX5" s="1664" t="s">
        <v>879</v>
      </c>
      <c r="EY5" s="1663">
        <f>IFERROR(VLOOKUP(EY$1,'Existing Customers'!$A:$AD,30,FALSE),EY6)</f>
        <v>0</v>
      </c>
      <c r="EZ5" s="1663"/>
      <c r="FA5" s="1663"/>
      <c r="FB5" s="1663"/>
      <c r="FC5" s="1663"/>
      <c r="FD5" s="1663"/>
      <c r="FE5" s="1663"/>
      <c r="FF5" s="1663"/>
      <c r="FG5" s="1663"/>
      <c r="FH5" s="1663"/>
      <c r="FI5" s="1663"/>
      <c r="FJ5" s="1663"/>
      <c r="FK5" s="1663"/>
      <c r="FL5" s="1663"/>
      <c r="FM5" s="1663"/>
      <c r="FN5" s="1663"/>
      <c r="FO5" s="1663"/>
      <c r="FP5" s="1663"/>
      <c r="FQ5" s="1663"/>
      <c r="FR5" s="1663"/>
      <c r="FS5" s="1663"/>
      <c r="FT5" s="1663"/>
      <c r="FU5" s="1664" t="s">
        <v>879</v>
      </c>
      <c r="FV5" s="1663">
        <f>IFERROR(VLOOKUP(FV$1,'Existing Customers'!$A:$AD,30,FALSE),FV6)</f>
        <v>0</v>
      </c>
      <c r="FW5" s="1663"/>
      <c r="FX5" s="1663"/>
      <c r="FY5" s="1663"/>
      <c r="FZ5" s="1663"/>
      <c r="GA5" s="1663"/>
      <c r="GB5" s="1663"/>
      <c r="GC5" s="1663"/>
      <c r="GD5" s="1663"/>
      <c r="GE5" s="1663"/>
      <c r="GF5" s="1663"/>
      <c r="GG5" s="1663"/>
      <c r="GH5" s="1663"/>
      <c r="GI5" s="1663"/>
      <c r="GJ5" s="1663"/>
      <c r="GK5" s="1663"/>
      <c r="GL5" s="1663"/>
      <c r="GM5" s="1663"/>
      <c r="GN5" s="1663"/>
      <c r="GO5" s="1663"/>
      <c r="GP5" s="1663"/>
      <c r="GQ5" s="1663"/>
      <c r="GR5" s="1664" t="s">
        <v>879</v>
      </c>
      <c r="GS5" s="1663">
        <f>IFERROR(VLOOKUP(GS$1,'Existing Customers'!$A:$AD,30,FALSE),GS6)</f>
        <v>0</v>
      </c>
      <c r="GT5" s="1663"/>
      <c r="GU5" s="1663"/>
      <c r="GV5" s="1663"/>
      <c r="GW5" s="1663"/>
      <c r="GX5" s="1663"/>
      <c r="GY5" s="1663"/>
      <c r="GZ5" s="1663"/>
      <c r="HA5" s="1663"/>
      <c r="HB5" s="1663"/>
      <c r="HC5" s="1663"/>
      <c r="HD5" s="1663"/>
      <c r="HE5" s="1663"/>
      <c r="HF5" s="1663"/>
      <c r="HG5" s="1663"/>
      <c r="HH5" s="1663"/>
      <c r="HI5" s="1663"/>
      <c r="HJ5" s="1663"/>
      <c r="HK5" s="1663"/>
      <c r="HL5" s="1663"/>
      <c r="HM5" s="1663"/>
      <c r="HN5" s="1663"/>
      <c r="HO5" s="1664" t="s">
        <v>879</v>
      </c>
      <c r="HP5" s="1663">
        <f>IFERROR(VLOOKUP(HP$1,'Existing Customers'!$A:$AD,30,FALSE),HP6)</f>
        <v>0</v>
      </c>
      <c r="HQ5" s="1663"/>
      <c r="HR5" s="1663"/>
      <c r="HS5" s="1663"/>
      <c r="HT5" s="1663"/>
      <c r="HU5" s="1663"/>
      <c r="HV5" s="1663"/>
      <c r="HW5" s="1663"/>
      <c r="HX5" s="1663"/>
      <c r="HY5" s="1663"/>
      <c r="HZ5" s="1663"/>
      <c r="IA5" s="1663"/>
      <c r="IB5" s="1663"/>
      <c r="IC5" s="1663"/>
      <c r="ID5" s="1663"/>
      <c r="IE5" s="1663"/>
      <c r="IF5" s="1663"/>
      <c r="IG5" s="1663"/>
      <c r="IH5" s="1663"/>
      <c r="II5" s="1663"/>
      <c r="IJ5" s="1663"/>
      <c r="IK5" s="1663"/>
      <c r="IL5" s="1664" t="s">
        <v>879</v>
      </c>
      <c r="IM5" s="1663">
        <f>IFERROR(VLOOKUP(IM$1,'Existing Customers'!$A:$AD,30,FALSE),IM6)</f>
        <v>0</v>
      </c>
      <c r="IN5" s="1663"/>
      <c r="IO5" s="1663"/>
      <c r="IP5" s="1663"/>
      <c r="IQ5" s="1663"/>
      <c r="IR5" s="1663"/>
      <c r="IS5" s="1663"/>
      <c r="IT5" s="1663"/>
      <c r="IU5" s="1663"/>
      <c r="IV5" s="1663"/>
      <c r="IW5" s="1663"/>
      <c r="IX5" s="1663"/>
      <c r="IY5" s="1663"/>
      <c r="IZ5" s="1663"/>
      <c r="JA5" s="1663"/>
      <c r="JB5" s="1663"/>
      <c r="JC5" s="1663"/>
      <c r="JD5" s="1663"/>
      <c r="JE5" s="1663"/>
      <c r="JF5" s="1663"/>
      <c r="JG5" s="1663"/>
      <c r="JH5" s="1663"/>
      <c r="JI5" s="1664" t="s">
        <v>879</v>
      </c>
      <c r="JJ5" s="1663">
        <f>IFERROR(VLOOKUP(JJ$1,'Existing Customers'!$A:$AD,30,FALSE),JJ6)</f>
        <v>0</v>
      </c>
      <c r="JK5" s="1663"/>
      <c r="JL5" s="1663"/>
      <c r="JM5" s="1663"/>
      <c r="JN5" s="1663"/>
      <c r="JO5" s="1663"/>
      <c r="JP5" s="1663"/>
      <c r="JQ5" s="1663"/>
      <c r="JR5" s="1663"/>
      <c r="JS5" s="1663"/>
      <c r="JT5" s="1663"/>
      <c r="JU5" s="1663"/>
      <c r="JV5" s="1663"/>
      <c r="JW5" s="1663"/>
      <c r="JX5" s="1663"/>
      <c r="JY5" s="1663"/>
      <c r="JZ5" s="1663"/>
      <c r="KA5" s="1663"/>
      <c r="KB5" s="1663"/>
      <c r="KC5" s="1663"/>
      <c r="KD5" s="1663"/>
      <c r="KE5" s="1663"/>
      <c r="KF5" s="1664" t="s">
        <v>879</v>
      </c>
      <c r="KG5" s="1663">
        <f>IFERROR(VLOOKUP(KG$1,'Existing Customers'!$A:$AD,30,FALSE),KG6)</f>
        <v>0</v>
      </c>
      <c r="KH5" s="1663"/>
      <c r="KI5" s="1663"/>
      <c r="KJ5" s="1663"/>
      <c r="KK5" s="1663"/>
      <c r="KL5" s="1663"/>
      <c r="KM5" s="1663"/>
      <c r="KN5" s="1663"/>
      <c r="KO5" s="1663"/>
      <c r="KP5" s="1663"/>
      <c r="KQ5" s="1663"/>
      <c r="KR5" s="1663"/>
      <c r="KS5" s="1663"/>
      <c r="KT5" s="1663"/>
      <c r="KU5" s="1663"/>
      <c r="KV5" s="1663"/>
      <c r="KW5" s="1663"/>
      <c r="KX5" s="1663"/>
      <c r="KY5" s="1663"/>
      <c r="KZ5" s="1663"/>
      <c r="LA5" s="1663"/>
      <c r="LB5" s="1663"/>
      <c r="LC5" s="1664" t="s">
        <v>879</v>
      </c>
      <c r="LD5" s="1663">
        <f>IFERROR(VLOOKUP(LD$1,'Existing Customers'!$A:$AD,30,FALSE),LD6)</f>
        <v>0</v>
      </c>
      <c r="LE5" s="1663"/>
      <c r="LF5" s="1663"/>
      <c r="LG5" s="1663"/>
      <c r="LH5" s="1663"/>
      <c r="LI5" s="1663"/>
      <c r="LJ5" s="1663"/>
      <c r="LK5" s="1663"/>
      <c r="LL5" s="1663"/>
      <c r="LM5" s="1663"/>
      <c r="LN5" s="1663"/>
      <c r="LO5" s="1663"/>
      <c r="LP5" s="1663"/>
      <c r="LQ5" s="1663"/>
      <c r="LR5" s="1663"/>
      <c r="LS5" s="1663"/>
      <c r="LT5" s="1663"/>
      <c r="LU5" s="1663"/>
      <c r="LV5" s="1663"/>
      <c r="LW5" s="1663"/>
      <c r="LX5" s="1663"/>
      <c r="LY5" s="1663"/>
      <c r="LZ5" s="1664" t="s">
        <v>879</v>
      </c>
      <c r="MA5" s="1663">
        <f>IFERROR(VLOOKUP(MA$1,'Existing Customers'!$A:$AD,30,FALSE),MA6)</f>
        <v>0</v>
      </c>
      <c r="MB5" s="1663"/>
      <c r="MC5" s="1663"/>
      <c r="MD5" s="1663"/>
      <c r="ME5" s="1663"/>
      <c r="MF5" s="1663"/>
      <c r="MG5" s="1663"/>
      <c r="MH5" s="1663"/>
      <c r="MI5" s="1663"/>
      <c r="MJ5" s="1663"/>
      <c r="MK5" s="1663"/>
      <c r="ML5" s="1663"/>
      <c r="MM5" s="1663"/>
      <c r="MN5" s="1663"/>
      <c r="MO5" s="1663"/>
      <c r="MP5" s="1663"/>
      <c r="MQ5" s="1663"/>
      <c r="MR5" s="1663"/>
      <c r="MS5" s="1663"/>
      <c r="MT5" s="1663"/>
      <c r="MU5" s="1663"/>
      <c r="MV5" s="1663"/>
      <c r="MW5" s="1664" t="s">
        <v>879</v>
      </c>
      <c r="MX5" s="1663">
        <f>IFERROR(VLOOKUP(MX$1,'Existing Customers'!$A:$AD,30,FALSE),MX6)</f>
        <v>0</v>
      </c>
      <c r="MY5" s="1663"/>
      <c r="MZ5" s="1663"/>
      <c r="NA5" s="1663"/>
      <c r="NB5" s="1663"/>
      <c r="NC5" s="1663"/>
      <c r="ND5" s="1663"/>
      <c r="NE5" s="1663"/>
      <c r="NF5" s="1663"/>
      <c r="NG5" s="1663"/>
      <c r="NH5" s="1663"/>
      <c r="NI5" s="1663"/>
      <c r="NJ5" s="1663"/>
      <c r="NK5" s="1663"/>
      <c r="NL5" s="1663"/>
      <c r="NM5" s="1663"/>
      <c r="NN5" s="1663"/>
      <c r="NO5" s="1663"/>
      <c r="NP5" s="1663"/>
      <c r="NQ5" s="1663"/>
      <c r="NR5" s="1663"/>
      <c r="NS5" s="1663"/>
      <c r="NT5" s="1664" t="s">
        <v>879</v>
      </c>
      <c r="NU5" s="1663">
        <f>IFERROR(VLOOKUP(NU$1,'Existing Customers'!$A:$AD,30,FALSE),NU6)</f>
        <v>0</v>
      </c>
      <c r="NV5" s="1663"/>
      <c r="NW5" s="1663"/>
      <c r="NX5" s="1663"/>
      <c r="NY5" s="1663"/>
      <c r="NZ5" s="1663"/>
      <c r="OA5" s="1663"/>
      <c r="OB5" s="1663"/>
      <c r="OC5" s="1663"/>
      <c r="OD5" s="1663"/>
      <c r="OE5" s="1663"/>
      <c r="OF5" s="1663"/>
      <c r="OG5" s="1663"/>
      <c r="OH5" s="1663"/>
      <c r="OI5" s="1663"/>
      <c r="OJ5" s="1663"/>
      <c r="OK5" s="1663"/>
      <c r="OL5" s="1663"/>
      <c r="OM5" s="1663"/>
      <c r="ON5" s="1663"/>
      <c r="OO5" s="1663"/>
      <c r="OP5" s="1663"/>
      <c r="OQ5" s="1664" t="s">
        <v>879</v>
      </c>
      <c r="OR5" s="1663">
        <f>IFERROR(VLOOKUP(OR$1,'Existing Customers'!$A:$AD,30,FALSE),OR6)</f>
        <v>0</v>
      </c>
      <c r="OS5" s="1663"/>
      <c r="OT5" s="1663"/>
      <c r="OU5" s="1663"/>
      <c r="OV5" s="1663"/>
      <c r="OW5" s="1663"/>
      <c r="OX5" s="1663"/>
      <c r="OY5" s="1663"/>
      <c r="OZ5" s="1663"/>
      <c r="PA5" s="1663"/>
      <c r="PB5" s="1663"/>
      <c r="PC5" s="1663"/>
      <c r="PD5" s="1663"/>
      <c r="PE5" s="1663"/>
      <c r="PF5" s="1663"/>
      <c r="PG5" s="1663"/>
      <c r="PH5" s="1663"/>
      <c r="PI5" s="1663"/>
      <c r="PJ5" s="1663"/>
      <c r="PK5" s="1663"/>
      <c r="PL5" s="1663"/>
      <c r="PM5" s="1663"/>
      <c r="PN5" s="1664" t="s">
        <v>879</v>
      </c>
      <c r="PO5" s="1663">
        <f>IFERROR(VLOOKUP(PO$1,'Existing Customers'!$A:$AD,30,FALSE),PO6)</f>
        <v>0</v>
      </c>
      <c r="PP5" s="1663"/>
      <c r="PQ5" s="1663"/>
      <c r="PR5" s="1663"/>
      <c r="PS5" s="1663"/>
      <c r="PT5" s="1663"/>
      <c r="PU5" s="1663"/>
      <c r="PV5" s="1663"/>
      <c r="PW5" s="1663"/>
      <c r="PX5" s="1663"/>
      <c r="PY5" s="1663"/>
      <c r="PZ5" s="1663"/>
      <c r="QA5" s="1663"/>
      <c r="QB5" s="1663"/>
      <c r="QC5" s="1663"/>
      <c r="QD5" s="1663"/>
      <c r="QE5" s="1663"/>
      <c r="QF5" s="1663"/>
      <c r="QG5" s="1663"/>
      <c r="QH5" s="1663"/>
      <c r="QI5" s="1663"/>
      <c r="QJ5" s="1663"/>
      <c r="QK5" s="1664" t="s">
        <v>879</v>
      </c>
      <c r="QL5" s="1663">
        <f>IFERROR(VLOOKUP(QL$1,'Existing Customers'!$A:$AD,30,FALSE),QL6)</f>
        <v>0</v>
      </c>
      <c r="QM5" s="1663"/>
      <c r="QN5" s="1663"/>
      <c r="QO5" s="1663"/>
      <c r="QP5" s="1663"/>
      <c r="QQ5" s="1663"/>
      <c r="QR5" s="1663"/>
      <c r="QS5" s="1663"/>
      <c r="QT5" s="1663"/>
      <c r="QU5" s="1663"/>
      <c r="QV5" s="1663"/>
      <c r="QW5" s="1663"/>
      <c r="QX5" s="1663"/>
      <c r="QY5" s="1663"/>
      <c r="QZ5" s="1663"/>
      <c r="RA5" s="1663"/>
      <c r="RB5" s="1663"/>
      <c r="RC5" s="1663"/>
      <c r="RD5" s="1663"/>
      <c r="RE5" s="1663"/>
      <c r="RF5" s="1663"/>
      <c r="RG5" s="1663"/>
      <c r="RH5" s="1664" t="s">
        <v>879</v>
      </c>
      <c r="RI5" s="1663">
        <f>IFERROR(VLOOKUP(RI$1,'Existing Customers'!$A:$AD,30,FALSE),RI6)</f>
        <v>0</v>
      </c>
      <c r="RJ5" s="1663"/>
      <c r="RK5" s="1663"/>
      <c r="RL5" s="1663"/>
      <c r="RM5" s="1663"/>
      <c r="RN5" s="1663"/>
      <c r="RO5" s="1663"/>
      <c r="RP5" s="1663"/>
      <c r="RQ5" s="1663"/>
      <c r="RR5" s="1663"/>
      <c r="RS5" s="1663"/>
      <c r="RT5" s="1663"/>
      <c r="RU5" s="1663"/>
      <c r="RV5" s="1663"/>
      <c r="RW5" s="1663"/>
      <c r="RX5" s="1663"/>
      <c r="RY5" s="1663"/>
      <c r="RZ5" s="1663"/>
      <c r="SA5" s="1663"/>
      <c r="SB5" s="1663"/>
      <c r="SC5" s="1663"/>
      <c r="SD5" s="1663"/>
      <c r="SE5" s="1664" t="s">
        <v>879</v>
      </c>
      <c r="SF5" s="1663">
        <f>IFERROR(VLOOKUP(SF$1,'Existing Customers'!$A:$AD,30,FALSE),SF6)</f>
        <v>0</v>
      </c>
      <c r="SG5" s="1663"/>
      <c r="SH5" s="1663"/>
      <c r="SI5" s="1663"/>
      <c r="SJ5" s="1663"/>
      <c r="SK5" s="1663"/>
      <c r="SL5" s="1663"/>
      <c r="SM5" s="1663"/>
      <c r="SN5" s="1663"/>
      <c r="SO5" s="1663"/>
      <c r="SP5" s="1663"/>
      <c r="SQ5" s="1663"/>
      <c r="SR5" s="1663"/>
      <c r="SS5" s="1663"/>
      <c r="ST5" s="1663"/>
      <c r="SU5" s="1663"/>
      <c r="SV5" s="1663"/>
      <c r="SW5" s="1663"/>
      <c r="SX5" s="1663"/>
      <c r="SY5" s="1663"/>
      <c r="SZ5" s="1663"/>
      <c r="TA5" s="1663"/>
      <c r="TB5" s="1663"/>
      <c r="TC5" s="1663"/>
      <c r="TD5" s="1663"/>
      <c r="TE5" s="1663"/>
      <c r="TF5" s="1663"/>
      <c r="TG5" s="1663"/>
      <c r="TH5" s="1663"/>
      <c r="TI5" s="1663"/>
      <c r="TJ5" s="1663"/>
      <c r="TK5" s="1663"/>
      <c r="TL5" s="1663"/>
      <c r="TM5" s="1663"/>
      <c r="TN5" s="1663"/>
      <c r="TO5" s="1663"/>
      <c r="TP5" s="1663"/>
      <c r="TQ5" s="1663"/>
      <c r="TR5" s="1663"/>
    </row>
    <row r="6" spans="1:538" x14ac:dyDescent="0.25">
      <c r="A6" s="1663"/>
      <c r="B6" s="1663"/>
      <c r="C6" s="1663"/>
      <c r="D6" s="1663"/>
      <c r="E6" s="1663"/>
      <c r="F6" s="1663"/>
      <c r="G6" s="1663"/>
      <c r="H6" s="1663"/>
      <c r="I6" s="1663"/>
      <c r="J6" s="1663"/>
      <c r="K6" s="1663"/>
      <c r="L6" s="1663"/>
      <c r="M6" s="1663"/>
      <c r="N6" s="1663"/>
      <c r="O6" s="1663"/>
      <c r="P6" s="1663"/>
      <c r="Q6" s="1663"/>
      <c r="R6" s="1663"/>
      <c r="S6" s="1663"/>
      <c r="T6" s="1663"/>
      <c r="U6" s="1663"/>
      <c r="V6" s="1663"/>
      <c r="W6" s="1663"/>
      <c r="X6" s="1663"/>
      <c r="Y6" s="1663"/>
      <c r="Z6" s="1663"/>
      <c r="AA6" s="1663"/>
      <c r="AB6" s="1663"/>
      <c r="AC6" s="2102"/>
      <c r="AD6" s="2102"/>
      <c r="AE6" s="1663"/>
      <c r="AF6" s="1663"/>
      <c r="AG6" s="1663"/>
      <c r="AH6" s="1663"/>
      <c r="AI6" s="1663"/>
      <c r="AJ6" s="1663"/>
      <c r="AK6" s="1663"/>
      <c r="AL6" s="1663"/>
      <c r="AM6" s="1663"/>
      <c r="AN6" s="1663"/>
      <c r="AO6" s="1663"/>
      <c r="AP6" s="1663"/>
      <c r="AQ6" s="1663"/>
      <c r="AR6" s="1663"/>
      <c r="AS6" s="1663"/>
      <c r="AT6" s="1663"/>
      <c r="AU6" s="1663"/>
      <c r="AV6" s="1663"/>
      <c r="AW6" s="1663"/>
      <c r="AX6" s="1663"/>
      <c r="AY6" s="1663"/>
      <c r="AZ6" s="1663"/>
      <c r="BA6" s="1663"/>
      <c r="BB6" s="1663"/>
      <c r="BC6" s="1663"/>
      <c r="BD6" s="1663"/>
      <c r="BE6" s="1663"/>
      <c r="BF6" s="1663"/>
      <c r="BG6" s="1663"/>
      <c r="BH6" s="1663"/>
      <c r="BI6" s="1663"/>
      <c r="BJ6" s="1664" t="s">
        <v>852</v>
      </c>
      <c r="BK6" s="332">
        <f>'Customer Inputs'!$R$6</f>
        <v>0</v>
      </c>
      <c r="BL6" s="1663"/>
      <c r="BM6" s="1663"/>
      <c r="BN6" s="1663"/>
      <c r="BO6" s="1663"/>
      <c r="BP6" s="1663"/>
      <c r="BQ6" s="1663"/>
      <c r="BR6" s="1663"/>
      <c r="BS6" s="1663"/>
      <c r="BT6" s="1663"/>
      <c r="BU6" s="1663"/>
      <c r="BV6" s="1663"/>
      <c r="BW6" s="1663"/>
      <c r="BX6" s="1663"/>
      <c r="BY6" s="1663"/>
      <c r="BZ6" s="1663"/>
      <c r="CA6" s="1663"/>
      <c r="CB6" s="1663"/>
      <c r="CC6" s="1663"/>
      <c r="CD6" s="1663"/>
      <c r="CE6" s="1663"/>
      <c r="CF6" s="1663"/>
      <c r="CG6" s="1664" t="s">
        <v>852</v>
      </c>
      <c r="CH6" s="85">
        <f>'Customer Inputs'!$R$7</f>
        <v>0</v>
      </c>
      <c r="CI6" s="1663"/>
      <c r="CJ6" s="1663"/>
      <c r="CK6" s="1663"/>
      <c r="CL6" s="1663"/>
      <c r="CM6" s="1663"/>
      <c r="CN6" s="1663"/>
      <c r="CO6" s="1663"/>
      <c r="CP6" s="1663"/>
      <c r="CQ6" s="1663"/>
      <c r="CR6" s="1663"/>
      <c r="CS6" s="1663"/>
      <c r="CT6" s="1663"/>
      <c r="CU6" s="1663"/>
      <c r="CV6" s="1663"/>
      <c r="CW6" s="1663"/>
      <c r="CX6" s="1663"/>
      <c r="CY6" s="1663"/>
      <c r="CZ6" s="1663"/>
      <c r="DA6" s="1663"/>
      <c r="DB6" s="1663"/>
      <c r="DC6" s="1663"/>
      <c r="DD6" s="1664" t="s">
        <v>852</v>
      </c>
      <c r="DE6" s="85">
        <f>'Customer Inputs'!$R$8</f>
        <v>0</v>
      </c>
      <c r="DF6" s="1663"/>
      <c r="DG6" s="1663"/>
      <c r="DH6" s="1663"/>
      <c r="DI6" s="1663"/>
      <c r="DJ6" s="1663"/>
      <c r="DK6" s="1663"/>
      <c r="DL6" s="1663"/>
      <c r="DM6" s="1663"/>
      <c r="DN6" s="1663"/>
      <c r="DO6" s="1663"/>
      <c r="DP6" s="1663"/>
      <c r="DQ6" s="1663"/>
      <c r="DR6" s="1663"/>
      <c r="DS6" s="1663"/>
      <c r="DT6" s="1663"/>
      <c r="DU6" s="1663"/>
      <c r="DV6" s="1663"/>
      <c r="DW6" s="1663"/>
      <c r="DX6" s="1663"/>
      <c r="DY6" s="1663"/>
      <c r="DZ6" s="1663"/>
      <c r="EA6" s="1664" t="s">
        <v>852</v>
      </c>
      <c r="EB6" s="85">
        <f>'Customer Inputs'!$R$9</f>
        <v>0</v>
      </c>
      <c r="EC6" s="1663"/>
      <c r="ED6" s="1663"/>
      <c r="EE6" s="1663"/>
      <c r="EF6" s="1663"/>
      <c r="EG6" s="1663"/>
      <c r="EH6" s="1663"/>
      <c r="EI6" s="1663"/>
      <c r="EJ6" s="1663"/>
      <c r="EK6" s="1663"/>
      <c r="EL6" s="1663"/>
      <c r="EM6" s="1663"/>
      <c r="EN6" s="1663"/>
      <c r="EO6" s="1663"/>
      <c r="EP6" s="1663"/>
      <c r="EQ6" s="1663"/>
      <c r="ER6" s="1663"/>
      <c r="ES6" s="1663"/>
      <c r="ET6" s="1663"/>
      <c r="EU6" s="1663"/>
      <c r="EV6" s="1663"/>
      <c r="EW6" s="1663"/>
      <c r="EX6" s="1664" t="s">
        <v>852</v>
      </c>
      <c r="EY6" s="85">
        <f>'Customer Inputs'!$R$10</f>
        <v>0</v>
      </c>
      <c r="EZ6" s="1663"/>
      <c r="FA6" s="1663"/>
      <c r="FB6" s="1663"/>
      <c r="FC6" s="1663"/>
      <c r="FD6" s="1663"/>
      <c r="FE6" s="1663"/>
      <c r="FF6" s="1663"/>
      <c r="FG6" s="1663"/>
      <c r="FH6" s="1663"/>
      <c r="FI6" s="1663"/>
      <c r="FJ6" s="1663"/>
      <c r="FK6" s="1663"/>
      <c r="FL6" s="1663"/>
      <c r="FM6" s="1663"/>
      <c r="FN6" s="1663"/>
      <c r="FO6" s="1663"/>
      <c r="FP6" s="1663"/>
      <c r="FQ6" s="1663"/>
      <c r="FR6" s="1663"/>
      <c r="FS6" s="1663"/>
      <c r="FT6" s="1663"/>
      <c r="FU6" s="1664" t="s">
        <v>852</v>
      </c>
      <c r="FV6" s="85">
        <f>'Customer Inputs'!$R$11</f>
        <v>0</v>
      </c>
      <c r="FW6" s="1663"/>
      <c r="FX6" s="1663"/>
      <c r="FY6" s="1663"/>
      <c r="FZ6" s="1663"/>
      <c r="GA6" s="1663"/>
      <c r="GB6" s="1663"/>
      <c r="GC6" s="1663"/>
      <c r="GD6" s="1663"/>
      <c r="GE6" s="1663"/>
      <c r="GF6" s="1663"/>
      <c r="GG6" s="1663"/>
      <c r="GH6" s="1663"/>
      <c r="GI6" s="1663"/>
      <c r="GJ6" s="1663"/>
      <c r="GK6" s="1663"/>
      <c r="GL6" s="1663"/>
      <c r="GM6" s="1663"/>
      <c r="GN6" s="1663"/>
      <c r="GO6" s="1663"/>
      <c r="GP6" s="1663"/>
      <c r="GQ6" s="1663"/>
      <c r="GR6" s="1664" t="s">
        <v>852</v>
      </c>
      <c r="GS6" s="85">
        <f>'Customer Inputs'!$R$12</f>
        <v>0</v>
      </c>
      <c r="GT6" s="1663"/>
      <c r="GU6" s="1663"/>
      <c r="GV6" s="1663"/>
      <c r="GW6" s="1663"/>
      <c r="GX6" s="1663"/>
      <c r="GY6" s="1663"/>
      <c r="GZ6" s="1663"/>
      <c r="HA6" s="1663"/>
      <c r="HB6" s="1663"/>
      <c r="HC6" s="1663"/>
      <c r="HD6" s="1663"/>
      <c r="HE6" s="1663"/>
      <c r="HF6" s="1663"/>
      <c r="HG6" s="1663"/>
      <c r="HH6" s="1663"/>
      <c r="HI6" s="1663"/>
      <c r="HJ6" s="1663"/>
      <c r="HK6" s="1663"/>
      <c r="HL6" s="1663"/>
      <c r="HM6" s="1663"/>
      <c r="HN6" s="1663"/>
      <c r="HO6" s="1664" t="s">
        <v>852</v>
      </c>
      <c r="HP6" s="85">
        <f>'Customer Inputs'!$R$13</f>
        <v>0</v>
      </c>
      <c r="HQ6" s="1663"/>
      <c r="HR6" s="1663"/>
      <c r="HS6" s="1663"/>
      <c r="HT6" s="1663"/>
      <c r="HU6" s="1663"/>
      <c r="HV6" s="1663"/>
      <c r="HW6" s="1663"/>
      <c r="HX6" s="1663"/>
      <c r="HY6" s="1663"/>
      <c r="HZ6" s="1663"/>
      <c r="IA6" s="1663"/>
      <c r="IB6" s="1663"/>
      <c r="IC6" s="1663"/>
      <c r="ID6" s="1663"/>
      <c r="IE6" s="1663"/>
      <c r="IF6" s="1663"/>
      <c r="IG6" s="1663"/>
      <c r="IH6" s="1663"/>
      <c r="II6" s="1663"/>
      <c r="IJ6" s="1663"/>
      <c r="IK6" s="1663"/>
      <c r="IL6" s="1664" t="s">
        <v>852</v>
      </c>
      <c r="IM6" s="85">
        <f>'Customer Inputs'!$R$14</f>
        <v>0</v>
      </c>
      <c r="IN6" s="1663"/>
      <c r="IO6" s="1663"/>
      <c r="IP6" s="1663"/>
      <c r="IQ6" s="1663"/>
      <c r="IR6" s="1663"/>
      <c r="IS6" s="1663"/>
      <c r="IT6" s="1663"/>
      <c r="IU6" s="1663"/>
      <c r="IV6" s="1663"/>
      <c r="IW6" s="1663"/>
      <c r="IX6" s="1663"/>
      <c r="IY6" s="1663"/>
      <c r="IZ6" s="1663"/>
      <c r="JA6" s="1663"/>
      <c r="JB6" s="1663"/>
      <c r="JC6" s="1663"/>
      <c r="JD6" s="1663"/>
      <c r="JE6" s="1663"/>
      <c r="JF6" s="1663"/>
      <c r="JG6" s="1663"/>
      <c r="JH6" s="1663"/>
      <c r="JI6" s="1664" t="s">
        <v>852</v>
      </c>
      <c r="JJ6" s="85">
        <f>'Customer Inputs'!$R$15</f>
        <v>0</v>
      </c>
      <c r="JK6" s="1663"/>
      <c r="JL6" s="1663"/>
      <c r="JM6" s="1663"/>
      <c r="JN6" s="1663"/>
      <c r="JO6" s="1663"/>
      <c r="JP6" s="1663"/>
      <c r="JQ6" s="1663"/>
      <c r="JR6" s="1663"/>
      <c r="JS6" s="1663"/>
      <c r="JT6" s="1663"/>
      <c r="JU6" s="1663"/>
      <c r="JV6" s="1663"/>
      <c r="JW6" s="1663"/>
      <c r="JX6" s="1663"/>
      <c r="JY6" s="1663"/>
      <c r="JZ6" s="1663"/>
      <c r="KA6" s="1663"/>
      <c r="KB6" s="1663"/>
      <c r="KC6" s="1663"/>
      <c r="KD6" s="1663"/>
      <c r="KE6" s="1663"/>
      <c r="KF6" s="1664" t="s">
        <v>852</v>
      </c>
      <c r="KG6" s="85">
        <f>'Customer Inputs'!$R$16</f>
        <v>0</v>
      </c>
      <c r="KH6" s="1663"/>
      <c r="KI6" s="1663"/>
      <c r="KJ6" s="1663"/>
      <c r="KK6" s="1663"/>
      <c r="KL6" s="1663"/>
      <c r="KM6" s="1663"/>
      <c r="KN6" s="1663"/>
      <c r="KO6" s="1663"/>
      <c r="KP6" s="1663"/>
      <c r="KQ6" s="1663"/>
      <c r="KR6" s="1663"/>
      <c r="KS6" s="1663"/>
      <c r="KT6" s="1663"/>
      <c r="KU6" s="1663"/>
      <c r="KV6" s="1663"/>
      <c r="KW6" s="1663"/>
      <c r="KX6" s="1663"/>
      <c r="KY6" s="1663"/>
      <c r="KZ6" s="1663"/>
      <c r="LA6" s="1663"/>
      <c r="LB6" s="1663"/>
      <c r="LC6" s="1664" t="s">
        <v>852</v>
      </c>
      <c r="LD6" s="85">
        <f>'Customer Inputs'!$R$17</f>
        <v>0</v>
      </c>
      <c r="LE6" s="1663"/>
      <c r="LF6" s="1663"/>
      <c r="LG6" s="1663"/>
      <c r="LH6" s="1663"/>
      <c r="LI6" s="1663"/>
      <c r="LJ6" s="1663"/>
      <c r="LK6" s="1663"/>
      <c r="LL6" s="1663"/>
      <c r="LM6" s="1663"/>
      <c r="LN6" s="1663"/>
      <c r="LO6" s="1663"/>
      <c r="LP6" s="1663"/>
      <c r="LQ6" s="1663"/>
      <c r="LR6" s="1663"/>
      <c r="LS6" s="1663"/>
      <c r="LT6" s="1663"/>
      <c r="LU6" s="1663"/>
      <c r="LV6" s="1663"/>
      <c r="LW6" s="1663"/>
      <c r="LX6" s="1663"/>
      <c r="LY6" s="1663"/>
      <c r="LZ6" s="1664" t="s">
        <v>852</v>
      </c>
      <c r="MA6" s="85">
        <f>'Customer Inputs'!$R$18</f>
        <v>0</v>
      </c>
      <c r="MB6" s="1663"/>
      <c r="MC6" s="1663"/>
      <c r="MD6" s="1663"/>
      <c r="ME6" s="1663"/>
      <c r="MF6" s="1663"/>
      <c r="MG6" s="1663"/>
      <c r="MH6" s="1663"/>
      <c r="MI6" s="1663"/>
      <c r="MJ6" s="1663"/>
      <c r="MK6" s="1663"/>
      <c r="ML6" s="1663"/>
      <c r="MM6" s="1663"/>
      <c r="MN6" s="1663"/>
      <c r="MO6" s="1663"/>
      <c r="MP6" s="1663"/>
      <c r="MQ6" s="1663"/>
      <c r="MR6" s="1663"/>
      <c r="MS6" s="1663"/>
      <c r="MT6" s="1663"/>
      <c r="MU6" s="1663"/>
      <c r="MV6" s="1663"/>
      <c r="MW6" s="1664" t="s">
        <v>852</v>
      </c>
      <c r="MX6" s="85">
        <f>'Customer Inputs'!$R$19</f>
        <v>0</v>
      </c>
      <c r="MY6" s="1663"/>
      <c r="MZ6" s="1663"/>
      <c r="NA6" s="1663"/>
      <c r="NB6" s="1663"/>
      <c r="NC6" s="1663"/>
      <c r="ND6" s="1663"/>
      <c r="NE6" s="1663"/>
      <c r="NF6" s="1663"/>
      <c r="NG6" s="1663"/>
      <c r="NH6" s="1663"/>
      <c r="NI6" s="1663"/>
      <c r="NJ6" s="1663"/>
      <c r="NK6" s="1663"/>
      <c r="NL6" s="1663"/>
      <c r="NM6" s="1663"/>
      <c r="NN6" s="1663"/>
      <c r="NO6" s="1663"/>
      <c r="NP6" s="1663"/>
      <c r="NQ6" s="1663"/>
      <c r="NR6" s="1663"/>
      <c r="NS6" s="1663"/>
      <c r="NT6" s="1664" t="s">
        <v>852</v>
      </c>
      <c r="NU6" s="85">
        <f>'Customer Inputs'!$R$20</f>
        <v>0</v>
      </c>
      <c r="NV6" s="1663"/>
      <c r="NW6" s="1663"/>
      <c r="NX6" s="1663"/>
      <c r="NY6" s="1663"/>
      <c r="NZ6" s="1663"/>
      <c r="OA6" s="1663"/>
      <c r="OB6" s="1663"/>
      <c r="OC6" s="1663"/>
      <c r="OD6" s="1663"/>
      <c r="OE6" s="1663"/>
      <c r="OF6" s="1663"/>
      <c r="OG6" s="1663"/>
      <c r="OH6" s="1663"/>
      <c r="OI6" s="1663"/>
      <c r="OJ6" s="1663"/>
      <c r="OK6" s="1663"/>
      <c r="OL6" s="1663"/>
      <c r="OM6" s="1663"/>
      <c r="ON6" s="1663"/>
      <c r="OO6" s="1663"/>
      <c r="OP6" s="1663"/>
      <c r="OQ6" s="1664" t="s">
        <v>852</v>
      </c>
      <c r="OR6" s="85">
        <f>'Customer Inputs'!$R$21</f>
        <v>0</v>
      </c>
      <c r="OS6" s="1663"/>
      <c r="OT6" s="1663"/>
      <c r="OU6" s="1663"/>
      <c r="OV6" s="1663"/>
      <c r="OW6" s="1663"/>
      <c r="OX6" s="1663"/>
      <c r="OY6" s="1663"/>
      <c r="OZ6" s="1663"/>
      <c r="PA6" s="1663"/>
      <c r="PB6" s="1663"/>
      <c r="PC6" s="1663"/>
      <c r="PD6" s="1663"/>
      <c r="PE6" s="1663"/>
      <c r="PF6" s="1663"/>
      <c r="PG6" s="1663"/>
      <c r="PH6" s="1663"/>
      <c r="PI6" s="1663"/>
      <c r="PJ6" s="1663"/>
      <c r="PK6" s="1663"/>
      <c r="PL6" s="1663"/>
      <c r="PM6" s="1663"/>
      <c r="PN6" s="1664" t="s">
        <v>852</v>
      </c>
      <c r="PO6" s="85">
        <f>'Customer Inputs'!$R$22</f>
        <v>0</v>
      </c>
      <c r="PP6" s="1663"/>
      <c r="PQ6" s="1663"/>
      <c r="PR6" s="1663"/>
      <c r="PS6" s="1663"/>
      <c r="PT6" s="1663"/>
      <c r="PU6" s="1663"/>
      <c r="PV6" s="1663"/>
      <c r="PW6" s="1663"/>
      <c r="PX6" s="1663"/>
      <c r="PY6" s="1663"/>
      <c r="PZ6" s="1663"/>
      <c r="QA6" s="1663"/>
      <c r="QB6" s="1663"/>
      <c r="QC6" s="1663"/>
      <c r="QD6" s="1663"/>
      <c r="QE6" s="1663"/>
      <c r="QF6" s="1663"/>
      <c r="QG6" s="1663"/>
      <c r="QH6" s="1663"/>
      <c r="QI6" s="1663"/>
      <c r="QJ6" s="1663"/>
      <c r="QK6" s="1664" t="s">
        <v>852</v>
      </c>
      <c r="QL6" s="85">
        <f>'Customer Inputs'!$R$23</f>
        <v>0</v>
      </c>
      <c r="QM6" s="1663"/>
      <c r="QN6" s="1663"/>
      <c r="QO6" s="1663"/>
      <c r="QP6" s="1663"/>
      <c r="QQ6" s="1663"/>
      <c r="QR6" s="1663"/>
      <c r="QS6" s="1663"/>
      <c r="QT6" s="1663"/>
      <c r="QU6" s="1663"/>
      <c r="QV6" s="1663"/>
      <c r="QW6" s="1663"/>
      <c r="QX6" s="1663"/>
      <c r="QY6" s="1663"/>
      <c r="QZ6" s="1663"/>
      <c r="RA6" s="1663"/>
      <c r="RB6" s="1663"/>
      <c r="RC6" s="1663"/>
      <c r="RD6" s="1663"/>
      <c r="RE6" s="1663"/>
      <c r="RF6" s="1663"/>
      <c r="RG6" s="1663"/>
      <c r="RH6" s="1664" t="s">
        <v>852</v>
      </c>
      <c r="RI6" s="85">
        <f>'Customer Inputs'!$R$24</f>
        <v>0</v>
      </c>
      <c r="RJ6" s="1663"/>
      <c r="RK6" s="1663"/>
      <c r="RL6" s="1663"/>
      <c r="RM6" s="1663"/>
      <c r="RN6" s="1663"/>
      <c r="RO6" s="1663"/>
      <c r="RP6" s="1663"/>
      <c r="RQ6" s="1663"/>
      <c r="RR6" s="1663"/>
      <c r="RS6" s="1663"/>
      <c r="RT6" s="1663"/>
      <c r="RU6" s="1663"/>
      <c r="RV6" s="1663"/>
      <c r="RW6" s="1663"/>
      <c r="RX6" s="1663"/>
      <c r="RY6" s="1663"/>
      <c r="RZ6" s="1663"/>
      <c r="SA6" s="1663"/>
      <c r="SB6" s="1663"/>
      <c r="SC6" s="1663"/>
      <c r="SD6" s="1663"/>
      <c r="SE6" s="1664" t="s">
        <v>852</v>
      </c>
      <c r="SF6" s="85">
        <f>'Customer Inputs'!$R$25</f>
        <v>0</v>
      </c>
      <c r="SG6" s="1663"/>
      <c r="SH6" s="1663"/>
      <c r="SI6" s="1663"/>
      <c r="SJ6" s="1663"/>
      <c r="SK6" s="1663"/>
      <c r="SL6" s="1663"/>
      <c r="SM6" s="1663"/>
      <c r="SN6" s="1663"/>
      <c r="SO6" s="1663"/>
      <c r="SP6" s="1663"/>
      <c r="SQ6" s="1663"/>
      <c r="SR6" s="1663"/>
      <c r="SS6" s="1663"/>
      <c r="ST6" s="1663"/>
      <c r="SU6" s="1663"/>
      <c r="SV6" s="1663"/>
      <c r="SW6" s="1663"/>
      <c r="SX6" s="1663"/>
      <c r="SY6" s="1663"/>
      <c r="SZ6" s="1663"/>
      <c r="TA6" s="1663"/>
      <c r="TB6" s="1663"/>
      <c r="TC6" s="1663"/>
      <c r="TD6" s="1663"/>
      <c r="TE6" s="1663"/>
      <c r="TF6" s="1663"/>
      <c r="TG6" s="1663"/>
      <c r="TH6" s="1663"/>
      <c r="TI6" s="1663"/>
      <c r="TJ6" s="1663"/>
      <c r="TK6" s="1663"/>
      <c r="TL6" s="1663"/>
      <c r="TM6" s="1663"/>
      <c r="TN6" s="1663"/>
      <c r="TO6" s="1663"/>
      <c r="TP6" s="1663"/>
      <c r="TQ6" s="1663"/>
      <c r="TR6" s="1663"/>
    </row>
    <row r="7" spans="1:538" x14ac:dyDescent="0.25">
      <c r="A7" s="1663"/>
      <c r="B7" s="1663"/>
      <c r="C7" s="1663"/>
      <c r="D7" s="1663"/>
      <c r="E7" s="1663"/>
      <c r="F7" s="1663"/>
      <c r="G7" s="1663"/>
      <c r="H7" s="1663"/>
      <c r="I7" s="1663"/>
      <c r="J7" s="1663"/>
      <c r="K7" s="1663"/>
      <c r="L7" s="1663"/>
      <c r="M7" s="1663"/>
      <c r="N7" s="1663"/>
      <c r="O7" s="1663"/>
      <c r="P7" s="1663"/>
      <c r="Q7" s="1663"/>
      <c r="R7" s="1663"/>
      <c r="S7" s="1663"/>
      <c r="T7" s="1663"/>
      <c r="U7" s="1663"/>
      <c r="V7" s="1663"/>
      <c r="W7" s="1663"/>
      <c r="X7" s="1663"/>
      <c r="Y7" s="1663"/>
      <c r="Z7" s="1663"/>
      <c r="AA7" s="1663"/>
      <c r="AB7" s="1663"/>
      <c r="AC7" s="1664"/>
      <c r="AD7" s="1664"/>
      <c r="AE7" s="1663"/>
      <c r="AF7" s="1663"/>
      <c r="AG7" s="1663"/>
      <c r="AH7" s="1663"/>
      <c r="AI7" s="1663"/>
      <c r="AJ7" s="1663"/>
      <c r="AK7" s="1663"/>
      <c r="AL7" s="1663"/>
      <c r="AM7" s="1663"/>
      <c r="AN7" s="1663"/>
      <c r="AO7" s="1663"/>
      <c r="AP7" s="1663"/>
      <c r="AQ7" s="1663"/>
      <c r="AR7" s="1663"/>
      <c r="AS7" s="1663"/>
      <c r="AT7" s="1663"/>
      <c r="AU7" s="1663"/>
      <c r="AV7" s="1663"/>
      <c r="AW7" s="1663"/>
      <c r="AX7" s="1663"/>
      <c r="AY7" s="1663"/>
      <c r="AZ7" s="1663"/>
      <c r="BA7" s="1663"/>
      <c r="BB7" s="1663"/>
      <c r="BC7" s="1663"/>
      <c r="BD7" s="1663"/>
      <c r="BE7" s="1663"/>
      <c r="BF7" s="1663"/>
      <c r="BG7" s="1663"/>
      <c r="BH7" s="1663"/>
      <c r="BI7" s="1663"/>
      <c r="BJ7" s="1664" t="s">
        <v>862</v>
      </c>
      <c r="BK7" s="315">
        <f>IFERROR(SUMIFS('Existing Customers'!$AC:$AC,'Existing Customers'!$A:$A,'Multi-Customer'!BK$1)/SUMIFS('Existing Customers'!$Q:$Q,'Existing Customers'!$A:$A,'Multi-Customer'!BK$1),0)</f>
        <v>0</v>
      </c>
      <c r="BL7" s="1663"/>
      <c r="BM7" s="1663"/>
      <c r="BN7" s="1663"/>
      <c r="BO7" s="1663"/>
      <c r="BP7" s="1663"/>
      <c r="BQ7" s="1663"/>
      <c r="BR7" s="1663"/>
      <c r="BS7" s="1663"/>
      <c r="BT7" s="1663"/>
      <c r="BU7" s="1663"/>
      <c r="BV7" s="1663"/>
      <c r="BW7" s="1663"/>
      <c r="BX7" s="1663"/>
      <c r="BY7" s="1663"/>
      <c r="BZ7" s="1663"/>
      <c r="CA7" s="1663"/>
      <c r="CB7" s="1663"/>
      <c r="CC7" s="1663"/>
      <c r="CD7" s="1663"/>
      <c r="CE7" s="1663"/>
      <c r="CF7" s="1663"/>
      <c r="CG7" s="1664" t="s">
        <v>862</v>
      </c>
      <c r="CH7" s="315">
        <f>IFERROR(SUMIFS('Existing Customers'!$AC:$AC,'Existing Customers'!$A:$A,'Multi-Customer'!CH$1)/SUMIFS('Existing Customers'!$Q:$Q,'Existing Customers'!$A:$A,'Multi-Customer'!CH$1),0)</f>
        <v>0</v>
      </c>
      <c r="CI7" s="1663"/>
      <c r="CJ7" s="1663"/>
      <c r="CK7" s="1663"/>
      <c r="CL7" s="1663"/>
      <c r="CM7" s="1663"/>
      <c r="CN7" s="1663"/>
      <c r="CO7" s="1663"/>
      <c r="CP7" s="1663"/>
      <c r="CQ7" s="1663"/>
      <c r="CR7" s="1663"/>
      <c r="CS7" s="1663"/>
      <c r="CT7" s="1663"/>
      <c r="CU7" s="1663"/>
      <c r="CV7" s="1663"/>
      <c r="CW7" s="1663"/>
      <c r="CX7" s="1663"/>
      <c r="CY7" s="1663"/>
      <c r="CZ7" s="1663"/>
      <c r="DA7" s="1663"/>
      <c r="DB7" s="1663"/>
      <c r="DC7" s="1663"/>
      <c r="DD7" s="1664" t="s">
        <v>862</v>
      </c>
      <c r="DE7" s="315">
        <f>IFERROR(SUMIFS('Existing Customers'!$AC:$AC,'Existing Customers'!$A:$A,'Multi-Customer'!DE$1)/SUMIFS('Existing Customers'!$Q:$Q,'Existing Customers'!$A:$A,'Multi-Customer'!DE$1),0)</f>
        <v>0</v>
      </c>
      <c r="DF7" s="1663"/>
      <c r="DG7" s="1663"/>
      <c r="DH7" s="1663"/>
      <c r="DI7" s="1663"/>
      <c r="DJ7" s="1663"/>
      <c r="DK7" s="1663"/>
      <c r="DL7" s="1663"/>
      <c r="DM7" s="1663"/>
      <c r="DN7" s="1663"/>
      <c r="DO7" s="1663"/>
      <c r="DP7" s="1663"/>
      <c r="DQ7" s="1663"/>
      <c r="DR7" s="1663"/>
      <c r="DS7" s="1663"/>
      <c r="DT7" s="1663"/>
      <c r="DU7" s="1663"/>
      <c r="DV7" s="1663"/>
      <c r="DW7" s="1663"/>
      <c r="DX7" s="1663"/>
      <c r="DY7" s="1663"/>
      <c r="DZ7" s="1663"/>
      <c r="EA7" s="1664" t="s">
        <v>862</v>
      </c>
      <c r="EB7" s="315">
        <f>IFERROR(SUMIFS('Existing Customers'!$AC:$AC,'Existing Customers'!$A:$A,'Multi-Customer'!EB$1)/SUMIFS('Existing Customers'!$Q:$Q,'Existing Customers'!$A:$A,'Multi-Customer'!EB$1),0)</f>
        <v>0</v>
      </c>
      <c r="EC7" s="1663"/>
      <c r="ED7" s="1663"/>
      <c r="EE7" s="1663"/>
      <c r="EF7" s="1663"/>
      <c r="EG7" s="1663"/>
      <c r="EH7" s="1663"/>
      <c r="EI7" s="1663"/>
      <c r="EJ7" s="1663"/>
      <c r="EK7" s="1663"/>
      <c r="EL7" s="1663"/>
      <c r="EM7" s="1663"/>
      <c r="EN7" s="1663"/>
      <c r="EO7" s="1663"/>
      <c r="EP7" s="1663"/>
      <c r="EQ7" s="1663"/>
      <c r="ER7" s="1663"/>
      <c r="ES7" s="1663"/>
      <c r="ET7" s="1663"/>
      <c r="EU7" s="1663"/>
      <c r="EV7" s="1663"/>
      <c r="EW7" s="1663"/>
      <c r="EX7" s="1664" t="s">
        <v>862</v>
      </c>
      <c r="EY7" s="315">
        <f>IFERROR(SUMIFS('Existing Customers'!$AC:$AC,'Existing Customers'!$A:$A,'Multi-Customer'!EY$1)/SUMIFS('Existing Customers'!$Q:$Q,'Existing Customers'!$A:$A,'Multi-Customer'!EY$1),0)</f>
        <v>0</v>
      </c>
      <c r="EZ7" s="1663"/>
      <c r="FA7" s="1663"/>
      <c r="FB7" s="1663"/>
      <c r="FC7" s="1663"/>
      <c r="FD7" s="1663"/>
      <c r="FE7" s="1663"/>
      <c r="FF7" s="1663"/>
      <c r="FG7" s="1663"/>
      <c r="FH7" s="1663"/>
      <c r="FI7" s="1663"/>
      <c r="FJ7" s="1663"/>
      <c r="FK7" s="1663"/>
      <c r="FL7" s="1663"/>
      <c r="FM7" s="1663"/>
      <c r="FN7" s="1663"/>
      <c r="FO7" s="1663"/>
      <c r="FP7" s="1663"/>
      <c r="FQ7" s="1663"/>
      <c r="FR7" s="1663"/>
      <c r="FS7" s="1663"/>
      <c r="FT7" s="1663"/>
      <c r="FU7" s="1664" t="s">
        <v>862</v>
      </c>
      <c r="FV7" s="315">
        <f>IFERROR(SUMIFS('Existing Customers'!$AC:$AC,'Existing Customers'!$A:$A,'Multi-Customer'!FV$1)/SUMIFS('Existing Customers'!$Q:$Q,'Existing Customers'!$A:$A,'Multi-Customer'!FV$1),0)</f>
        <v>0</v>
      </c>
      <c r="FW7" s="1663"/>
      <c r="FX7" s="1663"/>
      <c r="FY7" s="1663"/>
      <c r="FZ7" s="1663"/>
      <c r="GA7" s="1663"/>
      <c r="GB7" s="1663"/>
      <c r="GC7" s="1663"/>
      <c r="GD7" s="1663"/>
      <c r="GE7" s="1663"/>
      <c r="GF7" s="1663"/>
      <c r="GG7" s="1663"/>
      <c r="GH7" s="1663"/>
      <c r="GI7" s="1663"/>
      <c r="GJ7" s="1663"/>
      <c r="GK7" s="1663"/>
      <c r="GL7" s="1663"/>
      <c r="GM7" s="1663"/>
      <c r="GN7" s="1663"/>
      <c r="GO7" s="1663"/>
      <c r="GP7" s="1663"/>
      <c r="GQ7" s="1663"/>
      <c r="GR7" s="1664" t="s">
        <v>862</v>
      </c>
      <c r="GS7" s="315">
        <f>IFERROR(SUMIFS('Existing Customers'!$AC:$AC,'Existing Customers'!$A:$A,'Multi-Customer'!GS$1)/SUMIFS('Existing Customers'!$Q:$Q,'Existing Customers'!$A:$A,'Multi-Customer'!GS$1),0)</f>
        <v>0</v>
      </c>
      <c r="GT7" s="1663"/>
      <c r="GU7" s="1663"/>
      <c r="GV7" s="1663"/>
      <c r="GW7" s="1663"/>
      <c r="GX7" s="1663"/>
      <c r="GY7" s="1663"/>
      <c r="GZ7" s="1663"/>
      <c r="HA7" s="1663"/>
      <c r="HB7" s="1663"/>
      <c r="HC7" s="1663"/>
      <c r="HD7" s="1663"/>
      <c r="HE7" s="1663"/>
      <c r="HF7" s="1663"/>
      <c r="HG7" s="1663"/>
      <c r="HH7" s="1663"/>
      <c r="HI7" s="1663"/>
      <c r="HJ7" s="1663"/>
      <c r="HK7" s="1663"/>
      <c r="HL7" s="1663"/>
      <c r="HM7" s="1663"/>
      <c r="HN7" s="1663"/>
      <c r="HO7" s="1664" t="s">
        <v>862</v>
      </c>
      <c r="HP7" s="315">
        <f>IFERROR(SUMIFS('Existing Customers'!$AC:$AC,'Existing Customers'!$A:$A,'Multi-Customer'!HP$1)/SUMIFS('Existing Customers'!$Q:$Q,'Existing Customers'!$A:$A,'Multi-Customer'!HP$1),0)</f>
        <v>0</v>
      </c>
      <c r="HQ7" s="1663"/>
      <c r="HR7" s="1663"/>
      <c r="HS7" s="1663"/>
      <c r="HT7" s="1663"/>
      <c r="HU7" s="1663"/>
      <c r="HV7" s="1663"/>
      <c r="HW7" s="1663"/>
      <c r="HX7" s="1663"/>
      <c r="HY7" s="1663"/>
      <c r="HZ7" s="1663"/>
      <c r="IA7" s="1663"/>
      <c r="IB7" s="1663"/>
      <c r="IC7" s="1663"/>
      <c r="ID7" s="1663"/>
      <c r="IE7" s="1663"/>
      <c r="IF7" s="1663"/>
      <c r="IG7" s="1663"/>
      <c r="IH7" s="1663"/>
      <c r="II7" s="1663"/>
      <c r="IJ7" s="1663"/>
      <c r="IK7" s="1663"/>
      <c r="IL7" s="1664" t="s">
        <v>862</v>
      </c>
      <c r="IM7" s="315">
        <f>IFERROR(SUMIFS('Existing Customers'!$AC:$AC,'Existing Customers'!$A:$A,'Multi-Customer'!IM$1)/SUMIFS('Existing Customers'!$Q:$Q,'Existing Customers'!$A:$A,'Multi-Customer'!IM$1),0)</f>
        <v>0</v>
      </c>
      <c r="IN7" s="1663"/>
      <c r="IO7" s="1663"/>
      <c r="IP7" s="1663"/>
      <c r="IQ7" s="1663"/>
      <c r="IR7" s="1663"/>
      <c r="IS7" s="1663"/>
      <c r="IT7" s="1663"/>
      <c r="IU7" s="1663"/>
      <c r="IV7" s="1663"/>
      <c r="IW7" s="1663"/>
      <c r="IX7" s="1663"/>
      <c r="IY7" s="1663"/>
      <c r="IZ7" s="1663"/>
      <c r="JA7" s="1663"/>
      <c r="JB7" s="1663"/>
      <c r="JC7" s="1663"/>
      <c r="JD7" s="1663"/>
      <c r="JE7" s="1663"/>
      <c r="JF7" s="1663"/>
      <c r="JG7" s="1663"/>
      <c r="JH7" s="1663"/>
      <c r="JI7" s="1664" t="s">
        <v>862</v>
      </c>
      <c r="JJ7" s="315">
        <f>IFERROR(SUMIFS('Existing Customers'!$AC:$AC,'Existing Customers'!$A:$A,'Multi-Customer'!JJ$1)/SUMIFS('Existing Customers'!$Q:$Q,'Existing Customers'!$A:$A,'Multi-Customer'!JJ$1),0)</f>
        <v>0</v>
      </c>
      <c r="JK7" s="1663"/>
      <c r="JL7" s="1663"/>
      <c r="JM7" s="1663"/>
      <c r="JN7" s="1663"/>
      <c r="JO7" s="1663"/>
      <c r="JP7" s="1663"/>
      <c r="JQ7" s="1663"/>
      <c r="JR7" s="1663"/>
      <c r="JS7" s="1663"/>
      <c r="JT7" s="1663"/>
      <c r="JU7" s="1663"/>
      <c r="JV7" s="1663"/>
      <c r="JW7" s="1663"/>
      <c r="JX7" s="1663"/>
      <c r="JY7" s="1663"/>
      <c r="JZ7" s="1663"/>
      <c r="KA7" s="1663"/>
      <c r="KB7" s="1663"/>
      <c r="KC7" s="1663"/>
      <c r="KD7" s="1663"/>
      <c r="KE7" s="1663"/>
      <c r="KF7" s="1664" t="s">
        <v>862</v>
      </c>
      <c r="KG7" s="315">
        <f>IFERROR(SUMIFS('Existing Customers'!$AC:$AC,'Existing Customers'!$A:$A,'Multi-Customer'!KG$1)/SUMIFS('Existing Customers'!$Q:$Q,'Existing Customers'!$A:$A,'Multi-Customer'!KG$1),0)</f>
        <v>0</v>
      </c>
      <c r="KH7" s="1663"/>
      <c r="KI7" s="1663"/>
      <c r="KJ7" s="1663"/>
      <c r="KK7" s="1663"/>
      <c r="KL7" s="1663"/>
      <c r="KM7" s="1663"/>
      <c r="KN7" s="1663"/>
      <c r="KO7" s="1663"/>
      <c r="KP7" s="1663"/>
      <c r="KQ7" s="1663"/>
      <c r="KR7" s="1663"/>
      <c r="KS7" s="1663"/>
      <c r="KT7" s="1663"/>
      <c r="KU7" s="1663"/>
      <c r="KV7" s="1663"/>
      <c r="KW7" s="1663"/>
      <c r="KX7" s="1663"/>
      <c r="KY7" s="1663"/>
      <c r="KZ7" s="1663"/>
      <c r="LA7" s="1663"/>
      <c r="LB7" s="1663"/>
      <c r="LC7" s="1664" t="s">
        <v>862</v>
      </c>
      <c r="LD7" s="315">
        <f>IFERROR(SUMIFS('Existing Customers'!$AC:$AC,'Existing Customers'!$A:$A,'Multi-Customer'!LD$1)/SUMIFS('Existing Customers'!$Q:$Q,'Existing Customers'!$A:$A,'Multi-Customer'!LD$1),0)</f>
        <v>0</v>
      </c>
      <c r="LE7" s="1663"/>
      <c r="LF7" s="1663"/>
      <c r="LG7" s="1663"/>
      <c r="LH7" s="1663"/>
      <c r="LI7" s="1663"/>
      <c r="LJ7" s="1663"/>
      <c r="LK7" s="1663"/>
      <c r="LL7" s="1663"/>
      <c r="LM7" s="1663"/>
      <c r="LN7" s="1663"/>
      <c r="LO7" s="1663"/>
      <c r="LP7" s="1663"/>
      <c r="LQ7" s="1663"/>
      <c r="LR7" s="1663"/>
      <c r="LS7" s="1663"/>
      <c r="LT7" s="1663"/>
      <c r="LU7" s="1663"/>
      <c r="LV7" s="1663"/>
      <c r="LW7" s="1663"/>
      <c r="LX7" s="1663"/>
      <c r="LY7" s="1663"/>
      <c r="LZ7" s="1664" t="s">
        <v>862</v>
      </c>
      <c r="MA7" s="315">
        <f>IFERROR(SUMIFS('Existing Customers'!$AC:$AC,'Existing Customers'!$A:$A,'Multi-Customer'!MA$1)/SUMIFS('Existing Customers'!$Q:$Q,'Existing Customers'!$A:$A,'Multi-Customer'!MA$1),0)</f>
        <v>0</v>
      </c>
      <c r="MB7" s="1663"/>
      <c r="MC7" s="1663"/>
      <c r="MD7" s="1663"/>
      <c r="ME7" s="1663"/>
      <c r="MF7" s="1663"/>
      <c r="MG7" s="1663"/>
      <c r="MH7" s="1663"/>
      <c r="MI7" s="1663"/>
      <c r="MJ7" s="1663"/>
      <c r="MK7" s="1663"/>
      <c r="ML7" s="1663"/>
      <c r="MM7" s="1663"/>
      <c r="MN7" s="1663"/>
      <c r="MO7" s="1663"/>
      <c r="MP7" s="1663"/>
      <c r="MQ7" s="1663"/>
      <c r="MR7" s="1663"/>
      <c r="MS7" s="1663"/>
      <c r="MT7" s="1663"/>
      <c r="MU7" s="1663"/>
      <c r="MV7" s="1663"/>
      <c r="MW7" s="1664" t="s">
        <v>862</v>
      </c>
      <c r="MX7" s="315">
        <f>IFERROR(SUMIFS('Existing Customers'!$AC:$AC,'Existing Customers'!$A:$A,'Multi-Customer'!MX$1)/SUMIFS('Existing Customers'!$Q:$Q,'Existing Customers'!$A:$A,'Multi-Customer'!MX$1),0)</f>
        <v>0</v>
      </c>
      <c r="MY7" s="1663"/>
      <c r="MZ7" s="1663"/>
      <c r="NA7" s="1663"/>
      <c r="NB7" s="1663"/>
      <c r="NC7" s="1663"/>
      <c r="ND7" s="1663"/>
      <c r="NE7" s="1663"/>
      <c r="NF7" s="1663"/>
      <c r="NG7" s="1663"/>
      <c r="NH7" s="1663"/>
      <c r="NI7" s="1663"/>
      <c r="NJ7" s="1663"/>
      <c r="NK7" s="1663"/>
      <c r="NL7" s="1663"/>
      <c r="NM7" s="1663"/>
      <c r="NN7" s="1663"/>
      <c r="NO7" s="1663"/>
      <c r="NP7" s="1663"/>
      <c r="NQ7" s="1663"/>
      <c r="NR7" s="1663"/>
      <c r="NS7" s="1663"/>
      <c r="NT7" s="1664" t="s">
        <v>862</v>
      </c>
      <c r="NU7" s="315">
        <f>IFERROR(SUMIFS('Existing Customers'!$AC:$AC,'Existing Customers'!$A:$A,'Multi-Customer'!NU$1)/SUMIFS('Existing Customers'!$Q:$Q,'Existing Customers'!$A:$A,'Multi-Customer'!NU$1),0)</f>
        <v>0</v>
      </c>
      <c r="NV7" s="1663"/>
      <c r="NW7" s="1663"/>
      <c r="NX7" s="1663"/>
      <c r="NY7" s="1663"/>
      <c r="NZ7" s="1663"/>
      <c r="OA7" s="1663"/>
      <c r="OB7" s="1663"/>
      <c r="OC7" s="1663"/>
      <c r="OD7" s="1663"/>
      <c r="OE7" s="1663"/>
      <c r="OF7" s="1663"/>
      <c r="OG7" s="1663"/>
      <c r="OH7" s="1663"/>
      <c r="OI7" s="1663"/>
      <c r="OJ7" s="1663"/>
      <c r="OK7" s="1663"/>
      <c r="OL7" s="1663"/>
      <c r="OM7" s="1663"/>
      <c r="ON7" s="1663"/>
      <c r="OO7" s="1663"/>
      <c r="OP7" s="1663"/>
      <c r="OQ7" s="1664" t="s">
        <v>862</v>
      </c>
      <c r="OR7" s="315">
        <f>IFERROR(SUMIFS('Existing Customers'!$AC:$AC,'Existing Customers'!$A:$A,'Multi-Customer'!OR$1)/SUMIFS('Existing Customers'!$Q:$Q,'Existing Customers'!$A:$A,'Multi-Customer'!OR$1),0)</f>
        <v>0</v>
      </c>
      <c r="OS7" s="1663"/>
      <c r="OT7" s="1663"/>
      <c r="OU7" s="1663"/>
      <c r="OV7" s="1663"/>
      <c r="OW7" s="1663"/>
      <c r="OX7" s="1663"/>
      <c r="OY7" s="1663"/>
      <c r="OZ7" s="1663"/>
      <c r="PA7" s="1663"/>
      <c r="PB7" s="1663"/>
      <c r="PC7" s="1663"/>
      <c r="PD7" s="1663"/>
      <c r="PE7" s="1663"/>
      <c r="PF7" s="1663"/>
      <c r="PG7" s="1663"/>
      <c r="PH7" s="1663"/>
      <c r="PI7" s="1663"/>
      <c r="PJ7" s="1663"/>
      <c r="PK7" s="1663"/>
      <c r="PL7" s="1663"/>
      <c r="PM7" s="1663"/>
      <c r="PN7" s="1664" t="s">
        <v>862</v>
      </c>
      <c r="PO7" s="315">
        <f>IFERROR(SUMIFS('Existing Customers'!$AC:$AC,'Existing Customers'!$A:$A,'Multi-Customer'!PO$1)/SUMIFS('Existing Customers'!$Q:$Q,'Existing Customers'!$A:$A,'Multi-Customer'!PO$1),0)</f>
        <v>0</v>
      </c>
      <c r="PP7" s="1663"/>
      <c r="PQ7" s="1663"/>
      <c r="PR7" s="1663"/>
      <c r="PS7" s="1663"/>
      <c r="PT7" s="1663"/>
      <c r="PU7" s="1663"/>
      <c r="PV7" s="1663"/>
      <c r="PW7" s="1663"/>
      <c r="PX7" s="1663"/>
      <c r="PY7" s="1663"/>
      <c r="PZ7" s="1663"/>
      <c r="QA7" s="1663"/>
      <c r="QB7" s="1663"/>
      <c r="QC7" s="1663"/>
      <c r="QD7" s="1663"/>
      <c r="QE7" s="1663"/>
      <c r="QF7" s="1663"/>
      <c r="QG7" s="1663"/>
      <c r="QH7" s="1663"/>
      <c r="QI7" s="1663"/>
      <c r="QJ7" s="1663"/>
      <c r="QK7" s="1664" t="s">
        <v>862</v>
      </c>
      <c r="QL7" s="315">
        <f>IFERROR(SUMIFS('Existing Customers'!$AC:$AC,'Existing Customers'!$A:$A,'Multi-Customer'!QL$1)/SUMIFS('Existing Customers'!$Q:$Q,'Existing Customers'!$A:$A,'Multi-Customer'!QL$1),0)</f>
        <v>0</v>
      </c>
      <c r="QM7" s="1663"/>
      <c r="QN7" s="1663"/>
      <c r="QO7" s="1663"/>
      <c r="QP7" s="1663"/>
      <c r="QQ7" s="1663"/>
      <c r="QR7" s="1663"/>
      <c r="QS7" s="1663"/>
      <c r="QT7" s="1663"/>
      <c r="QU7" s="1663"/>
      <c r="QV7" s="1663"/>
      <c r="QW7" s="1663"/>
      <c r="QX7" s="1663"/>
      <c r="QY7" s="1663"/>
      <c r="QZ7" s="1663"/>
      <c r="RA7" s="1663"/>
      <c r="RB7" s="1663"/>
      <c r="RC7" s="1663"/>
      <c r="RD7" s="1663"/>
      <c r="RE7" s="1663"/>
      <c r="RF7" s="1663"/>
      <c r="RG7" s="1663"/>
      <c r="RH7" s="1664" t="s">
        <v>862</v>
      </c>
      <c r="RI7" s="315">
        <f>IFERROR(SUMIFS('Existing Customers'!$AC:$AC,'Existing Customers'!$A:$A,'Multi-Customer'!RI$1)/SUMIFS('Existing Customers'!$Q:$Q,'Existing Customers'!$A:$A,'Multi-Customer'!RI$1),0)</f>
        <v>0</v>
      </c>
      <c r="RJ7" s="1663"/>
      <c r="RK7" s="1663"/>
      <c r="RL7" s="1663"/>
      <c r="RM7" s="1663"/>
      <c r="RN7" s="1663"/>
      <c r="RO7" s="1663"/>
      <c r="RP7" s="1663"/>
      <c r="RQ7" s="1663"/>
      <c r="RR7" s="1663"/>
      <c r="RS7" s="1663"/>
      <c r="RT7" s="1663"/>
      <c r="RU7" s="1663"/>
      <c r="RV7" s="1663"/>
      <c r="RW7" s="1663"/>
      <c r="RX7" s="1663"/>
      <c r="RY7" s="1663"/>
      <c r="RZ7" s="1663"/>
      <c r="SA7" s="1663"/>
      <c r="SB7" s="1663"/>
      <c r="SC7" s="1663"/>
      <c r="SD7" s="1663"/>
      <c r="SE7" s="1664" t="s">
        <v>862</v>
      </c>
      <c r="SF7" s="315">
        <f>IFERROR(SUMIFS('Existing Customers'!$AC:$AC,'Existing Customers'!$A:$A,'Multi-Customer'!SF$1)/SUMIFS('Existing Customers'!$Q:$Q,'Existing Customers'!$A:$A,'Multi-Customer'!SF$1),0)</f>
        <v>0</v>
      </c>
      <c r="SG7" s="1663"/>
      <c r="SH7" s="1663"/>
      <c r="SI7" s="1663"/>
      <c r="SJ7" s="1663"/>
      <c r="SK7" s="1663"/>
      <c r="SL7" s="1663"/>
      <c r="SM7" s="1663"/>
      <c r="SN7" s="1663"/>
      <c r="SO7" s="1663"/>
      <c r="SP7" s="1663"/>
      <c r="SQ7" s="1663"/>
      <c r="SR7" s="1663"/>
      <c r="SS7" s="1663"/>
      <c r="ST7" s="1663"/>
      <c r="SU7" s="1663"/>
      <c r="SV7" s="1663"/>
      <c r="SW7" s="1663"/>
      <c r="SX7" s="1663"/>
      <c r="SY7" s="1663"/>
      <c r="SZ7" s="1663"/>
      <c r="TA7" s="1663"/>
      <c r="TB7" s="1663"/>
      <c r="TC7" s="1663"/>
      <c r="TD7" s="1663"/>
      <c r="TE7" s="1663"/>
      <c r="TF7" s="1663"/>
      <c r="TG7" s="1663"/>
      <c r="TH7" s="1663"/>
      <c r="TI7" s="1663"/>
      <c r="TJ7" s="1663"/>
      <c r="TK7" s="1663"/>
      <c r="TL7" s="1663"/>
      <c r="TM7" s="1663"/>
      <c r="TN7" s="1663"/>
      <c r="TO7" s="1663"/>
      <c r="TP7" s="1663"/>
      <c r="TQ7" s="1663"/>
      <c r="TR7" s="1663"/>
    </row>
    <row r="8" spans="1:538" x14ac:dyDescent="0.25">
      <c r="A8" s="1663"/>
      <c r="B8" s="1663"/>
      <c r="C8" s="1663"/>
      <c r="D8" s="1663"/>
      <c r="E8" s="1663"/>
      <c r="F8" s="1663"/>
      <c r="G8" s="1663"/>
      <c r="H8" s="166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1663"/>
      <c r="AK8" s="1663"/>
      <c r="AL8" s="1663"/>
      <c r="AM8" s="1663"/>
      <c r="AN8" s="1663"/>
      <c r="AO8" s="1663"/>
      <c r="AP8" s="1663"/>
      <c r="AQ8" s="1663"/>
      <c r="AR8" s="1663"/>
      <c r="AS8" s="1663"/>
      <c r="AT8" s="1663"/>
      <c r="AU8" s="1663"/>
      <c r="AV8" s="1663"/>
      <c r="AW8" s="1663"/>
      <c r="AX8" s="1663"/>
      <c r="AY8" s="1663"/>
      <c r="AZ8" s="1663"/>
      <c r="BA8" s="1663"/>
      <c r="BB8" s="1663"/>
      <c r="BC8" s="1663"/>
      <c r="BD8" s="1663"/>
      <c r="BE8" s="1663"/>
      <c r="BF8" s="1663"/>
      <c r="BG8" s="1663"/>
      <c r="BH8" s="1663"/>
      <c r="BI8" s="1663"/>
      <c r="BJ8" s="1664" t="s">
        <v>855</v>
      </c>
      <c r="BK8" s="295">
        <f>'Customer Inputs'!$T$6</f>
        <v>0</v>
      </c>
      <c r="BL8" s="1663"/>
      <c r="BM8" s="1663"/>
      <c r="BN8" s="1663"/>
      <c r="BO8" s="1663"/>
      <c r="BP8" s="1663"/>
      <c r="BQ8" s="1663"/>
      <c r="BR8" s="1663"/>
      <c r="BS8" s="1663"/>
      <c r="BT8" s="1663"/>
      <c r="BU8" s="1663"/>
      <c r="BV8" s="1663"/>
      <c r="BW8" s="1663"/>
      <c r="BX8" s="1663"/>
      <c r="BY8" s="1663"/>
      <c r="BZ8" s="1663"/>
      <c r="CA8" s="1663"/>
      <c r="CB8" s="1663"/>
      <c r="CC8" s="1663"/>
      <c r="CD8" s="1663"/>
      <c r="CE8" s="1663"/>
      <c r="CF8" s="1663"/>
      <c r="CG8" s="1664" t="s">
        <v>855</v>
      </c>
      <c r="CH8" s="295">
        <f>'Customer Inputs'!$T$7</f>
        <v>0</v>
      </c>
      <c r="CI8" s="1663"/>
      <c r="CJ8" s="1663"/>
      <c r="CK8" s="1663"/>
      <c r="CL8" s="1663"/>
      <c r="CM8" s="1663"/>
      <c r="CN8" s="1663"/>
      <c r="CO8" s="1663"/>
      <c r="CP8" s="1663"/>
      <c r="CQ8" s="1663"/>
      <c r="CR8" s="1663"/>
      <c r="CS8" s="1663"/>
      <c r="CT8" s="1663"/>
      <c r="CU8" s="1663"/>
      <c r="CV8" s="1663"/>
      <c r="CW8" s="1663"/>
      <c r="CX8" s="1663"/>
      <c r="CY8" s="1663"/>
      <c r="CZ8" s="1663"/>
      <c r="DA8" s="1663"/>
      <c r="DB8" s="1663"/>
      <c r="DC8" s="1663"/>
      <c r="DD8" s="1664" t="s">
        <v>855</v>
      </c>
      <c r="DE8" s="295">
        <f>'Customer Inputs'!$T$8</f>
        <v>0</v>
      </c>
      <c r="DF8" s="1663"/>
      <c r="DG8" s="1663"/>
      <c r="DH8" s="1663"/>
      <c r="DI8" s="1663"/>
      <c r="DJ8" s="1663"/>
      <c r="DK8" s="1663"/>
      <c r="DL8" s="1663"/>
      <c r="DM8" s="1663"/>
      <c r="DN8" s="1663"/>
      <c r="DO8" s="1663"/>
      <c r="DP8" s="1663"/>
      <c r="DQ8" s="1663"/>
      <c r="DR8" s="1663"/>
      <c r="DS8" s="1663"/>
      <c r="DT8" s="1663"/>
      <c r="DU8" s="1663"/>
      <c r="DV8" s="1663"/>
      <c r="DW8" s="1663"/>
      <c r="DX8" s="1663"/>
      <c r="DY8" s="1663"/>
      <c r="DZ8" s="1663"/>
      <c r="EA8" s="1664" t="s">
        <v>855</v>
      </c>
      <c r="EB8" s="295">
        <f>'Customer Inputs'!$T$9</f>
        <v>0</v>
      </c>
      <c r="EC8" s="1663"/>
      <c r="ED8" s="1663"/>
      <c r="EE8" s="1663"/>
      <c r="EF8" s="1663"/>
      <c r="EG8" s="1663"/>
      <c r="EH8" s="1663"/>
      <c r="EI8" s="1663"/>
      <c r="EJ8" s="1663"/>
      <c r="EK8" s="1663"/>
      <c r="EL8" s="1663"/>
      <c r="EM8" s="1663"/>
      <c r="EN8" s="1663"/>
      <c r="EO8" s="1663"/>
      <c r="EP8" s="1663"/>
      <c r="EQ8" s="1663"/>
      <c r="ER8" s="1663"/>
      <c r="ES8" s="1663"/>
      <c r="ET8" s="1663"/>
      <c r="EU8" s="1663"/>
      <c r="EV8" s="1663"/>
      <c r="EW8" s="1663"/>
      <c r="EX8" s="1664" t="s">
        <v>855</v>
      </c>
      <c r="EY8" s="295">
        <f>'Customer Inputs'!$T$10</f>
        <v>0</v>
      </c>
      <c r="EZ8" s="1663"/>
      <c r="FA8" s="1663"/>
      <c r="FB8" s="1663"/>
      <c r="FC8" s="1663"/>
      <c r="FD8" s="1663"/>
      <c r="FE8" s="1663"/>
      <c r="FF8" s="1663"/>
      <c r="FG8" s="1663"/>
      <c r="FH8" s="1663"/>
      <c r="FI8" s="1663"/>
      <c r="FJ8" s="1663"/>
      <c r="FK8" s="1663"/>
      <c r="FL8" s="1663"/>
      <c r="FM8" s="1663"/>
      <c r="FN8" s="1663"/>
      <c r="FO8" s="1663"/>
      <c r="FP8" s="1663"/>
      <c r="FQ8" s="1663"/>
      <c r="FR8" s="1663"/>
      <c r="FS8" s="1663"/>
      <c r="FT8" s="1663"/>
      <c r="FU8" s="1664" t="s">
        <v>855</v>
      </c>
      <c r="FV8" s="295">
        <f>'Customer Inputs'!$T$11</f>
        <v>0</v>
      </c>
      <c r="FW8" s="1663"/>
      <c r="FX8" s="1663"/>
      <c r="FY8" s="1663"/>
      <c r="FZ8" s="1663"/>
      <c r="GA8" s="1663"/>
      <c r="GB8" s="1663"/>
      <c r="GC8" s="1663"/>
      <c r="GD8" s="1663"/>
      <c r="GE8" s="1663"/>
      <c r="GF8" s="1663"/>
      <c r="GG8" s="1663"/>
      <c r="GH8" s="1663"/>
      <c r="GI8" s="1663"/>
      <c r="GJ8" s="1663"/>
      <c r="GK8" s="1663"/>
      <c r="GL8" s="1663"/>
      <c r="GM8" s="1663"/>
      <c r="GN8" s="1663"/>
      <c r="GO8" s="1663"/>
      <c r="GP8" s="1663"/>
      <c r="GQ8" s="1663"/>
      <c r="GR8" s="1664" t="s">
        <v>855</v>
      </c>
      <c r="GS8" s="295">
        <f>'Customer Inputs'!$T$12</f>
        <v>0</v>
      </c>
      <c r="GT8" s="1663"/>
      <c r="GU8" s="1663"/>
      <c r="GV8" s="1663"/>
      <c r="GW8" s="1663"/>
      <c r="GX8" s="1663"/>
      <c r="GY8" s="1663"/>
      <c r="GZ8" s="1663"/>
      <c r="HA8" s="1663"/>
      <c r="HB8" s="1663"/>
      <c r="HC8" s="1663"/>
      <c r="HD8" s="1663"/>
      <c r="HE8" s="1663"/>
      <c r="HF8" s="1663"/>
      <c r="HG8" s="1663"/>
      <c r="HH8" s="1663"/>
      <c r="HI8" s="1663"/>
      <c r="HJ8" s="1663"/>
      <c r="HK8" s="1663"/>
      <c r="HL8" s="1663"/>
      <c r="HM8" s="1663"/>
      <c r="HN8" s="1663"/>
      <c r="HO8" s="1664" t="s">
        <v>855</v>
      </c>
      <c r="HP8" s="295">
        <f>'Customer Inputs'!$T$13</f>
        <v>0</v>
      </c>
      <c r="HQ8" s="1663"/>
      <c r="HR8" s="1663"/>
      <c r="HS8" s="1663"/>
      <c r="HT8" s="1663"/>
      <c r="HU8" s="1663"/>
      <c r="HV8" s="1663"/>
      <c r="HW8" s="1663"/>
      <c r="HX8" s="1663"/>
      <c r="HY8" s="1663"/>
      <c r="HZ8" s="1663"/>
      <c r="IA8" s="1663"/>
      <c r="IB8" s="1663"/>
      <c r="IC8" s="1663"/>
      <c r="ID8" s="1663"/>
      <c r="IE8" s="1663"/>
      <c r="IF8" s="1663"/>
      <c r="IG8" s="1663"/>
      <c r="IH8" s="1663"/>
      <c r="II8" s="1663"/>
      <c r="IJ8" s="1663"/>
      <c r="IK8" s="1663"/>
      <c r="IL8" s="1664" t="s">
        <v>855</v>
      </c>
      <c r="IM8" s="295">
        <f>'Customer Inputs'!$T$14</f>
        <v>0</v>
      </c>
      <c r="IN8" s="1663"/>
      <c r="IO8" s="1663"/>
      <c r="IP8" s="1663"/>
      <c r="IQ8" s="1663"/>
      <c r="IR8" s="1663"/>
      <c r="IS8" s="1663"/>
      <c r="IT8" s="1663"/>
      <c r="IU8" s="1663"/>
      <c r="IV8" s="1663"/>
      <c r="IW8" s="1663"/>
      <c r="IX8" s="1663"/>
      <c r="IY8" s="1663"/>
      <c r="IZ8" s="1663"/>
      <c r="JA8" s="1663"/>
      <c r="JB8" s="1663"/>
      <c r="JC8" s="1663"/>
      <c r="JD8" s="1663"/>
      <c r="JE8" s="1663"/>
      <c r="JF8" s="1663"/>
      <c r="JG8" s="1663"/>
      <c r="JH8" s="1663"/>
      <c r="JI8" s="1664" t="s">
        <v>855</v>
      </c>
      <c r="JJ8" s="295">
        <f>'Customer Inputs'!$T$15</f>
        <v>0</v>
      </c>
      <c r="JK8" s="1663"/>
      <c r="JL8" s="1663"/>
      <c r="JM8" s="1663"/>
      <c r="JN8" s="1663"/>
      <c r="JO8" s="1663"/>
      <c r="JP8" s="1663"/>
      <c r="JQ8" s="1663"/>
      <c r="JR8" s="1663"/>
      <c r="JS8" s="1663"/>
      <c r="JT8" s="1663"/>
      <c r="JU8" s="1663"/>
      <c r="JV8" s="1663"/>
      <c r="JW8" s="1663"/>
      <c r="JX8" s="1663"/>
      <c r="JY8" s="1663"/>
      <c r="JZ8" s="1663"/>
      <c r="KA8" s="1663"/>
      <c r="KB8" s="1663"/>
      <c r="KC8" s="1663"/>
      <c r="KD8" s="1663"/>
      <c r="KE8" s="1663"/>
      <c r="KF8" s="1664" t="s">
        <v>855</v>
      </c>
      <c r="KG8" s="295">
        <f>'Customer Inputs'!$T$16</f>
        <v>0</v>
      </c>
      <c r="KH8" s="1663"/>
      <c r="KI8" s="1663"/>
      <c r="KJ8" s="1663"/>
      <c r="KK8" s="1663"/>
      <c r="KL8" s="1663"/>
      <c r="KM8" s="1663"/>
      <c r="KN8" s="1663"/>
      <c r="KO8" s="1663"/>
      <c r="KP8" s="1663"/>
      <c r="KQ8" s="1663"/>
      <c r="KR8" s="1663"/>
      <c r="KS8" s="1663"/>
      <c r="KT8" s="1663"/>
      <c r="KU8" s="1663"/>
      <c r="KV8" s="1663"/>
      <c r="KW8" s="1663"/>
      <c r="KX8" s="1663"/>
      <c r="KY8" s="1663"/>
      <c r="KZ8" s="1663"/>
      <c r="LA8" s="1663"/>
      <c r="LB8" s="1663"/>
      <c r="LC8" s="1664" t="s">
        <v>855</v>
      </c>
      <c r="LD8" s="295">
        <f>'Customer Inputs'!$T$17</f>
        <v>0</v>
      </c>
      <c r="LE8" s="1663"/>
      <c r="LF8" s="1663"/>
      <c r="LG8" s="1663"/>
      <c r="LH8" s="1663"/>
      <c r="LI8" s="1663"/>
      <c r="LJ8" s="1663"/>
      <c r="LK8" s="1663"/>
      <c r="LL8" s="1663"/>
      <c r="LM8" s="1663"/>
      <c r="LN8" s="1663"/>
      <c r="LO8" s="1663"/>
      <c r="LP8" s="1663"/>
      <c r="LQ8" s="1663"/>
      <c r="LR8" s="1663"/>
      <c r="LS8" s="1663"/>
      <c r="LT8" s="1663"/>
      <c r="LU8" s="1663"/>
      <c r="LV8" s="1663"/>
      <c r="LW8" s="1663"/>
      <c r="LX8" s="1663"/>
      <c r="LY8" s="1663"/>
      <c r="LZ8" s="1664" t="s">
        <v>855</v>
      </c>
      <c r="MA8" s="295">
        <f>'Customer Inputs'!$T$18</f>
        <v>0</v>
      </c>
      <c r="MB8" s="1663"/>
      <c r="MC8" s="1663"/>
      <c r="MD8" s="1663"/>
      <c r="ME8" s="1663"/>
      <c r="MF8" s="1663"/>
      <c r="MG8" s="1663"/>
      <c r="MH8" s="1663"/>
      <c r="MI8" s="1663"/>
      <c r="MJ8" s="1663"/>
      <c r="MK8" s="1663"/>
      <c r="ML8" s="1663"/>
      <c r="MM8" s="1663"/>
      <c r="MN8" s="1663"/>
      <c r="MO8" s="1663"/>
      <c r="MP8" s="1663"/>
      <c r="MQ8" s="1663"/>
      <c r="MR8" s="1663"/>
      <c r="MS8" s="1663"/>
      <c r="MT8" s="1663"/>
      <c r="MU8" s="1663"/>
      <c r="MV8" s="1663"/>
      <c r="MW8" s="1664" t="s">
        <v>855</v>
      </c>
      <c r="MX8" s="295">
        <f>'Customer Inputs'!$T$19</f>
        <v>0</v>
      </c>
      <c r="MY8" s="1663"/>
      <c r="MZ8" s="1663"/>
      <c r="NA8" s="1663"/>
      <c r="NB8" s="1663"/>
      <c r="NC8" s="1663"/>
      <c r="ND8" s="1663"/>
      <c r="NE8" s="1663"/>
      <c r="NF8" s="1663"/>
      <c r="NG8" s="1663"/>
      <c r="NH8" s="1663"/>
      <c r="NI8" s="1663"/>
      <c r="NJ8" s="1663"/>
      <c r="NK8" s="1663"/>
      <c r="NL8" s="1663"/>
      <c r="NM8" s="1663"/>
      <c r="NN8" s="1663"/>
      <c r="NO8" s="1663"/>
      <c r="NP8" s="1663"/>
      <c r="NQ8" s="1663"/>
      <c r="NR8" s="1663"/>
      <c r="NS8" s="1663"/>
      <c r="NT8" s="1664" t="s">
        <v>855</v>
      </c>
      <c r="NU8" s="295">
        <f>'Customer Inputs'!$T$20</f>
        <v>0</v>
      </c>
      <c r="NV8" s="1663"/>
      <c r="NW8" s="1663"/>
      <c r="NX8" s="1663"/>
      <c r="NY8" s="1663"/>
      <c r="NZ8" s="1663"/>
      <c r="OA8" s="1663"/>
      <c r="OB8" s="1663"/>
      <c r="OC8" s="1663"/>
      <c r="OD8" s="1663"/>
      <c r="OE8" s="1663"/>
      <c r="OF8" s="1663"/>
      <c r="OG8" s="1663"/>
      <c r="OH8" s="1663"/>
      <c r="OI8" s="1663"/>
      <c r="OJ8" s="1663"/>
      <c r="OK8" s="1663"/>
      <c r="OL8" s="1663"/>
      <c r="OM8" s="1663"/>
      <c r="ON8" s="1663"/>
      <c r="OO8" s="1663"/>
      <c r="OP8" s="1663"/>
      <c r="OQ8" s="1664" t="s">
        <v>855</v>
      </c>
      <c r="OR8" s="295">
        <f>'Customer Inputs'!$T$21</f>
        <v>0</v>
      </c>
      <c r="OS8" s="1663"/>
      <c r="OT8" s="1663"/>
      <c r="OU8" s="1663"/>
      <c r="OV8" s="1663"/>
      <c r="OW8" s="1663"/>
      <c r="OX8" s="1663"/>
      <c r="OY8" s="1663"/>
      <c r="OZ8" s="1663"/>
      <c r="PA8" s="1663"/>
      <c r="PB8" s="1663"/>
      <c r="PC8" s="1663"/>
      <c r="PD8" s="1663"/>
      <c r="PE8" s="1663"/>
      <c r="PF8" s="1663"/>
      <c r="PG8" s="1663"/>
      <c r="PH8" s="1663"/>
      <c r="PI8" s="1663"/>
      <c r="PJ8" s="1663"/>
      <c r="PK8" s="1663"/>
      <c r="PL8" s="1663"/>
      <c r="PM8" s="1663"/>
      <c r="PN8" s="1664" t="s">
        <v>855</v>
      </c>
      <c r="PO8" s="295">
        <f>'Customer Inputs'!$T$22</f>
        <v>0</v>
      </c>
      <c r="PP8" s="1663"/>
      <c r="PQ8" s="1663"/>
      <c r="PR8" s="1663"/>
      <c r="PS8" s="1663"/>
      <c r="PT8" s="1663"/>
      <c r="PU8" s="1663"/>
      <c r="PV8" s="1663"/>
      <c r="PW8" s="1663"/>
      <c r="PX8" s="1663"/>
      <c r="PY8" s="1663"/>
      <c r="PZ8" s="1663"/>
      <c r="QA8" s="1663"/>
      <c r="QB8" s="1663"/>
      <c r="QC8" s="1663"/>
      <c r="QD8" s="1663"/>
      <c r="QE8" s="1663"/>
      <c r="QF8" s="1663"/>
      <c r="QG8" s="1663"/>
      <c r="QH8" s="1663"/>
      <c r="QI8" s="1663"/>
      <c r="QJ8" s="1663"/>
      <c r="QK8" s="1664" t="s">
        <v>855</v>
      </c>
      <c r="QL8" s="295">
        <f>'Customer Inputs'!$T$23</f>
        <v>0</v>
      </c>
      <c r="QM8" s="1663"/>
      <c r="QN8" s="1663"/>
      <c r="QO8" s="1663"/>
      <c r="QP8" s="1663"/>
      <c r="QQ8" s="1663"/>
      <c r="QR8" s="1663"/>
      <c r="QS8" s="1663"/>
      <c r="QT8" s="1663"/>
      <c r="QU8" s="1663"/>
      <c r="QV8" s="1663"/>
      <c r="QW8" s="1663"/>
      <c r="QX8" s="1663"/>
      <c r="QY8" s="1663"/>
      <c r="QZ8" s="1663"/>
      <c r="RA8" s="1663"/>
      <c r="RB8" s="1663"/>
      <c r="RC8" s="1663"/>
      <c r="RD8" s="1663"/>
      <c r="RE8" s="1663"/>
      <c r="RF8" s="1663"/>
      <c r="RG8" s="1663"/>
      <c r="RH8" s="1664" t="s">
        <v>855</v>
      </c>
      <c r="RI8" s="295">
        <f>'Customer Inputs'!$T$24</f>
        <v>0</v>
      </c>
      <c r="RJ8" s="1663"/>
      <c r="RK8" s="1663"/>
      <c r="RL8" s="1663"/>
      <c r="RM8" s="1663"/>
      <c r="RN8" s="1663"/>
      <c r="RO8" s="1663"/>
      <c r="RP8" s="1663"/>
      <c r="RQ8" s="1663"/>
      <c r="RR8" s="1663"/>
      <c r="RS8" s="1663"/>
      <c r="RT8" s="1663"/>
      <c r="RU8" s="1663"/>
      <c r="RV8" s="1663"/>
      <c r="RW8" s="1663"/>
      <c r="RX8" s="1663"/>
      <c r="RY8" s="1663"/>
      <c r="RZ8" s="1663"/>
      <c r="SA8" s="1663"/>
      <c r="SB8" s="1663"/>
      <c r="SC8" s="1663"/>
      <c r="SD8" s="1663"/>
      <c r="SE8" s="1664" t="s">
        <v>855</v>
      </c>
      <c r="SF8" s="295">
        <f>'Customer Inputs'!$T$25</f>
        <v>0</v>
      </c>
      <c r="SG8" s="1663"/>
      <c r="SH8" s="1663"/>
      <c r="SI8" s="1663"/>
      <c r="SJ8" s="1663"/>
      <c r="SK8" s="1663"/>
      <c r="SL8" s="1663"/>
      <c r="SM8" s="1663"/>
      <c r="SN8" s="1663"/>
      <c r="SO8" s="1663"/>
      <c r="SP8" s="1663"/>
      <c r="SQ8" s="1663"/>
      <c r="SR8" s="1663"/>
      <c r="SS8" s="1663"/>
      <c r="ST8" s="1663"/>
      <c r="SU8" s="1663"/>
      <c r="SV8" s="1663"/>
      <c r="SW8" s="1663"/>
      <c r="SX8" s="1663"/>
      <c r="SY8" s="1663"/>
      <c r="SZ8" s="1663"/>
      <c r="TA8" s="1663"/>
      <c r="TB8" s="1663"/>
      <c r="TC8" s="1663"/>
      <c r="TD8" s="1663"/>
      <c r="TE8" s="1663"/>
      <c r="TF8" s="1663"/>
      <c r="TG8" s="1663"/>
      <c r="TH8" s="1663"/>
      <c r="TI8" s="1663"/>
      <c r="TJ8" s="1663"/>
      <c r="TK8" s="1663"/>
      <c r="TL8" s="1663"/>
      <c r="TM8" s="1663"/>
      <c r="TN8" s="1663"/>
      <c r="TO8" s="1663"/>
      <c r="TP8" s="1663"/>
      <c r="TQ8" s="1663"/>
      <c r="TR8" s="1663"/>
    </row>
    <row r="9" spans="1:538" s="750" customFormat="1" x14ac:dyDescent="0.25">
      <c r="A9" s="1663"/>
      <c r="B9" s="1663"/>
      <c r="C9" s="1663"/>
      <c r="D9" s="1663"/>
      <c r="E9" s="1663"/>
      <c r="F9" s="1663"/>
      <c r="G9" s="1663"/>
      <c r="H9" s="166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663"/>
      <c r="AH9" s="1663"/>
      <c r="AI9" s="1663"/>
      <c r="AJ9" s="1663"/>
      <c r="AK9" s="1663"/>
      <c r="AL9" s="1663"/>
      <c r="AM9" s="1663"/>
      <c r="AN9" s="1663"/>
      <c r="AO9" s="1663"/>
      <c r="AP9" s="1663"/>
      <c r="AQ9" s="1663"/>
      <c r="AR9" s="1663"/>
      <c r="AS9" s="1663"/>
      <c r="AT9" s="1663"/>
      <c r="AU9" s="1663"/>
      <c r="AV9" s="1663"/>
      <c r="AW9" s="1663"/>
      <c r="AX9" s="1663"/>
      <c r="AY9" s="1663"/>
      <c r="AZ9" s="1663"/>
      <c r="BA9" s="1663"/>
      <c r="BB9" s="1663"/>
      <c r="BC9" s="1663"/>
      <c r="BD9" s="1663"/>
      <c r="BE9" s="1663"/>
      <c r="BF9" s="1663"/>
      <c r="BG9" s="1663"/>
      <c r="BH9" s="1663"/>
      <c r="BI9" s="1663"/>
      <c r="BJ9" s="1664" t="s">
        <v>527</v>
      </c>
      <c r="BK9" s="295">
        <f>IFERROR($BQ$35/$BK$35,0)</f>
        <v>0</v>
      </c>
      <c r="BL9" s="1663"/>
      <c r="BM9" s="1663"/>
      <c r="BN9" s="1663"/>
      <c r="BO9" s="1663"/>
      <c r="BP9" s="1663"/>
      <c r="BQ9" s="1663"/>
      <c r="BR9" s="1663"/>
      <c r="BS9" s="1663"/>
      <c r="BT9" s="1663"/>
      <c r="BU9" s="1663"/>
      <c r="BV9" s="1663"/>
      <c r="BW9" s="1663"/>
      <c r="BX9" s="1663"/>
      <c r="BY9" s="1663"/>
      <c r="BZ9" s="1663"/>
      <c r="CA9" s="1663"/>
      <c r="CB9" s="1663"/>
      <c r="CC9" s="1663"/>
      <c r="CD9" s="1663"/>
      <c r="CE9" s="1663"/>
      <c r="CF9" s="1663"/>
      <c r="CG9" s="1664" t="s">
        <v>527</v>
      </c>
      <c r="CH9" s="295">
        <f>IFERROR($CN$35/$CH$35,0)</f>
        <v>0</v>
      </c>
      <c r="CI9" s="1663"/>
      <c r="CJ9" s="1663"/>
      <c r="CK9" s="1663"/>
      <c r="CL9" s="1663"/>
      <c r="CM9" s="1663"/>
      <c r="CN9" s="1663"/>
      <c r="CO9" s="1663"/>
      <c r="CP9" s="1663"/>
      <c r="CQ9" s="1663"/>
      <c r="CR9" s="1663"/>
      <c r="CS9" s="1663"/>
      <c r="CT9" s="1663"/>
      <c r="CU9" s="1663"/>
      <c r="CV9" s="1663"/>
      <c r="CW9" s="1663"/>
      <c r="CX9" s="1663"/>
      <c r="CY9" s="1663"/>
      <c r="CZ9" s="1663"/>
      <c r="DA9" s="1663"/>
      <c r="DB9" s="1663"/>
      <c r="DC9" s="1663"/>
      <c r="DD9" s="1664" t="s">
        <v>527</v>
      </c>
      <c r="DE9" s="295">
        <f>IFERROR($DK$35/$DE$35,0)</f>
        <v>0</v>
      </c>
      <c r="DF9" s="1663"/>
      <c r="DG9" s="1663"/>
      <c r="DH9" s="1663"/>
      <c r="DI9" s="1663"/>
      <c r="DJ9" s="1663"/>
      <c r="DK9" s="1663"/>
      <c r="DL9" s="1663"/>
      <c r="DM9" s="1663"/>
      <c r="DN9" s="1663"/>
      <c r="DO9" s="1663"/>
      <c r="DP9" s="1663"/>
      <c r="DQ9" s="1663"/>
      <c r="DR9" s="1663"/>
      <c r="DS9" s="1663"/>
      <c r="DT9" s="1663"/>
      <c r="DU9" s="1663"/>
      <c r="DV9" s="1663"/>
      <c r="DW9" s="1663"/>
      <c r="DX9" s="1663"/>
      <c r="DY9" s="1663"/>
      <c r="DZ9" s="1663"/>
      <c r="EA9" s="1664" t="s">
        <v>527</v>
      </c>
      <c r="EB9" s="295">
        <f>IFERROR($EH$35/$EB$35,0)</f>
        <v>0</v>
      </c>
      <c r="EC9" s="1663"/>
      <c r="ED9" s="1663"/>
      <c r="EE9" s="1663"/>
      <c r="EF9" s="1663"/>
      <c r="EG9" s="1663"/>
      <c r="EH9" s="1663"/>
      <c r="EI9" s="1663"/>
      <c r="EJ9" s="1663"/>
      <c r="EK9" s="1663"/>
      <c r="EL9" s="1663"/>
      <c r="EM9" s="1663"/>
      <c r="EN9" s="1663"/>
      <c r="EO9" s="1663"/>
      <c r="EP9" s="1663"/>
      <c r="EQ9" s="1663"/>
      <c r="ER9" s="1663"/>
      <c r="ES9" s="1663"/>
      <c r="ET9" s="1663"/>
      <c r="EU9" s="1663"/>
      <c r="EV9" s="1663"/>
      <c r="EW9" s="1663"/>
      <c r="EX9" s="1664" t="s">
        <v>527</v>
      </c>
      <c r="EY9" s="295">
        <f>IFERROR($FE$35/$EY$35,0)</f>
        <v>0</v>
      </c>
      <c r="EZ9" s="1663"/>
      <c r="FA9" s="1663"/>
      <c r="FB9" s="1663"/>
      <c r="FC9" s="1663"/>
      <c r="FD9" s="1663"/>
      <c r="FE9" s="1663"/>
      <c r="FF9" s="1663"/>
      <c r="FG9" s="1663"/>
      <c r="FH9" s="1663"/>
      <c r="FI9" s="1663"/>
      <c r="FJ9" s="1663"/>
      <c r="FK9" s="1663"/>
      <c r="FL9" s="1663"/>
      <c r="FM9" s="1663"/>
      <c r="FN9" s="1663"/>
      <c r="FO9" s="1663"/>
      <c r="FP9" s="1663"/>
      <c r="FQ9" s="1663"/>
      <c r="FR9" s="1663"/>
      <c r="FS9" s="1663"/>
      <c r="FT9" s="1663"/>
      <c r="FU9" s="1664" t="s">
        <v>527</v>
      </c>
      <c r="FV9" s="295">
        <f>IFERROR($GB$35/$FV$35,0)</f>
        <v>0</v>
      </c>
      <c r="FW9" s="1663"/>
      <c r="FX9" s="1663"/>
      <c r="FY9" s="1663"/>
      <c r="FZ9" s="1663"/>
      <c r="GA9" s="1663"/>
      <c r="GB9" s="1663"/>
      <c r="GC9" s="1663"/>
      <c r="GD9" s="1663"/>
      <c r="GE9" s="1663"/>
      <c r="GF9" s="1663"/>
      <c r="GG9" s="1663"/>
      <c r="GH9" s="1663"/>
      <c r="GI9" s="1663"/>
      <c r="GJ9" s="1663"/>
      <c r="GK9" s="1663"/>
      <c r="GL9" s="1663"/>
      <c r="GM9" s="1663"/>
      <c r="GN9" s="1663"/>
      <c r="GO9" s="1663"/>
      <c r="GP9" s="1663"/>
      <c r="GQ9" s="1663"/>
      <c r="GR9" s="1664" t="s">
        <v>527</v>
      </c>
      <c r="GS9" s="295">
        <f>IFERROR($GY$35/$GS$35,0)</f>
        <v>0</v>
      </c>
      <c r="GT9" s="1663"/>
      <c r="GU9" s="1663"/>
      <c r="GV9" s="1663"/>
      <c r="GW9" s="1663"/>
      <c r="GX9" s="1663"/>
      <c r="GY9" s="1663"/>
      <c r="GZ9" s="1663"/>
      <c r="HA9" s="1663"/>
      <c r="HB9" s="1663"/>
      <c r="HC9" s="1663"/>
      <c r="HD9" s="1663"/>
      <c r="HE9" s="1663"/>
      <c r="HF9" s="1663"/>
      <c r="HG9" s="1663"/>
      <c r="HH9" s="1663"/>
      <c r="HI9" s="1663"/>
      <c r="HJ9" s="1663"/>
      <c r="HK9" s="1663"/>
      <c r="HL9" s="1663"/>
      <c r="HM9" s="1663"/>
      <c r="HN9" s="1663"/>
      <c r="HO9" s="1664" t="s">
        <v>527</v>
      </c>
      <c r="HP9" s="295">
        <f>IFERROR($HV$35/$HP$35,0)</f>
        <v>0</v>
      </c>
      <c r="HQ9" s="1663"/>
      <c r="HR9" s="1663"/>
      <c r="HS9" s="1663"/>
      <c r="HT9" s="1663"/>
      <c r="HU9" s="1663"/>
      <c r="HV9" s="1663"/>
      <c r="HW9" s="1663"/>
      <c r="HX9" s="1663"/>
      <c r="HY9" s="1663"/>
      <c r="HZ9" s="1663"/>
      <c r="IA9" s="1663"/>
      <c r="IB9" s="1663"/>
      <c r="IC9" s="1663"/>
      <c r="ID9" s="1663"/>
      <c r="IE9" s="1663"/>
      <c r="IF9" s="1663"/>
      <c r="IG9" s="1663"/>
      <c r="IH9" s="1663"/>
      <c r="II9" s="1663"/>
      <c r="IJ9" s="1663"/>
      <c r="IK9" s="1663"/>
      <c r="IL9" s="1664" t="s">
        <v>527</v>
      </c>
      <c r="IM9" s="295">
        <f>IFERROR($IS$35/$IM$35,0)</f>
        <v>0</v>
      </c>
      <c r="IN9" s="1663"/>
      <c r="IO9" s="1663"/>
      <c r="IP9" s="1663"/>
      <c r="IQ9" s="1663"/>
      <c r="IR9" s="1663"/>
      <c r="IS9" s="1663"/>
      <c r="IT9" s="1663"/>
      <c r="IU9" s="1663"/>
      <c r="IV9" s="1663"/>
      <c r="IW9" s="1663"/>
      <c r="IX9" s="1663"/>
      <c r="IY9" s="1663"/>
      <c r="IZ9" s="1663"/>
      <c r="JA9" s="1663"/>
      <c r="JB9" s="1663"/>
      <c r="JC9" s="1663"/>
      <c r="JD9" s="1663"/>
      <c r="JE9" s="1663"/>
      <c r="JF9" s="1663"/>
      <c r="JG9" s="1663"/>
      <c r="JH9" s="1663"/>
      <c r="JI9" s="1664" t="s">
        <v>527</v>
      </c>
      <c r="JJ9" s="295">
        <f>IFERROR($JP$35/$JJ$35,0)</f>
        <v>0</v>
      </c>
      <c r="JK9" s="1663"/>
      <c r="JL9" s="1663"/>
      <c r="JM9" s="1663"/>
      <c r="JN9" s="1663"/>
      <c r="JO9" s="1663"/>
      <c r="JP9" s="1663"/>
      <c r="JQ9" s="1663"/>
      <c r="JR9" s="1663"/>
      <c r="JS9" s="1663"/>
      <c r="JT9" s="1663"/>
      <c r="JU9" s="1663"/>
      <c r="JV9" s="1663"/>
      <c r="JW9" s="1663"/>
      <c r="JX9" s="1663"/>
      <c r="JY9" s="1663"/>
      <c r="JZ9" s="1663"/>
      <c r="KA9" s="1663"/>
      <c r="KB9" s="1663"/>
      <c r="KC9" s="1663"/>
      <c r="KD9" s="1663"/>
      <c r="KE9" s="1663"/>
      <c r="KF9" s="1664" t="s">
        <v>527</v>
      </c>
      <c r="KG9" s="295">
        <f>IFERROR($JP$35/$JJ$35,0)</f>
        <v>0</v>
      </c>
      <c r="KH9" s="1663"/>
      <c r="KI9" s="1663"/>
      <c r="KJ9" s="1663"/>
      <c r="KK9" s="1663"/>
      <c r="KL9" s="1663"/>
      <c r="KM9" s="1663"/>
      <c r="KN9" s="1663"/>
      <c r="KO9" s="1663"/>
      <c r="KP9" s="1663"/>
      <c r="KQ9" s="1663"/>
      <c r="KR9" s="1663"/>
      <c r="KS9" s="1663"/>
      <c r="KT9" s="1663"/>
      <c r="KU9" s="1663"/>
      <c r="KV9" s="1663"/>
      <c r="KW9" s="1663"/>
      <c r="KX9" s="1663"/>
      <c r="KY9" s="1663"/>
      <c r="KZ9" s="1663"/>
      <c r="LA9" s="1663"/>
      <c r="LB9" s="1663"/>
      <c r="LC9" s="1664" t="s">
        <v>527</v>
      </c>
      <c r="LD9" s="295">
        <f>IFERROR($JP$35/$JJ$35,0)</f>
        <v>0</v>
      </c>
      <c r="LE9" s="1663"/>
      <c r="LF9" s="1663"/>
      <c r="LG9" s="1663"/>
      <c r="LH9" s="1663"/>
      <c r="LI9" s="1663"/>
      <c r="LJ9" s="1663"/>
      <c r="LK9" s="1663"/>
      <c r="LL9" s="1663"/>
      <c r="LM9" s="1663"/>
      <c r="LN9" s="1663"/>
      <c r="LO9" s="1663"/>
      <c r="LP9" s="1663"/>
      <c r="LQ9" s="1663"/>
      <c r="LR9" s="1663"/>
      <c r="LS9" s="1663"/>
      <c r="LT9" s="1663"/>
      <c r="LU9" s="1663"/>
      <c r="LV9" s="1663"/>
      <c r="LW9" s="1663"/>
      <c r="LX9" s="1663"/>
      <c r="LY9" s="1663"/>
      <c r="LZ9" s="1664" t="s">
        <v>527</v>
      </c>
      <c r="MA9" s="295">
        <f>IFERROR($JP$35/$JJ$35,0)</f>
        <v>0</v>
      </c>
      <c r="MB9" s="1663"/>
      <c r="MC9" s="1663"/>
      <c r="MD9" s="1663"/>
      <c r="ME9" s="1663"/>
      <c r="MF9" s="1663"/>
      <c r="MG9" s="1663"/>
      <c r="MH9" s="1663"/>
      <c r="MI9" s="1663"/>
      <c r="MJ9" s="1663"/>
      <c r="MK9" s="1663"/>
      <c r="ML9" s="1663"/>
      <c r="MM9" s="1663"/>
      <c r="MN9" s="1663"/>
      <c r="MO9" s="1663"/>
      <c r="MP9" s="1663"/>
      <c r="MQ9" s="1663"/>
      <c r="MR9" s="1663"/>
      <c r="MS9" s="1663"/>
      <c r="MT9" s="1663"/>
      <c r="MU9" s="1663"/>
      <c r="MV9" s="1663"/>
      <c r="MW9" s="1664" t="s">
        <v>527</v>
      </c>
      <c r="MX9" s="295">
        <f>IFERROR($JP$35/$JJ$35,0)</f>
        <v>0</v>
      </c>
      <c r="MY9" s="1663"/>
      <c r="MZ9" s="1663"/>
      <c r="NA9" s="1663"/>
      <c r="NB9" s="1663"/>
      <c r="NC9" s="1663"/>
      <c r="ND9" s="1663"/>
      <c r="NE9" s="1663"/>
      <c r="NF9" s="1663"/>
      <c r="NG9" s="1663"/>
      <c r="NH9" s="1663"/>
      <c r="NI9" s="1663"/>
      <c r="NJ9" s="1663"/>
      <c r="NK9" s="1663"/>
      <c r="NL9" s="1663"/>
      <c r="NM9" s="1663"/>
      <c r="NN9" s="1663"/>
      <c r="NO9" s="1663"/>
      <c r="NP9" s="1663"/>
      <c r="NQ9" s="1663"/>
      <c r="NR9" s="1663"/>
      <c r="NS9" s="1663"/>
      <c r="NT9" s="1664" t="s">
        <v>527</v>
      </c>
      <c r="NU9" s="295">
        <f>IFERROR($JP$35/$JJ$35,0)</f>
        <v>0</v>
      </c>
      <c r="NV9" s="1663"/>
      <c r="NW9" s="1663"/>
      <c r="NX9" s="1663"/>
      <c r="NY9" s="1663"/>
      <c r="NZ9" s="1663"/>
      <c r="OA9" s="1663"/>
      <c r="OB9" s="1663"/>
      <c r="OC9" s="1663"/>
      <c r="OD9" s="1663"/>
      <c r="OE9" s="1663"/>
      <c r="OF9" s="1663"/>
      <c r="OG9" s="1663"/>
      <c r="OH9" s="1663"/>
      <c r="OI9" s="1663"/>
      <c r="OJ9" s="1663"/>
      <c r="OK9" s="1663"/>
      <c r="OL9" s="1663"/>
      <c r="OM9" s="1663"/>
      <c r="ON9" s="1663"/>
      <c r="OO9" s="1663"/>
      <c r="OP9" s="1663"/>
      <c r="OQ9" s="1664" t="s">
        <v>527</v>
      </c>
      <c r="OR9" s="295">
        <f>IFERROR($JP$35/$JJ$35,0)</f>
        <v>0</v>
      </c>
      <c r="OS9" s="1663"/>
      <c r="OT9" s="1663"/>
      <c r="OU9" s="1663"/>
      <c r="OV9" s="1663"/>
      <c r="OW9" s="1663"/>
      <c r="OX9" s="1663"/>
      <c r="OY9" s="1663"/>
      <c r="OZ9" s="1663"/>
      <c r="PA9" s="1663"/>
      <c r="PB9" s="1663"/>
      <c r="PC9" s="1663"/>
      <c r="PD9" s="1663"/>
      <c r="PE9" s="1663"/>
      <c r="PF9" s="1663"/>
      <c r="PG9" s="1663"/>
      <c r="PH9" s="1663"/>
      <c r="PI9" s="1663"/>
      <c r="PJ9" s="1663"/>
      <c r="PK9" s="1663"/>
      <c r="PL9" s="1663"/>
      <c r="PM9" s="1663"/>
      <c r="PN9" s="1664" t="s">
        <v>527</v>
      </c>
      <c r="PO9" s="295">
        <f>IFERROR($JP$35/$JJ$35,0)</f>
        <v>0</v>
      </c>
      <c r="PP9" s="1663"/>
      <c r="PQ9" s="1663"/>
      <c r="PR9" s="1663"/>
      <c r="PS9" s="1663"/>
      <c r="PT9" s="1663"/>
      <c r="PU9" s="1663"/>
      <c r="PV9" s="1663"/>
      <c r="PW9" s="1663"/>
      <c r="PX9" s="1663"/>
      <c r="PY9" s="1663"/>
      <c r="PZ9" s="1663"/>
      <c r="QA9" s="1663"/>
      <c r="QB9" s="1663"/>
      <c r="QC9" s="1663"/>
      <c r="QD9" s="1663"/>
      <c r="QE9" s="1663"/>
      <c r="QF9" s="1663"/>
      <c r="QG9" s="1663"/>
      <c r="QH9" s="1663"/>
      <c r="QI9" s="1663"/>
      <c r="QJ9" s="1663"/>
      <c r="QK9" s="1664" t="s">
        <v>527</v>
      </c>
      <c r="QL9" s="295">
        <f>IFERROR($JP$35/$JJ$35,0)</f>
        <v>0</v>
      </c>
      <c r="QM9" s="1663"/>
      <c r="QN9" s="1663"/>
      <c r="QO9" s="1663"/>
      <c r="QP9" s="1663"/>
      <c r="QQ9" s="1663"/>
      <c r="QR9" s="1663"/>
      <c r="QS9" s="1663"/>
      <c r="QT9" s="1663"/>
      <c r="QU9" s="1663"/>
      <c r="QV9" s="1663"/>
      <c r="QW9" s="1663"/>
      <c r="QX9" s="1663"/>
      <c r="QY9" s="1663"/>
      <c r="QZ9" s="1663"/>
      <c r="RA9" s="1663"/>
      <c r="RB9" s="1663"/>
      <c r="RC9" s="1663"/>
      <c r="RD9" s="1663"/>
      <c r="RE9" s="1663"/>
      <c r="RF9" s="1663"/>
      <c r="RG9" s="1663"/>
      <c r="RH9" s="1664" t="s">
        <v>527</v>
      </c>
      <c r="RI9" s="295">
        <f>IFERROR($JP$35/$JJ$35,0)</f>
        <v>0</v>
      </c>
      <c r="RJ9" s="1663"/>
      <c r="RK9" s="1663"/>
      <c r="RL9" s="1663"/>
      <c r="RM9" s="1663"/>
      <c r="RN9" s="1663"/>
      <c r="RO9" s="1663"/>
      <c r="RP9" s="1663"/>
      <c r="RQ9" s="1663"/>
      <c r="RR9" s="1663"/>
      <c r="RS9" s="1663"/>
      <c r="RT9" s="1663"/>
      <c r="RU9" s="1663"/>
      <c r="RV9" s="1663"/>
      <c r="RW9" s="1663"/>
      <c r="RX9" s="1663"/>
      <c r="RY9" s="1663"/>
      <c r="RZ9" s="1663"/>
      <c r="SA9" s="1663"/>
      <c r="SB9" s="1663"/>
      <c r="SC9" s="1663"/>
      <c r="SD9" s="1663"/>
      <c r="SE9" s="1664" t="s">
        <v>527</v>
      </c>
      <c r="SF9" s="295">
        <f>IFERROR($JP$35/$JJ$35,0)</f>
        <v>0</v>
      </c>
      <c r="SG9" s="1663"/>
      <c r="SH9" s="1663"/>
      <c r="SI9" s="1663"/>
      <c r="SJ9" s="1663"/>
      <c r="SK9" s="1663"/>
      <c r="SL9" s="1663"/>
      <c r="SM9" s="1663"/>
      <c r="SN9" s="1663"/>
      <c r="SO9" s="1663"/>
      <c r="SP9" s="1663"/>
      <c r="SQ9" s="1663"/>
      <c r="SR9" s="1663"/>
      <c r="SS9" s="1663"/>
      <c r="ST9" s="1663"/>
      <c r="SU9" s="1663"/>
      <c r="SV9" s="1663"/>
      <c r="SW9" s="1663"/>
      <c r="SX9" s="1663"/>
      <c r="SY9" s="1663"/>
      <c r="SZ9" s="1663"/>
      <c r="TA9" s="1663"/>
      <c r="TB9" s="1663"/>
      <c r="TC9" s="1663"/>
      <c r="TD9" s="1663"/>
      <c r="TE9" s="1663"/>
      <c r="TF9" s="1663"/>
      <c r="TG9" s="1663"/>
      <c r="TH9" s="1663"/>
      <c r="TI9" s="1663"/>
      <c r="TJ9" s="1663"/>
      <c r="TK9" s="1663"/>
      <c r="TL9" s="1663"/>
      <c r="TM9" s="1663"/>
      <c r="TN9" s="1663"/>
      <c r="TO9" s="1663"/>
      <c r="TP9" s="1663"/>
      <c r="TQ9" s="1663"/>
      <c r="TR9" s="1663"/>
    </row>
    <row r="10" spans="1:538" s="750" customFormat="1" x14ac:dyDescent="0.25">
      <c r="A10" s="1663"/>
      <c r="B10" s="1663"/>
      <c r="C10" s="1663"/>
      <c r="D10" s="1663"/>
      <c r="E10" s="1663"/>
      <c r="F10" s="1663"/>
      <c r="G10" s="1663"/>
      <c r="H10" s="166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663"/>
      <c r="AG10" s="1663"/>
      <c r="AH10" s="1663"/>
      <c r="AI10" s="1663"/>
      <c r="AJ10" s="1663"/>
      <c r="AK10" s="1663"/>
      <c r="AL10" s="1663"/>
      <c r="AM10" s="1663"/>
      <c r="AN10" s="1663"/>
      <c r="AO10" s="1663"/>
      <c r="AP10" s="1663"/>
      <c r="AQ10" s="1663"/>
      <c r="AR10" s="1663"/>
      <c r="AS10" s="1663"/>
      <c r="AT10" s="1663"/>
      <c r="AU10" s="1663"/>
      <c r="AV10" s="1663"/>
      <c r="AW10" s="1663"/>
      <c r="AX10" s="1663"/>
      <c r="AY10" s="1663"/>
      <c r="AZ10" s="1663"/>
      <c r="BA10" s="1663"/>
      <c r="BB10" s="1663"/>
      <c r="BC10" s="1663"/>
      <c r="BD10" s="1663"/>
      <c r="BE10" s="1663"/>
      <c r="BF10" s="1663"/>
      <c r="BG10" s="1663"/>
      <c r="BH10" s="1663"/>
      <c r="BI10" s="1663"/>
      <c r="BJ10" s="1664" t="s">
        <v>1320</v>
      </c>
      <c r="BK10" s="295">
        <f>IFERROR($BR$35/$BK$35,0)</f>
        <v>0</v>
      </c>
      <c r="BL10" s="1663"/>
      <c r="BM10" s="1663"/>
      <c r="BN10" s="1663"/>
      <c r="BO10" s="1663"/>
      <c r="BP10" s="1663"/>
      <c r="BQ10" s="1663"/>
      <c r="BR10" s="1663"/>
      <c r="BS10" s="1663"/>
      <c r="BT10" s="1663"/>
      <c r="BU10" s="1663"/>
      <c r="BV10" s="1663"/>
      <c r="BW10" s="1663"/>
      <c r="BX10" s="1663"/>
      <c r="BY10" s="1663"/>
      <c r="BZ10" s="1663"/>
      <c r="CA10" s="1663"/>
      <c r="CB10" s="1663"/>
      <c r="CC10" s="1663"/>
      <c r="CD10" s="1663"/>
      <c r="CE10" s="1663"/>
      <c r="CF10" s="1663"/>
      <c r="CG10" s="1664" t="s">
        <v>1320</v>
      </c>
      <c r="CH10" s="295">
        <f>IFERROR($CO$35/$CH$35,0)</f>
        <v>0</v>
      </c>
      <c r="CI10" s="1663"/>
      <c r="CJ10" s="1663"/>
      <c r="CK10" s="1663"/>
      <c r="CL10" s="1663"/>
      <c r="CM10" s="1663"/>
      <c r="CN10" s="1663"/>
      <c r="CO10" s="1663"/>
      <c r="CP10" s="1663"/>
      <c r="CQ10" s="1663"/>
      <c r="CR10" s="1663"/>
      <c r="CS10" s="1663"/>
      <c r="CT10" s="1663"/>
      <c r="CU10" s="1663"/>
      <c r="CV10" s="1663"/>
      <c r="CW10" s="1663"/>
      <c r="CX10" s="1663"/>
      <c r="CY10" s="1663"/>
      <c r="CZ10" s="1663"/>
      <c r="DA10" s="1663"/>
      <c r="DB10" s="1663"/>
      <c r="DC10" s="1663"/>
      <c r="DD10" s="1664" t="s">
        <v>1320</v>
      </c>
      <c r="DE10" s="295">
        <f>IFERROR($DL$35/$DE$35,0)</f>
        <v>0</v>
      </c>
      <c r="DF10" s="1663"/>
      <c r="DG10" s="1663"/>
      <c r="DH10" s="1663"/>
      <c r="DI10" s="1663"/>
      <c r="DJ10" s="1663"/>
      <c r="DK10" s="1663"/>
      <c r="DL10" s="1663"/>
      <c r="DM10" s="1663"/>
      <c r="DN10" s="1663"/>
      <c r="DO10" s="1663"/>
      <c r="DP10" s="1663"/>
      <c r="DQ10" s="1663"/>
      <c r="DR10" s="1663"/>
      <c r="DS10" s="1663"/>
      <c r="DT10" s="1663"/>
      <c r="DU10" s="1663"/>
      <c r="DV10" s="1663"/>
      <c r="DW10" s="1663"/>
      <c r="DX10" s="1663"/>
      <c r="DY10" s="1663"/>
      <c r="DZ10" s="1663"/>
      <c r="EA10" s="1664" t="s">
        <v>1320</v>
      </c>
      <c r="EB10" s="295">
        <f>IFERROR($EI$35/$EB$35,0)</f>
        <v>0</v>
      </c>
      <c r="EC10" s="1663"/>
      <c r="ED10" s="1663"/>
      <c r="EE10" s="1663"/>
      <c r="EF10" s="1663"/>
      <c r="EG10" s="1663"/>
      <c r="EH10" s="1663"/>
      <c r="EI10" s="1663"/>
      <c r="EJ10" s="1663"/>
      <c r="EK10" s="1663"/>
      <c r="EL10" s="1663"/>
      <c r="EM10" s="1663"/>
      <c r="EN10" s="1663"/>
      <c r="EO10" s="1663"/>
      <c r="EP10" s="1663"/>
      <c r="EQ10" s="1663"/>
      <c r="ER10" s="1663"/>
      <c r="ES10" s="1663"/>
      <c r="ET10" s="1663"/>
      <c r="EU10" s="1663"/>
      <c r="EV10" s="1663"/>
      <c r="EW10" s="1663"/>
      <c r="EX10" s="1664" t="s">
        <v>1320</v>
      </c>
      <c r="EY10" s="295">
        <f>IFERROR($FF$35/$EY$35,0)</f>
        <v>0</v>
      </c>
      <c r="EZ10" s="1663"/>
      <c r="FA10" s="1663"/>
      <c r="FB10" s="1663"/>
      <c r="FC10" s="1663"/>
      <c r="FD10" s="1663"/>
      <c r="FE10" s="1663"/>
      <c r="FF10" s="1663"/>
      <c r="FG10" s="1663"/>
      <c r="FH10" s="1663"/>
      <c r="FI10" s="1663"/>
      <c r="FJ10" s="1663"/>
      <c r="FK10" s="1663"/>
      <c r="FL10" s="1663"/>
      <c r="FM10" s="1663"/>
      <c r="FN10" s="1663"/>
      <c r="FO10" s="1663"/>
      <c r="FP10" s="1663"/>
      <c r="FQ10" s="1663"/>
      <c r="FR10" s="1663"/>
      <c r="FS10" s="1663"/>
      <c r="FT10" s="1663"/>
      <c r="FU10" s="1664" t="s">
        <v>1320</v>
      </c>
      <c r="FV10" s="295">
        <f>IFERROR($GC$35/$FV$35,0)</f>
        <v>0</v>
      </c>
      <c r="FW10" s="1663"/>
      <c r="FX10" s="1663"/>
      <c r="FY10" s="1663"/>
      <c r="FZ10" s="1663"/>
      <c r="GA10" s="1663"/>
      <c r="GB10" s="1663"/>
      <c r="GC10" s="1663"/>
      <c r="GD10" s="1663"/>
      <c r="GE10" s="1663"/>
      <c r="GF10" s="1663"/>
      <c r="GG10" s="1663"/>
      <c r="GH10" s="1663"/>
      <c r="GI10" s="1663"/>
      <c r="GJ10" s="1663"/>
      <c r="GK10" s="1663"/>
      <c r="GL10" s="1663"/>
      <c r="GM10" s="1663"/>
      <c r="GN10" s="1663"/>
      <c r="GO10" s="1663"/>
      <c r="GP10" s="1663"/>
      <c r="GQ10" s="1663"/>
      <c r="GR10" s="1664" t="s">
        <v>1320</v>
      </c>
      <c r="GS10" s="295">
        <f>IFERROR($GZ$35/$GS$35,0)</f>
        <v>0</v>
      </c>
      <c r="GT10" s="1663"/>
      <c r="GU10" s="1663"/>
      <c r="GV10" s="1663"/>
      <c r="GW10" s="1663"/>
      <c r="GX10" s="1663"/>
      <c r="GY10" s="1663"/>
      <c r="GZ10" s="1663"/>
      <c r="HA10" s="1663"/>
      <c r="HB10" s="1663"/>
      <c r="HC10" s="1663"/>
      <c r="HD10" s="1663"/>
      <c r="HE10" s="1663"/>
      <c r="HF10" s="1663"/>
      <c r="HG10" s="1663"/>
      <c r="HH10" s="1663"/>
      <c r="HI10" s="1663"/>
      <c r="HJ10" s="1663"/>
      <c r="HK10" s="1663"/>
      <c r="HL10" s="1663"/>
      <c r="HM10" s="1663"/>
      <c r="HN10" s="1663"/>
      <c r="HO10" s="1664" t="s">
        <v>1320</v>
      </c>
      <c r="HP10" s="295">
        <f>IFERROR($HW$35/$HP$35,0)</f>
        <v>0</v>
      </c>
      <c r="HQ10" s="1663"/>
      <c r="HR10" s="1663"/>
      <c r="HS10" s="1663"/>
      <c r="HT10" s="1663"/>
      <c r="HU10" s="1663"/>
      <c r="HV10" s="1663"/>
      <c r="HW10" s="1663"/>
      <c r="HX10" s="1663"/>
      <c r="HY10" s="1663"/>
      <c r="HZ10" s="1663"/>
      <c r="IA10" s="1663"/>
      <c r="IB10" s="1663"/>
      <c r="IC10" s="1663"/>
      <c r="ID10" s="1663"/>
      <c r="IE10" s="1663"/>
      <c r="IF10" s="1663"/>
      <c r="IG10" s="1663"/>
      <c r="IH10" s="1663"/>
      <c r="II10" s="1663"/>
      <c r="IJ10" s="1663"/>
      <c r="IK10" s="1663"/>
      <c r="IL10" s="1664" t="s">
        <v>1320</v>
      </c>
      <c r="IM10" s="295">
        <f>IFERROR($IT$35/$IM$35,0)</f>
        <v>0</v>
      </c>
      <c r="IN10" s="1663"/>
      <c r="IO10" s="1663"/>
      <c r="IP10" s="1663"/>
      <c r="IQ10" s="1663"/>
      <c r="IR10" s="1663"/>
      <c r="IS10" s="1663"/>
      <c r="IT10" s="1663"/>
      <c r="IU10" s="1663"/>
      <c r="IV10" s="1663"/>
      <c r="IW10" s="1663"/>
      <c r="IX10" s="1663"/>
      <c r="IY10" s="1663"/>
      <c r="IZ10" s="1663"/>
      <c r="JA10" s="1663"/>
      <c r="JB10" s="1663"/>
      <c r="JC10" s="1663"/>
      <c r="JD10" s="1663"/>
      <c r="JE10" s="1663"/>
      <c r="JF10" s="1663"/>
      <c r="JG10" s="1663"/>
      <c r="JH10" s="1663"/>
      <c r="JI10" s="1664" t="s">
        <v>1320</v>
      </c>
      <c r="JJ10" s="295">
        <f>IFERROR($JQ$35/$JJ$35,0)</f>
        <v>0</v>
      </c>
      <c r="JK10" s="1663"/>
      <c r="JL10" s="1663"/>
      <c r="JM10" s="1663"/>
      <c r="JN10" s="1663"/>
      <c r="JO10" s="1663"/>
      <c r="JP10" s="1663"/>
      <c r="JQ10" s="1663"/>
      <c r="JR10" s="1663"/>
      <c r="JS10" s="1663"/>
      <c r="JT10" s="1663"/>
      <c r="JU10" s="1663"/>
      <c r="JV10" s="1663"/>
      <c r="JW10" s="1663"/>
      <c r="JX10" s="1663"/>
      <c r="JY10" s="1663"/>
      <c r="JZ10" s="1663"/>
      <c r="KA10" s="1663"/>
      <c r="KB10" s="1663"/>
      <c r="KC10" s="1663"/>
      <c r="KD10" s="1663"/>
      <c r="KE10" s="1663"/>
      <c r="KF10" s="1664" t="s">
        <v>1320</v>
      </c>
      <c r="KG10" s="295">
        <f>IFERROR($JQ$35/$JJ$35,0)</f>
        <v>0</v>
      </c>
      <c r="KH10" s="1663"/>
      <c r="KI10" s="1663"/>
      <c r="KJ10" s="1663"/>
      <c r="KK10" s="1663"/>
      <c r="KL10" s="1663"/>
      <c r="KM10" s="1663"/>
      <c r="KN10" s="1663"/>
      <c r="KO10" s="1663"/>
      <c r="KP10" s="1663"/>
      <c r="KQ10" s="1663"/>
      <c r="KR10" s="1663"/>
      <c r="KS10" s="1663"/>
      <c r="KT10" s="1663"/>
      <c r="KU10" s="1663"/>
      <c r="KV10" s="1663"/>
      <c r="KW10" s="1663"/>
      <c r="KX10" s="1663"/>
      <c r="KY10" s="1663"/>
      <c r="KZ10" s="1663"/>
      <c r="LA10" s="1663"/>
      <c r="LB10" s="1663"/>
      <c r="LC10" s="1664" t="s">
        <v>1320</v>
      </c>
      <c r="LD10" s="295">
        <f>IFERROR($JQ$35/$JJ$35,0)</f>
        <v>0</v>
      </c>
      <c r="LE10" s="1663"/>
      <c r="LF10" s="1663"/>
      <c r="LG10" s="1663"/>
      <c r="LH10" s="1663"/>
      <c r="LI10" s="1663"/>
      <c r="LJ10" s="1663"/>
      <c r="LK10" s="1663"/>
      <c r="LL10" s="1663"/>
      <c r="LM10" s="1663"/>
      <c r="LN10" s="1663"/>
      <c r="LO10" s="1663"/>
      <c r="LP10" s="1663"/>
      <c r="LQ10" s="1663"/>
      <c r="LR10" s="1663"/>
      <c r="LS10" s="1663"/>
      <c r="LT10" s="1663"/>
      <c r="LU10" s="1663"/>
      <c r="LV10" s="1663"/>
      <c r="LW10" s="1663"/>
      <c r="LX10" s="1663"/>
      <c r="LY10" s="1663"/>
      <c r="LZ10" s="1664" t="s">
        <v>1320</v>
      </c>
      <c r="MA10" s="295">
        <f>IFERROR($JQ$35/$JJ$35,0)</f>
        <v>0</v>
      </c>
      <c r="MB10" s="1663"/>
      <c r="MC10" s="1663"/>
      <c r="MD10" s="1663"/>
      <c r="ME10" s="1663"/>
      <c r="MF10" s="1663"/>
      <c r="MG10" s="1663"/>
      <c r="MH10" s="1663"/>
      <c r="MI10" s="1663"/>
      <c r="MJ10" s="1663"/>
      <c r="MK10" s="1663"/>
      <c r="ML10" s="1663"/>
      <c r="MM10" s="1663"/>
      <c r="MN10" s="1663"/>
      <c r="MO10" s="1663"/>
      <c r="MP10" s="1663"/>
      <c r="MQ10" s="1663"/>
      <c r="MR10" s="1663"/>
      <c r="MS10" s="1663"/>
      <c r="MT10" s="1663"/>
      <c r="MU10" s="1663"/>
      <c r="MV10" s="1663"/>
      <c r="MW10" s="1664" t="s">
        <v>1320</v>
      </c>
      <c r="MX10" s="295">
        <f>IFERROR($JQ$35/$JJ$35,0)</f>
        <v>0</v>
      </c>
      <c r="MY10" s="1663"/>
      <c r="MZ10" s="1663"/>
      <c r="NA10" s="1663"/>
      <c r="NB10" s="1663"/>
      <c r="NC10" s="1663"/>
      <c r="ND10" s="1663"/>
      <c r="NE10" s="1663"/>
      <c r="NF10" s="1663"/>
      <c r="NG10" s="1663"/>
      <c r="NH10" s="1663"/>
      <c r="NI10" s="1663"/>
      <c r="NJ10" s="1663"/>
      <c r="NK10" s="1663"/>
      <c r="NL10" s="1663"/>
      <c r="NM10" s="1663"/>
      <c r="NN10" s="1663"/>
      <c r="NO10" s="1663"/>
      <c r="NP10" s="1663"/>
      <c r="NQ10" s="1663"/>
      <c r="NR10" s="1663"/>
      <c r="NS10" s="1663"/>
      <c r="NT10" s="1664" t="s">
        <v>1320</v>
      </c>
      <c r="NU10" s="295">
        <f>IFERROR($JQ$35/$JJ$35,0)</f>
        <v>0</v>
      </c>
      <c r="NV10" s="1663"/>
      <c r="NW10" s="1663"/>
      <c r="NX10" s="1663"/>
      <c r="NY10" s="1663"/>
      <c r="NZ10" s="1663"/>
      <c r="OA10" s="1663"/>
      <c r="OB10" s="1663"/>
      <c r="OC10" s="1663"/>
      <c r="OD10" s="1663"/>
      <c r="OE10" s="1663"/>
      <c r="OF10" s="1663"/>
      <c r="OG10" s="1663"/>
      <c r="OH10" s="1663"/>
      <c r="OI10" s="1663"/>
      <c r="OJ10" s="1663"/>
      <c r="OK10" s="1663"/>
      <c r="OL10" s="1663"/>
      <c r="OM10" s="1663"/>
      <c r="ON10" s="1663"/>
      <c r="OO10" s="1663"/>
      <c r="OP10" s="1663"/>
      <c r="OQ10" s="1664" t="s">
        <v>1320</v>
      </c>
      <c r="OR10" s="295">
        <f>IFERROR($JQ$35/$JJ$35,0)</f>
        <v>0</v>
      </c>
      <c r="OS10" s="1663"/>
      <c r="OT10" s="1663"/>
      <c r="OU10" s="1663"/>
      <c r="OV10" s="1663"/>
      <c r="OW10" s="1663"/>
      <c r="OX10" s="1663"/>
      <c r="OY10" s="1663"/>
      <c r="OZ10" s="1663"/>
      <c r="PA10" s="1663"/>
      <c r="PB10" s="1663"/>
      <c r="PC10" s="1663"/>
      <c r="PD10" s="1663"/>
      <c r="PE10" s="1663"/>
      <c r="PF10" s="1663"/>
      <c r="PG10" s="1663"/>
      <c r="PH10" s="1663"/>
      <c r="PI10" s="1663"/>
      <c r="PJ10" s="1663"/>
      <c r="PK10" s="1663"/>
      <c r="PL10" s="1663"/>
      <c r="PM10" s="1663"/>
      <c r="PN10" s="1664" t="s">
        <v>1320</v>
      </c>
      <c r="PO10" s="295">
        <f>IFERROR($JQ$35/$JJ$35,0)</f>
        <v>0</v>
      </c>
      <c r="PP10" s="1663"/>
      <c r="PQ10" s="1663"/>
      <c r="PR10" s="1663"/>
      <c r="PS10" s="1663"/>
      <c r="PT10" s="1663"/>
      <c r="PU10" s="1663"/>
      <c r="PV10" s="1663"/>
      <c r="PW10" s="1663"/>
      <c r="PX10" s="1663"/>
      <c r="PY10" s="1663"/>
      <c r="PZ10" s="1663"/>
      <c r="QA10" s="1663"/>
      <c r="QB10" s="1663"/>
      <c r="QC10" s="1663"/>
      <c r="QD10" s="1663"/>
      <c r="QE10" s="1663"/>
      <c r="QF10" s="1663"/>
      <c r="QG10" s="1663"/>
      <c r="QH10" s="1663"/>
      <c r="QI10" s="1663"/>
      <c r="QJ10" s="1663"/>
      <c r="QK10" s="1664" t="s">
        <v>1320</v>
      </c>
      <c r="QL10" s="295">
        <f>IFERROR($JQ$35/$JJ$35,0)</f>
        <v>0</v>
      </c>
      <c r="QM10" s="1663"/>
      <c r="QN10" s="1663"/>
      <c r="QO10" s="1663"/>
      <c r="QP10" s="1663"/>
      <c r="QQ10" s="1663"/>
      <c r="QR10" s="1663"/>
      <c r="QS10" s="1663"/>
      <c r="QT10" s="1663"/>
      <c r="QU10" s="1663"/>
      <c r="QV10" s="1663"/>
      <c r="QW10" s="1663"/>
      <c r="QX10" s="1663"/>
      <c r="QY10" s="1663"/>
      <c r="QZ10" s="1663"/>
      <c r="RA10" s="1663"/>
      <c r="RB10" s="1663"/>
      <c r="RC10" s="1663"/>
      <c r="RD10" s="1663"/>
      <c r="RE10" s="1663"/>
      <c r="RF10" s="1663"/>
      <c r="RG10" s="1663"/>
      <c r="RH10" s="1664" t="s">
        <v>1320</v>
      </c>
      <c r="RI10" s="295">
        <f>IFERROR($JQ$35/$JJ$35,0)</f>
        <v>0</v>
      </c>
      <c r="RJ10" s="1663"/>
      <c r="RK10" s="1663"/>
      <c r="RL10" s="1663"/>
      <c r="RM10" s="1663"/>
      <c r="RN10" s="1663"/>
      <c r="RO10" s="1663"/>
      <c r="RP10" s="1663"/>
      <c r="RQ10" s="1663"/>
      <c r="RR10" s="1663"/>
      <c r="RS10" s="1663"/>
      <c r="RT10" s="1663"/>
      <c r="RU10" s="1663"/>
      <c r="RV10" s="1663"/>
      <c r="RW10" s="1663"/>
      <c r="RX10" s="1663"/>
      <c r="RY10" s="1663"/>
      <c r="RZ10" s="1663"/>
      <c r="SA10" s="1663"/>
      <c r="SB10" s="1663"/>
      <c r="SC10" s="1663"/>
      <c r="SD10" s="1663"/>
      <c r="SE10" s="1664" t="s">
        <v>1320</v>
      </c>
      <c r="SF10" s="295">
        <f>IFERROR($JQ$35/$JJ$35,0)</f>
        <v>0</v>
      </c>
      <c r="SG10" s="1663"/>
      <c r="SH10" s="1663"/>
      <c r="SI10" s="1663"/>
      <c r="SJ10" s="1663"/>
      <c r="SK10" s="1663"/>
      <c r="SL10" s="1663"/>
      <c r="SM10" s="1663"/>
      <c r="SN10" s="1663"/>
      <c r="SO10" s="1663"/>
      <c r="SP10" s="1663"/>
      <c r="SQ10" s="1663"/>
      <c r="SR10" s="1663"/>
      <c r="SS10" s="1663"/>
      <c r="ST10" s="1663"/>
      <c r="SU10" s="1663"/>
      <c r="SV10" s="1663"/>
      <c r="SW10" s="1663"/>
      <c r="SX10" s="1663"/>
      <c r="SY10" s="1663"/>
      <c r="SZ10" s="1663"/>
      <c r="TA10" s="1663"/>
      <c r="TB10" s="1663"/>
      <c r="TC10" s="1663"/>
      <c r="TD10" s="1663"/>
      <c r="TE10" s="1663"/>
      <c r="TF10" s="1663"/>
      <c r="TG10" s="1663"/>
      <c r="TH10" s="1663"/>
      <c r="TI10" s="1663"/>
      <c r="TJ10" s="1663"/>
      <c r="TK10" s="1663"/>
      <c r="TL10" s="1663"/>
      <c r="TM10" s="1663"/>
      <c r="TN10" s="1663"/>
      <c r="TO10" s="1663"/>
      <c r="TP10" s="1663"/>
      <c r="TQ10" s="1663"/>
      <c r="TR10" s="1663"/>
    </row>
    <row r="11" spans="1:538" ht="15.75" customHeight="1" thickBot="1" x14ac:dyDescent="0.3">
      <c r="A11" s="1663"/>
      <c r="B11" s="1663"/>
      <c r="C11" s="1663"/>
      <c r="D11" s="1663"/>
      <c r="E11" s="1663"/>
      <c r="F11" s="1663"/>
      <c r="G11" s="1663"/>
      <c r="H11" s="1663"/>
      <c r="I11" s="1663"/>
      <c r="J11" s="1663"/>
      <c r="K11" s="1663"/>
      <c r="L11" s="1663"/>
      <c r="M11" s="1663"/>
      <c r="N11" s="1663"/>
      <c r="O11" s="1663"/>
      <c r="P11" s="1663"/>
      <c r="Q11" s="1663"/>
      <c r="R11" s="1663"/>
      <c r="S11" s="1663"/>
      <c r="T11" s="1663"/>
      <c r="U11" s="1663"/>
      <c r="V11" s="1663"/>
      <c r="W11" s="1663"/>
      <c r="X11" s="1663"/>
      <c r="Y11" s="1663"/>
      <c r="Z11" s="1663"/>
      <c r="AA11" s="1663"/>
      <c r="AB11" s="1664" t="s">
        <v>790</v>
      </c>
      <c r="AC11" s="1663"/>
      <c r="AD11" s="1663" t="s">
        <v>892</v>
      </c>
      <c r="AE11" s="24">
        <f>IFERROR(AE35/AD35,0)</f>
        <v>0</v>
      </c>
      <c r="AF11" s="1663"/>
      <c r="AG11" s="1663"/>
      <c r="AH11" s="1663"/>
      <c r="AI11" s="1663"/>
      <c r="AJ11" s="1663"/>
      <c r="AK11" s="1663"/>
      <c r="AL11" s="1663" t="s">
        <v>895</v>
      </c>
      <c r="AM11" s="1663"/>
      <c r="AN11" s="1663"/>
      <c r="AO11" s="1663"/>
      <c r="AP11" s="1663"/>
      <c r="AQ11" s="1663" t="s">
        <v>948</v>
      </c>
      <c r="AR11" s="1663"/>
      <c r="AS11" s="1663"/>
      <c r="AT11" s="1663"/>
      <c r="AU11" s="1663"/>
      <c r="AV11" s="1663"/>
      <c r="AW11" s="1663"/>
      <c r="AX11" s="1663"/>
      <c r="AY11" s="1663"/>
      <c r="AZ11" s="1663"/>
      <c r="BA11" s="1663"/>
      <c r="BB11" s="1663"/>
      <c r="BC11" s="1663"/>
      <c r="BD11" s="2103" t="s">
        <v>949</v>
      </c>
      <c r="BE11" s="1663"/>
      <c r="BF11" s="1663"/>
      <c r="BG11" s="1663"/>
      <c r="BH11" s="1663"/>
      <c r="BI11" s="1663"/>
      <c r="BJ11" s="1663"/>
      <c r="BK11" s="1663"/>
      <c r="BL11" s="1663"/>
      <c r="BM11" s="1663"/>
      <c r="BN11" s="1663"/>
      <c r="BO11" s="1663"/>
      <c r="BP11" s="1663"/>
      <c r="BQ11" s="1663"/>
      <c r="BR11" s="1663"/>
      <c r="BS11" s="1663"/>
      <c r="BT11" s="1663"/>
      <c r="BU11" s="1663"/>
      <c r="BV11" s="1663"/>
      <c r="BW11" s="1663"/>
      <c r="BX11" s="1663"/>
      <c r="BY11" s="1663"/>
      <c r="BZ11" s="1663"/>
      <c r="CA11" s="1663"/>
      <c r="CB11" s="1663"/>
      <c r="CC11" s="1663"/>
      <c r="CD11" s="1663"/>
      <c r="CE11" s="1663"/>
      <c r="CF11" s="1663"/>
      <c r="CG11" s="1663"/>
      <c r="CH11" s="1663"/>
      <c r="CI11" s="1663"/>
      <c r="CJ11" s="1663"/>
      <c r="CK11" s="1663"/>
      <c r="CL11" s="1663"/>
      <c r="CM11" s="1663"/>
      <c r="CN11" s="1663"/>
      <c r="CO11" s="1663"/>
      <c r="CP11" s="1663"/>
      <c r="CQ11" s="1663"/>
      <c r="CR11" s="1663"/>
      <c r="CS11" s="1663"/>
      <c r="CT11" s="1663"/>
      <c r="CU11" s="1663"/>
      <c r="CV11" s="1663"/>
      <c r="CW11" s="1663"/>
      <c r="CX11" s="1663"/>
      <c r="CY11" s="1663"/>
      <c r="CZ11" s="1663"/>
      <c r="DA11" s="1663"/>
      <c r="DB11" s="1663"/>
      <c r="DC11" s="1663"/>
      <c r="DD11" s="1663"/>
      <c r="DE11" s="1663"/>
      <c r="DF11" s="1663"/>
      <c r="DG11" s="1663"/>
      <c r="DH11" s="1663"/>
      <c r="DI11" s="1663"/>
      <c r="DJ11" s="1663"/>
      <c r="DK11" s="1663"/>
      <c r="DL11" s="1663"/>
      <c r="DM11" s="1663"/>
      <c r="DN11" s="1663"/>
      <c r="DO11" s="1663"/>
      <c r="DP11" s="1663"/>
      <c r="DQ11" s="1663"/>
      <c r="DR11" s="1663"/>
      <c r="DS11" s="1663"/>
      <c r="DT11" s="1663"/>
      <c r="DU11" s="1663"/>
      <c r="DV11" s="1663"/>
      <c r="DW11" s="1663"/>
      <c r="DX11" s="1663"/>
      <c r="DY11" s="1663"/>
      <c r="DZ11" s="1663"/>
      <c r="EA11" s="1663"/>
      <c r="EB11" s="1663"/>
      <c r="EC11" s="1663"/>
      <c r="ED11" s="1663"/>
      <c r="EE11" s="1663"/>
      <c r="EF11" s="1663"/>
      <c r="EG11" s="1663"/>
      <c r="EH11" s="1663"/>
      <c r="EI11" s="1663"/>
      <c r="EJ11" s="1663"/>
      <c r="EK11" s="1663"/>
      <c r="EL11" s="1663"/>
      <c r="EM11" s="1663"/>
      <c r="EN11" s="1663"/>
      <c r="EO11" s="1663"/>
      <c r="EP11" s="1663"/>
      <c r="EQ11" s="1663"/>
      <c r="ER11" s="1663"/>
      <c r="ES11" s="1663"/>
      <c r="ET11" s="1663"/>
      <c r="EU11" s="1663"/>
      <c r="EV11" s="1663"/>
      <c r="EW11" s="1663"/>
      <c r="EX11" s="1663"/>
      <c r="EY11" s="1663"/>
      <c r="EZ11" s="1663"/>
      <c r="FA11" s="1663"/>
      <c r="FB11" s="1663"/>
      <c r="FC11" s="1663"/>
      <c r="FD11" s="1663"/>
      <c r="FE11" s="1663"/>
      <c r="FF11" s="1663"/>
      <c r="FG11" s="1663"/>
      <c r="FH11" s="1663"/>
      <c r="FI11" s="1663"/>
      <c r="FJ11" s="1663"/>
      <c r="FK11" s="1663"/>
      <c r="FL11" s="1663"/>
      <c r="FM11" s="1663"/>
      <c r="FN11" s="1663"/>
      <c r="FO11" s="1663"/>
      <c r="FP11" s="1663"/>
      <c r="FQ11" s="1663"/>
      <c r="FR11" s="1663"/>
      <c r="FS11" s="1663"/>
      <c r="FT11" s="1663"/>
      <c r="FU11" s="1663"/>
      <c r="FV11" s="1663"/>
      <c r="FW11" s="1663"/>
      <c r="FX11" s="1663"/>
      <c r="FY11" s="1663"/>
      <c r="FZ11" s="1663"/>
      <c r="GA11" s="1663"/>
      <c r="GB11" s="1663"/>
      <c r="GC11" s="1663"/>
      <c r="GD11" s="1663"/>
      <c r="GE11" s="1663"/>
      <c r="GF11" s="1663"/>
      <c r="GG11" s="1663"/>
      <c r="GH11" s="1663"/>
      <c r="GI11" s="1663"/>
      <c r="GJ11" s="1663"/>
      <c r="GK11" s="1663"/>
      <c r="GL11" s="1663"/>
      <c r="GM11" s="1663"/>
      <c r="GN11" s="1663"/>
      <c r="GO11" s="1663"/>
      <c r="GP11" s="1663"/>
      <c r="GQ11" s="1663"/>
      <c r="GR11" s="1663"/>
      <c r="GS11" s="1663"/>
      <c r="GT11" s="1663"/>
      <c r="GU11" s="1663"/>
      <c r="GV11" s="1663"/>
      <c r="GW11" s="1663"/>
      <c r="GX11" s="1663"/>
      <c r="GY11" s="1663"/>
      <c r="GZ11" s="1663"/>
      <c r="HA11" s="1663"/>
      <c r="HB11" s="1663"/>
      <c r="HC11" s="1663"/>
      <c r="HD11" s="1663"/>
      <c r="HE11" s="1663"/>
      <c r="HF11" s="1663"/>
      <c r="HG11" s="1663"/>
      <c r="HH11" s="1663"/>
      <c r="HI11" s="1663"/>
      <c r="HJ11" s="1663"/>
      <c r="HK11" s="1663"/>
      <c r="HL11" s="1663"/>
      <c r="HM11" s="1663"/>
      <c r="HN11" s="1663"/>
      <c r="HO11" s="1663"/>
      <c r="HP11" s="1663"/>
      <c r="HQ11" s="1663"/>
      <c r="HR11" s="1663"/>
      <c r="HS11" s="1663"/>
      <c r="HT11" s="1663"/>
      <c r="HU11" s="1663"/>
      <c r="HV11" s="1663"/>
      <c r="HW11" s="1663"/>
      <c r="HX11" s="1663"/>
      <c r="HY11" s="1663"/>
      <c r="HZ11" s="1663"/>
      <c r="IA11" s="1663"/>
      <c r="IB11" s="1663"/>
      <c r="IC11" s="1663"/>
      <c r="ID11" s="1663"/>
      <c r="IE11" s="1663"/>
      <c r="IF11" s="1663"/>
      <c r="IG11" s="1663"/>
      <c r="IH11" s="1663"/>
      <c r="II11" s="1663"/>
      <c r="IJ11" s="1663"/>
      <c r="IK11" s="1663"/>
      <c r="IL11" s="1663"/>
      <c r="IM11" s="1663"/>
      <c r="IN11" s="1663"/>
      <c r="IO11" s="1663"/>
      <c r="IP11" s="1663"/>
      <c r="IQ11" s="1663"/>
      <c r="IR11" s="1663"/>
      <c r="IS11" s="1663"/>
      <c r="IT11" s="1663"/>
      <c r="IU11" s="1663"/>
      <c r="IV11" s="1663"/>
      <c r="IW11" s="1663"/>
      <c r="IX11" s="1663"/>
      <c r="IY11" s="1663"/>
      <c r="IZ11" s="1663"/>
      <c r="JA11" s="1663"/>
      <c r="JB11" s="1663"/>
      <c r="JC11" s="1663"/>
      <c r="JD11" s="1663"/>
      <c r="JE11" s="1663"/>
      <c r="JF11" s="1663"/>
      <c r="JG11" s="1663"/>
      <c r="JH11" s="1663"/>
      <c r="JI11" s="1663"/>
      <c r="JJ11" s="1663"/>
      <c r="JK11" s="1663"/>
      <c r="JL11" s="1663"/>
      <c r="JM11" s="1663"/>
      <c r="JN11" s="1663"/>
      <c r="JO11" s="1663"/>
      <c r="JP11" s="1663"/>
      <c r="JQ11" s="1663"/>
      <c r="JR11" s="1663"/>
      <c r="JS11" s="1663"/>
      <c r="JT11" s="1663"/>
      <c r="JU11" s="1663"/>
      <c r="JV11" s="1663"/>
      <c r="JW11" s="1663"/>
      <c r="JX11" s="1663"/>
      <c r="JY11" s="1663"/>
      <c r="JZ11" s="1663"/>
      <c r="KA11" s="1663"/>
      <c r="KB11" s="1663"/>
      <c r="KC11" s="1663"/>
      <c r="KD11" s="1663"/>
      <c r="KE11" s="1663"/>
      <c r="KF11" s="1663"/>
      <c r="KG11" s="1663"/>
      <c r="KH11" s="1663"/>
      <c r="KI11" s="1663"/>
      <c r="KJ11" s="1663"/>
      <c r="KK11" s="1663"/>
      <c r="KL11" s="1663"/>
      <c r="KM11" s="1663"/>
      <c r="KN11" s="1663"/>
      <c r="KO11" s="1663"/>
      <c r="KP11" s="1663"/>
      <c r="KQ11" s="1663"/>
      <c r="KR11" s="1663"/>
      <c r="KS11" s="1663"/>
      <c r="KT11" s="1663"/>
      <c r="KU11" s="1663"/>
      <c r="KV11" s="1663"/>
      <c r="KW11" s="1663"/>
      <c r="KX11" s="1663"/>
      <c r="KY11" s="1663"/>
      <c r="KZ11" s="1663"/>
      <c r="LA11" s="1663"/>
      <c r="LB11" s="1663"/>
      <c r="LC11" s="1663"/>
      <c r="LD11" s="1663"/>
      <c r="LE11" s="1663"/>
      <c r="LF11" s="1663"/>
      <c r="LG11" s="1663"/>
      <c r="LH11" s="1663"/>
      <c r="LI11" s="1663"/>
      <c r="LJ11" s="1663"/>
      <c r="LK11" s="1663"/>
      <c r="LL11" s="1663"/>
      <c r="LM11" s="1663"/>
      <c r="LN11" s="1663"/>
      <c r="LO11" s="1663"/>
      <c r="LP11" s="1663"/>
      <c r="LQ11" s="1663"/>
      <c r="LR11" s="1663"/>
      <c r="LS11" s="1663"/>
      <c r="LT11" s="1663"/>
      <c r="LU11" s="1663"/>
      <c r="LV11" s="1663"/>
      <c r="LW11" s="1663"/>
      <c r="LX11" s="1663"/>
      <c r="LY11" s="1663"/>
      <c r="LZ11" s="1663"/>
      <c r="MA11" s="1663"/>
      <c r="MB11" s="1663"/>
      <c r="MC11" s="1663"/>
      <c r="MD11" s="1663"/>
      <c r="ME11" s="1663"/>
      <c r="MF11" s="1663"/>
      <c r="MG11" s="1663"/>
      <c r="MH11" s="1663"/>
      <c r="MI11" s="1663"/>
      <c r="MJ11" s="1663"/>
      <c r="MK11" s="1663"/>
      <c r="ML11" s="1663"/>
      <c r="MM11" s="1663"/>
      <c r="MN11" s="1663"/>
      <c r="MO11" s="1663"/>
      <c r="MP11" s="1663"/>
      <c r="MQ11" s="1663"/>
      <c r="MR11" s="1663"/>
      <c r="MS11" s="1663"/>
      <c r="MT11" s="1663"/>
      <c r="MU11" s="1663"/>
      <c r="MV11" s="1663"/>
      <c r="MW11" s="1663"/>
      <c r="MX11" s="1663"/>
      <c r="MY11" s="1663"/>
      <c r="MZ11" s="1663"/>
      <c r="NA11" s="1663"/>
      <c r="NB11" s="1663"/>
      <c r="NC11" s="1663"/>
      <c r="ND11" s="1663"/>
      <c r="NE11" s="1663"/>
      <c r="NF11" s="1663"/>
      <c r="NG11" s="1663"/>
      <c r="NH11" s="1663"/>
      <c r="NI11" s="1663"/>
      <c r="NJ11" s="1663"/>
      <c r="NK11" s="1663"/>
      <c r="NL11" s="1663"/>
      <c r="NM11" s="1663"/>
      <c r="NN11" s="1663"/>
      <c r="NO11" s="1663"/>
      <c r="NP11" s="1663"/>
      <c r="NQ11" s="1663"/>
      <c r="NR11" s="1663"/>
      <c r="NS11" s="1663"/>
      <c r="NT11" s="1663"/>
      <c r="NU11" s="1663"/>
      <c r="NV11" s="1663"/>
      <c r="NW11" s="1663"/>
      <c r="NX11" s="1663"/>
      <c r="NY11" s="1663"/>
      <c r="NZ11" s="1663"/>
      <c r="OA11" s="1663"/>
      <c r="OB11" s="1663"/>
      <c r="OC11" s="1663"/>
      <c r="OD11" s="1663"/>
      <c r="OE11" s="1663"/>
      <c r="OF11" s="1663"/>
      <c r="OG11" s="1663"/>
      <c r="OH11" s="1663"/>
      <c r="OI11" s="1663"/>
      <c r="OJ11" s="1663"/>
      <c r="OK11" s="1663"/>
      <c r="OL11" s="1663"/>
      <c r="OM11" s="1663"/>
      <c r="ON11" s="1663"/>
      <c r="OO11" s="1663"/>
      <c r="OP11" s="1663"/>
      <c r="OQ11" s="1663"/>
      <c r="OR11" s="1663"/>
      <c r="OS11" s="1663"/>
      <c r="OT11" s="1663"/>
      <c r="OU11" s="1663"/>
      <c r="OV11" s="1663"/>
      <c r="OW11" s="1663"/>
      <c r="OX11" s="1663"/>
      <c r="OY11" s="1663"/>
      <c r="OZ11" s="1663"/>
      <c r="PA11" s="1663"/>
      <c r="PB11" s="1663"/>
      <c r="PC11" s="1663"/>
      <c r="PD11" s="1663"/>
      <c r="PE11" s="1663"/>
      <c r="PF11" s="1663"/>
      <c r="PG11" s="1663"/>
      <c r="PH11" s="1663"/>
      <c r="PI11" s="1663"/>
      <c r="PJ11" s="1663"/>
      <c r="PK11" s="1663"/>
      <c r="PL11" s="1663"/>
      <c r="PM11" s="1663"/>
      <c r="PN11" s="1663"/>
      <c r="PO11" s="1663"/>
      <c r="PP11" s="1663"/>
      <c r="PQ11" s="1663"/>
      <c r="PR11" s="1663"/>
      <c r="PS11" s="1663"/>
      <c r="PT11" s="1663"/>
      <c r="PU11" s="1663"/>
      <c r="PV11" s="1663"/>
      <c r="PW11" s="1663"/>
      <c r="PX11" s="1663"/>
      <c r="PY11" s="1663"/>
      <c r="PZ11" s="1663"/>
      <c r="QA11" s="1663"/>
      <c r="QB11" s="1663"/>
      <c r="QC11" s="1663"/>
      <c r="QD11" s="1663"/>
      <c r="QE11" s="1663"/>
      <c r="QF11" s="1663"/>
      <c r="QG11" s="1663"/>
      <c r="QH11" s="1663"/>
      <c r="QI11" s="1663"/>
      <c r="QJ11" s="1663"/>
      <c r="QK11" s="1663"/>
      <c r="QL11" s="1663"/>
      <c r="QM11" s="1663"/>
      <c r="QN11" s="1663"/>
      <c r="QO11" s="1663"/>
      <c r="QP11" s="1663"/>
      <c r="QQ11" s="1663"/>
      <c r="QR11" s="1663"/>
      <c r="QS11" s="1663"/>
      <c r="QT11" s="1663"/>
      <c r="QU11" s="1663"/>
      <c r="QV11" s="1663"/>
      <c r="QW11" s="1663"/>
      <c r="QX11" s="1663"/>
      <c r="QY11" s="1663"/>
      <c r="QZ11" s="1663"/>
      <c r="RA11" s="1663"/>
      <c r="RB11" s="1663"/>
      <c r="RC11" s="1663"/>
      <c r="RD11" s="1663"/>
      <c r="RE11" s="1663"/>
      <c r="RF11" s="1663"/>
      <c r="RG11" s="1663"/>
      <c r="RH11" s="1663"/>
      <c r="RI11" s="1663"/>
      <c r="RJ11" s="1663"/>
      <c r="RK11" s="1663"/>
      <c r="RL11" s="1663"/>
      <c r="RM11" s="1663"/>
      <c r="RN11" s="1663"/>
      <c r="RO11" s="1663"/>
      <c r="RP11" s="1663"/>
      <c r="RQ11" s="1663"/>
      <c r="RR11" s="1663"/>
      <c r="RS11" s="1663"/>
      <c r="RT11" s="1663"/>
      <c r="RU11" s="1663"/>
      <c r="RV11" s="1663"/>
      <c r="RW11" s="1663"/>
      <c r="RX11" s="1663"/>
      <c r="RY11" s="1663"/>
      <c r="RZ11" s="1663"/>
      <c r="SA11" s="1663"/>
      <c r="SB11" s="1663"/>
      <c r="SC11" s="1663"/>
      <c r="SD11" s="1663"/>
      <c r="SE11" s="1663"/>
      <c r="SF11" s="1663"/>
      <c r="SG11" s="1663"/>
      <c r="SH11" s="1663"/>
      <c r="SI11" s="1663"/>
      <c r="SJ11" s="1663"/>
      <c r="SK11" s="1663"/>
      <c r="SL11" s="1663"/>
      <c r="SM11" s="1663"/>
      <c r="SN11" s="1663"/>
      <c r="SO11" s="1663"/>
      <c r="SP11" s="1663"/>
      <c r="SQ11" s="1663"/>
      <c r="SR11" s="1663"/>
      <c r="SS11" s="1663"/>
      <c r="ST11" s="1663"/>
      <c r="SU11" s="1663"/>
      <c r="SV11" s="1663"/>
      <c r="SW11" s="1663"/>
      <c r="SX11" s="1663"/>
      <c r="SY11" s="1663"/>
      <c r="SZ11" s="1663"/>
      <c r="TA11" s="1663" t="s">
        <v>945</v>
      </c>
      <c r="TB11" s="1663"/>
      <c r="TC11" s="1663"/>
      <c r="TD11" s="1663"/>
      <c r="TE11" s="1663"/>
      <c r="TF11" s="1663"/>
      <c r="TG11" s="1663"/>
      <c r="TH11" s="1663"/>
      <c r="TI11" s="1663"/>
      <c r="TJ11" s="1663" t="s">
        <v>946</v>
      </c>
      <c r="TK11" s="1663"/>
      <c r="TL11" s="1663"/>
      <c r="TM11" s="1663"/>
      <c r="TN11" s="1663"/>
      <c r="TO11" s="1663"/>
      <c r="TP11" s="1663"/>
      <c r="TQ11" s="1663"/>
      <c r="TR11" s="1663"/>
    </row>
    <row r="12" spans="1:538" ht="13.9" customHeight="1" thickBot="1" x14ac:dyDescent="0.3">
      <c r="A12" s="1663"/>
      <c r="B12" s="1663"/>
      <c r="C12" s="1663" t="s">
        <v>896</v>
      </c>
      <c r="D12" s="1663"/>
      <c r="E12" s="1663"/>
      <c r="F12" s="1663"/>
      <c r="G12" s="1663"/>
      <c r="H12" s="1663"/>
      <c r="I12" s="1663"/>
      <c r="J12" s="1663"/>
      <c r="K12" s="1663"/>
      <c r="L12" s="1663"/>
      <c r="M12" s="1663"/>
      <c r="N12" s="1663"/>
      <c r="O12" s="1663"/>
      <c r="P12" s="1663"/>
      <c r="Q12" s="1663"/>
      <c r="R12" s="1663"/>
      <c r="S12" s="1663"/>
      <c r="T12" s="1472" t="s">
        <v>2080</v>
      </c>
      <c r="U12" s="1473" t="s">
        <v>2081</v>
      </c>
      <c r="V12" s="1472" t="s">
        <v>2080</v>
      </c>
      <c r="W12" s="1473" t="s">
        <v>2081</v>
      </c>
      <c r="X12" s="1663"/>
      <c r="Y12" s="1663"/>
      <c r="Z12" s="1663"/>
      <c r="AA12" s="1663"/>
      <c r="AB12" s="1664"/>
      <c r="AC12" s="1663"/>
      <c r="AD12" s="1663"/>
      <c r="AE12" s="1663"/>
      <c r="AF12" s="1663"/>
      <c r="AG12" s="1663"/>
      <c r="AH12" s="1663"/>
      <c r="AI12" s="1663"/>
      <c r="AJ12" s="1663"/>
      <c r="AK12" s="338" t="s">
        <v>857</v>
      </c>
      <c r="AL12" s="339" t="s">
        <v>858</v>
      </c>
      <c r="AM12" s="340" t="s">
        <v>859</v>
      </c>
      <c r="AN12" s="341"/>
      <c r="AO12" s="341"/>
      <c r="AP12" s="1663"/>
      <c r="AQ12" s="1663"/>
      <c r="AR12" s="338" t="s">
        <v>947</v>
      </c>
      <c r="AS12" s="341"/>
      <c r="AT12" s="341"/>
      <c r="AU12" s="1663"/>
      <c r="AV12" s="1663"/>
      <c r="AW12" s="1663"/>
      <c r="AX12" s="1663"/>
      <c r="AY12" s="1663"/>
      <c r="AZ12" s="1663"/>
      <c r="BA12" s="1663"/>
      <c r="BB12" s="1663"/>
      <c r="BC12" s="1663"/>
      <c r="BD12" s="2103"/>
      <c r="BE12" s="1663"/>
      <c r="BF12" s="1663"/>
      <c r="BG12" s="1663"/>
      <c r="BH12" s="1663"/>
      <c r="BI12" s="1663"/>
      <c r="BJ12" s="1664"/>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63"/>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63"/>
      <c r="TR12" s="1663"/>
    </row>
    <row r="13" spans="1:538" ht="34.5" thickBot="1" x14ac:dyDescent="0.3">
      <c r="A13" s="166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63"/>
      <c r="Y13" s="1663"/>
      <c r="Z13" s="1663"/>
      <c r="AA13" s="1663"/>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65" t="s">
        <v>936</v>
      </c>
      <c r="AZ13" s="1665"/>
      <c r="BA13" s="1665" t="s">
        <v>987</v>
      </c>
      <c r="BB13" s="294"/>
      <c r="BC13" s="294"/>
      <c r="BD13" s="2103"/>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6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63"/>
      <c r="TR13" s="1663"/>
    </row>
    <row r="14" spans="1:538" ht="15.75" thickBot="1" x14ac:dyDescent="0.3">
      <c r="A14" s="166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63"/>
      <c r="Y14" s="1663" t="str">
        <f>'PIM Model'!E10</f>
        <v>INCLUDE</v>
      </c>
      <c r="Z14" s="1663">
        <f>IFERROR(AC14/$AC$35,0)</f>
        <v>0</v>
      </c>
      <c r="AA14" s="1663">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66"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66"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63"/>
      <c r="TA14" s="99" t="s">
        <v>99</v>
      </c>
      <c r="TB14" s="91"/>
      <c r="TC14" s="86"/>
      <c r="TD14" s="92"/>
      <c r="TE14" s="92"/>
      <c r="TF14" s="302"/>
      <c r="TG14" s="93"/>
      <c r="TH14" s="126"/>
      <c r="TI14" s="1663"/>
      <c r="TJ14" s="99" t="s">
        <v>99</v>
      </c>
      <c r="TK14" s="91"/>
      <c r="TL14" s="86"/>
      <c r="TM14" s="92"/>
      <c r="TN14" s="92"/>
      <c r="TO14" s="302"/>
      <c r="TP14" s="93"/>
      <c r="TQ14" s="1663"/>
      <c r="TR14" s="1663"/>
    </row>
    <row r="15" spans="1:538" ht="15.75" thickBot="1" x14ac:dyDescent="0.3">
      <c r="A15" s="166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63"/>
      <c r="Y15" s="1663" t="str">
        <f>'PIM Model'!E11</f>
        <v>INCLUDE</v>
      </c>
      <c r="Z15" s="1663">
        <f t="shared" ref="Z15:Z34" si="18">IFERROR(AC15/$AC$35,0)</f>
        <v>0</v>
      </c>
      <c r="AA15" s="1663">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66"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66"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63"/>
      <c r="TA15" s="99" t="s">
        <v>103</v>
      </c>
      <c r="TB15" s="94"/>
      <c r="TC15" s="86"/>
      <c r="TD15" s="86"/>
      <c r="TE15" s="86"/>
      <c r="TF15" s="111"/>
      <c r="TG15" s="95"/>
      <c r="TH15" s="126"/>
      <c r="TI15" s="1663"/>
      <c r="TJ15" s="99" t="s">
        <v>103</v>
      </c>
      <c r="TK15" s="94"/>
      <c r="TL15" s="86"/>
      <c r="TM15" s="86"/>
      <c r="TN15" s="86"/>
      <c r="TO15" s="111"/>
      <c r="TP15" s="95"/>
      <c r="TQ15" s="1663"/>
      <c r="TR15" s="1663"/>
    </row>
    <row r="16" spans="1:538" ht="15.75" thickBot="1" x14ac:dyDescent="0.3">
      <c r="A16" s="1663"/>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63"/>
      <c r="Y16" s="1663" t="str">
        <f>'PIM Model'!E12</f>
        <v>INCLUDE</v>
      </c>
      <c r="Z16" s="1663">
        <f t="shared" si="18"/>
        <v>0</v>
      </c>
      <c r="AA16" s="1663">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66"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66"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63"/>
      <c r="TA16" s="99" t="s">
        <v>1289</v>
      </c>
      <c r="TB16" s="94"/>
      <c r="TC16" s="86"/>
      <c r="TD16" s="86"/>
      <c r="TE16" s="86"/>
      <c r="TF16" s="111"/>
      <c r="TG16" s="95"/>
      <c r="TH16" s="126"/>
      <c r="TI16" s="1663"/>
      <c r="TJ16" s="99" t="s">
        <v>1289</v>
      </c>
      <c r="TK16" s="94"/>
      <c r="TL16" s="86"/>
      <c r="TM16" s="86"/>
      <c r="TN16" s="86"/>
      <c r="TO16" s="111"/>
      <c r="TP16" s="95"/>
      <c r="TQ16" s="1663"/>
      <c r="TR16" s="1663"/>
    </row>
    <row r="17" spans="1:538" ht="15.75" thickBot="1" x14ac:dyDescent="0.3">
      <c r="A17" s="1663"/>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63"/>
      <c r="Y17" s="1663" t="str">
        <f>'PIM Model'!E13</f>
        <v>INCLUDE</v>
      </c>
      <c r="Z17" s="1663">
        <f t="shared" si="18"/>
        <v>0</v>
      </c>
      <c r="AA17" s="1663">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66"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66"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63"/>
      <c r="TA17" s="99" t="s">
        <v>102</v>
      </c>
      <c r="TB17" s="94"/>
      <c r="TC17" s="86"/>
      <c r="TD17" s="86"/>
      <c r="TE17" s="86"/>
      <c r="TF17" s="111"/>
      <c r="TG17" s="95"/>
      <c r="TH17" s="126"/>
      <c r="TI17" s="1663"/>
      <c r="TJ17" s="99" t="s">
        <v>102</v>
      </c>
      <c r="TK17" s="94"/>
      <c r="TL17" s="86"/>
      <c r="TM17" s="86"/>
      <c r="TN17" s="86"/>
      <c r="TO17" s="111"/>
      <c r="TP17" s="95"/>
      <c r="TQ17" s="1663"/>
      <c r="TR17" s="1663"/>
    </row>
    <row r="18" spans="1:538" ht="15.75" thickBot="1" x14ac:dyDescent="0.3">
      <c r="A18" s="1663"/>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63"/>
      <c r="Y18" s="1663" t="str">
        <f>'PIM Model'!E14</f>
        <v>INCLUDE</v>
      </c>
      <c r="Z18" s="1663">
        <f t="shared" si="18"/>
        <v>0</v>
      </c>
      <c r="AA18" s="1663">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66"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66"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63"/>
      <c r="TA18" s="99" t="s">
        <v>100</v>
      </c>
      <c r="TB18" s="94"/>
      <c r="TC18" s="86"/>
      <c r="TD18" s="86"/>
      <c r="TE18" s="86"/>
      <c r="TF18" s="111"/>
      <c r="TG18" s="95"/>
      <c r="TH18" s="126"/>
      <c r="TI18" s="1663"/>
      <c r="TJ18" s="99" t="s">
        <v>100</v>
      </c>
      <c r="TK18" s="94"/>
      <c r="TL18" s="86"/>
      <c r="TM18" s="86"/>
      <c r="TN18" s="86"/>
      <c r="TO18" s="111"/>
      <c r="TP18" s="95"/>
      <c r="TQ18" s="1663"/>
      <c r="TR18" s="1663"/>
    </row>
    <row r="19" spans="1:538" ht="15.75" thickBot="1" x14ac:dyDescent="0.3">
      <c r="A19" s="1663"/>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63"/>
      <c r="Y19" s="1663" t="str">
        <f>'PIM Model'!E15</f>
        <v>INCLUDE</v>
      </c>
      <c r="Z19" s="1663">
        <f t="shared" si="18"/>
        <v>0</v>
      </c>
      <c r="AA19" s="1663">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66"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66"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63"/>
      <c r="TA19" s="99" t="s">
        <v>104</v>
      </c>
      <c r="TB19" s="94"/>
      <c r="TC19" s="86"/>
      <c r="TD19" s="86"/>
      <c r="TE19" s="86"/>
      <c r="TF19" s="111"/>
      <c r="TG19" s="95"/>
      <c r="TH19" s="126"/>
      <c r="TI19" s="1663"/>
      <c r="TJ19" s="99" t="s">
        <v>104</v>
      </c>
      <c r="TK19" s="94"/>
      <c r="TL19" s="86"/>
      <c r="TM19" s="86"/>
      <c r="TN19" s="86"/>
      <c r="TO19" s="111"/>
      <c r="TP19" s="95"/>
      <c r="TQ19" s="1663"/>
      <c r="TR19" s="1663"/>
    </row>
    <row r="20" spans="1:538" ht="15.75" thickBot="1" x14ac:dyDescent="0.3">
      <c r="A20" s="1663"/>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63"/>
      <c r="Y20" s="1663" t="str">
        <f>'PIM Model'!E16</f>
        <v>INCLUDE</v>
      </c>
      <c r="Z20" s="1663">
        <f t="shared" si="18"/>
        <v>0</v>
      </c>
      <c r="AA20" s="1663">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66"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66"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63"/>
      <c r="TA20" s="99" t="s">
        <v>98</v>
      </c>
      <c r="TB20" s="94"/>
      <c r="TC20" s="86"/>
      <c r="TD20" s="86"/>
      <c r="TE20" s="86"/>
      <c r="TF20" s="111"/>
      <c r="TG20" s="95"/>
      <c r="TH20" s="126"/>
      <c r="TI20" s="1663"/>
      <c r="TJ20" s="99" t="s">
        <v>98</v>
      </c>
      <c r="TK20" s="94"/>
      <c r="TL20" s="86"/>
      <c r="TM20" s="86"/>
      <c r="TN20" s="86"/>
      <c r="TO20" s="111"/>
      <c r="TP20" s="95"/>
      <c r="TQ20" s="1663"/>
      <c r="TR20" s="1663"/>
    </row>
    <row r="21" spans="1:538" ht="15.75" thickBot="1" x14ac:dyDescent="0.3">
      <c r="A21" s="1663"/>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63"/>
      <c r="Y21" s="1663" t="str">
        <f>'PIM Model'!E17</f>
        <v>INCLUDE</v>
      </c>
      <c r="Z21" s="1663">
        <f t="shared" si="18"/>
        <v>0</v>
      </c>
      <c r="AA21" s="1663">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66"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66"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63"/>
      <c r="TA21" s="99" t="s">
        <v>95</v>
      </c>
      <c r="TB21" s="94"/>
      <c r="TC21" s="86"/>
      <c r="TD21" s="86"/>
      <c r="TE21" s="86"/>
      <c r="TF21" s="111"/>
      <c r="TG21" s="95"/>
      <c r="TH21" s="126"/>
      <c r="TI21" s="1663"/>
      <c r="TJ21" s="99" t="s">
        <v>95</v>
      </c>
      <c r="TK21" s="94"/>
      <c r="TL21" s="86"/>
      <c r="TM21" s="86"/>
      <c r="TN21" s="86"/>
      <c r="TO21" s="111"/>
      <c r="TP21" s="95"/>
      <c r="TQ21" s="1663"/>
      <c r="TR21" s="1663"/>
    </row>
    <row r="22" spans="1:538" ht="15.75" thickBot="1" x14ac:dyDescent="0.3">
      <c r="A22" s="1663"/>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63"/>
      <c r="Y22" s="1663" t="str">
        <f>'PIM Model'!E18</f>
        <v>INCLUDE</v>
      </c>
      <c r="Z22" s="1663">
        <f t="shared" si="18"/>
        <v>0</v>
      </c>
      <c r="AA22" s="1663">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66"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66"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63"/>
      <c r="TA22" s="99" t="s">
        <v>96</v>
      </c>
      <c r="TB22" s="94"/>
      <c r="TC22" s="86"/>
      <c r="TD22" s="86"/>
      <c r="TE22" s="86"/>
      <c r="TF22" s="111"/>
      <c r="TG22" s="95"/>
      <c r="TH22" s="126"/>
      <c r="TI22" s="1663"/>
      <c r="TJ22" s="99" t="s">
        <v>96</v>
      </c>
      <c r="TK22" s="94"/>
      <c r="TL22" s="86"/>
      <c r="TM22" s="86"/>
      <c r="TN22" s="86"/>
      <c r="TO22" s="111"/>
      <c r="TP22" s="95"/>
      <c r="TQ22" s="1663"/>
      <c r="TR22" s="1663"/>
    </row>
    <row r="23" spans="1:538" ht="15.75" thickBot="1" x14ac:dyDescent="0.3">
      <c r="A23" s="1663"/>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63"/>
      <c r="Y23" s="1663" t="str">
        <f>'PIM Model'!E19</f>
        <v>INCLUDE</v>
      </c>
      <c r="Z23" s="1663">
        <f t="shared" si="18"/>
        <v>0</v>
      </c>
      <c r="AA23" s="166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66"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66"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63"/>
      <c r="TA23" s="99" t="s">
        <v>101</v>
      </c>
      <c r="TB23" s="94"/>
      <c r="TC23" s="86"/>
      <c r="TD23" s="86"/>
      <c r="TE23" s="86"/>
      <c r="TF23" s="111"/>
      <c r="TG23" s="95"/>
      <c r="TH23" s="126"/>
      <c r="TI23" s="1663"/>
      <c r="TJ23" s="99" t="s">
        <v>101</v>
      </c>
      <c r="TK23" s="94"/>
      <c r="TL23" s="86"/>
      <c r="TM23" s="86"/>
      <c r="TN23" s="86"/>
      <c r="TO23" s="111"/>
      <c r="TP23" s="95"/>
      <c r="TQ23" s="1663"/>
      <c r="TR23" s="1663"/>
    </row>
    <row r="24" spans="1:538" ht="15.75" thickBot="1" x14ac:dyDescent="0.3">
      <c r="A24" s="1663"/>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63"/>
      <c r="Y24" s="1663" t="str">
        <f>'PIM Model'!E20</f>
        <v>INCLUDE</v>
      </c>
      <c r="Z24" s="1663">
        <f t="shared" si="18"/>
        <v>0</v>
      </c>
      <c r="AA24" s="1663">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66"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66"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63"/>
      <c r="TA24" s="99" t="s">
        <v>97</v>
      </c>
      <c r="TB24" s="94"/>
      <c r="TC24" s="86"/>
      <c r="TD24" s="86"/>
      <c r="TE24" s="86"/>
      <c r="TF24" s="111"/>
      <c r="TG24" s="95"/>
      <c r="TH24" s="126"/>
      <c r="TI24" s="1663"/>
      <c r="TJ24" s="99" t="s">
        <v>97</v>
      </c>
      <c r="TK24" s="94"/>
      <c r="TL24" s="86"/>
      <c r="TM24" s="86"/>
      <c r="TN24" s="86"/>
      <c r="TO24" s="111"/>
      <c r="TP24" s="95"/>
      <c r="TQ24" s="1663"/>
      <c r="TR24" s="1663"/>
    </row>
    <row r="25" spans="1:538" ht="15.75" thickBot="1" x14ac:dyDescent="0.3">
      <c r="A25" s="1663"/>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63"/>
      <c r="Y25" s="1663" t="str">
        <f>'PIM Model'!E21</f>
        <v>INCLUDE</v>
      </c>
      <c r="Z25" s="1663">
        <f>IFERROR(AC25/$AC$35,0)</f>
        <v>0</v>
      </c>
      <c r="AA25" s="1663">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66"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66"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63"/>
      <c r="TA25" s="99" t="s">
        <v>93</v>
      </c>
      <c r="TB25" s="94"/>
      <c r="TC25" s="86"/>
      <c r="TD25" s="86"/>
      <c r="TE25" s="86"/>
      <c r="TF25" s="111"/>
      <c r="TG25" s="95"/>
      <c r="TH25" s="126"/>
      <c r="TI25" s="1663"/>
      <c r="TJ25" s="99" t="s">
        <v>93</v>
      </c>
      <c r="TK25" s="94"/>
      <c r="TL25" s="86"/>
      <c r="TM25" s="86"/>
      <c r="TN25" s="86"/>
      <c r="TO25" s="111"/>
      <c r="TP25" s="95"/>
      <c r="TQ25" s="1663"/>
      <c r="TR25" s="1663"/>
    </row>
    <row r="26" spans="1:538" ht="15.75" thickBot="1" x14ac:dyDescent="0.3">
      <c r="A26" s="1663"/>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63"/>
      <c r="Y26" s="1663" t="str">
        <f>'PIM Model'!E22</f>
        <v>INCLUDE</v>
      </c>
      <c r="Z26" s="1663">
        <f t="shared" si="18"/>
        <v>0</v>
      </c>
      <c r="AA26" s="1663">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66"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66"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63"/>
      <c r="TA26" s="99" t="s">
        <v>105</v>
      </c>
      <c r="TB26" s="94"/>
      <c r="TC26" s="86"/>
      <c r="TD26" s="86"/>
      <c r="TE26" s="86"/>
      <c r="TF26" s="111"/>
      <c r="TG26" s="95"/>
      <c r="TH26" s="126"/>
      <c r="TI26" s="1663"/>
      <c r="TJ26" s="99" t="s">
        <v>105</v>
      </c>
      <c r="TK26" s="94"/>
      <c r="TL26" s="86"/>
      <c r="TM26" s="86"/>
      <c r="TN26" s="86"/>
      <c r="TO26" s="111"/>
      <c r="TP26" s="95"/>
      <c r="TQ26" s="1663"/>
      <c r="TR26" s="1663"/>
    </row>
    <row r="27" spans="1:538" ht="15.75" thickBot="1" x14ac:dyDescent="0.3">
      <c r="A27" s="1663"/>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63"/>
      <c r="Y27" s="1663" t="str">
        <f>'PIM Model'!E23</f>
        <v>INCLUDE</v>
      </c>
      <c r="Z27" s="1663">
        <f t="shared" si="18"/>
        <v>0</v>
      </c>
      <c r="AA27" s="1663">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66"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66"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63"/>
      <c r="TA27" s="99" t="s">
        <v>92</v>
      </c>
      <c r="TB27" s="94"/>
      <c r="TC27" s="86"/>
      <c r="TD27" s="86"/>
      <c r="TE27" s="86"/>
      <c r="TF27" s="111"/>
      <c r="TG27" s="95"/>
      <c r="TH27" s="126"/>
      <c r="TI27" s="1663"/>
      <c r="TJ27" s="99" t="s">
        <v>92</v>
      </c>
      <c r="TK27" s="94"/>
      <c r="TL27" s="86"/>
      <c r="TM27" s="86"/>
      <c r="TN27" s="86"/>
      <c r="TO27" s="111"/>
      <c r="TP27" s="95"/>
      <c r="TQ27" s="1663"/>
      <c r="TR27" s="1663"/>
    </row>
    <row r="28" spans="1:538" ht="15.75" thickBot="1" x14ac:dyDescent="0.3">
      <c r="A28" s="1663"/>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63"/>
      <c r="Y28" s="1663" t="str">
        <f>'PIM Model'!E24</f>
        <v>INCLUDE</v>
      </c>
      <c r="Z28" s="1663">
        <f t="shared" si="18"/>
        <v>0</v>
      </c>
      <c r="AA28" s="1663">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66"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66"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63"/>
      <c r="TA28" s="99" t="s">
        <v>91</v>
      </c>
      <c r="TB28" s="94"/>
      <c r="TC28" s="86"/>
      <c r="TD28" s="86"/>
      <c r="TE28" s="86"/>
      <c r="TF28" s="111"/>
      <c r="TG28" s="95"/>
      <c r="TH28" s="126"/>
      <c r="TI28" s="1663"/>
      <c r="TJ28" s="99" t="s">
        <v>91</v>
      </c>
      <c r="TK28" s="94"/>
      <c r="TL28" s="86"/>
      <c r="TM28" s="86"/>
      <c r="TN28" s="86"/>
      <c r="TO28" s="111"/>
      <c r="TP28" s="95"/>
      <c r="TQ28" s="1663"/>
      <c r="TR28" s="1663"/>
    </row>
    <row r="29" spans="1:538" ht="15.75" thickBot="1" x14ac:dyDescent="0.3">
      <c r="A29" s="1663"/>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63"/>
      <c r="Y29" s="1663" t="str">
        <f>'PIM Model'!E25</f>
        <v>INCLUDE</v>
      </c>
      <c r="Z29" s="1663">
        <f t="shared" si="18"/>
        <v>0</v>
      </c>
      <c r="AA29" s="1663">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66"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66"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63"/>
      <c r="TA29" s="99" t="s">
        <v>90</v>
      </c>
      <c r="TB29" s="94"/>
      <c r="TC29" s="86"/>
      <c r="TD29" s="86"/>
      <c r="TE29" s="86"/>
      <c r="TF29" s="111"/>
      <c r="TG29" s="95"/>
      <c r="TH29" s="126"/>
      <c r="TI29" s="1663"/>
      <c r="TJ29" s="99" t="s">
        <v>90</v>
      </c>
      <c r="TK29" s="94"/>
      <c r="TL29" s="86"/>
      <c r="TM29" s="86"/>
      <c r="TN29" s="86"/>
      <c r="TO29" s="111"/>
      <c r="TP29" s="95"/>
      <c r="TQ29" s="1663"/>
      <c r="TR29" s="1663"/>
    </row>
    <row r="30" spans="1:538" ht="15.75" thickBot="1" x14ac:dyDescent="0.3">
      <c r="A30" s="1663"/>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63"/>
      <c r="Y30" s="1663" t="str">
        <f>'PIM Model'!E26</f>
        <v>INCLUDE</v>
      </c>
      <c r="Z30" s="1663">
        <f t="shared" si="18"/>
        <v>0</v>
      </c>
      <c r="AA30" s="1663">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66"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66"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63"/>
      <c r="TA30" s="99" t="s">
        <v>89</v>
      </c>
      <c r="TB30" s="94"/>
      <c r="TC30" s="86"/>
      <c r="TD30" s="86"/>
      <c r="TE30" s="86"/>
      <c r="TF30" s="111"/>
      <c r="TG30" s="95"/>
      <c r="TH30" s="126"/>
      <c r="TI30" s="1663"/>
      <c r="TJ30" s="99" t="s">
        <v>89</v>
      </c>
      <c r="TK30" s="94"/>
      <c r="TL30" s="86"/>
      <c r="TM30" s="86"/>
      <c r="TN30" s="86"/>
      <c r="TO30" s="111"/>
      <c r="TP30" s="95"/>
      <c r="TQ30" s="1663"/>
      <c r="TR30" s="1663"/>
    </row>
    <row r="31" spans="1:538" ht="15.75" thickBot="1" x14ac:dyDescent="0.3">
      <c r="A31" s="1663"/>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63"/>
      <c r="Y31" s="1663" t="str">
        <f>'PIM Model'!E27</f>
        <v>INCLUDE</v>
      </c>
      <c r="Z31" s="1663">
        <f t="shared" si="18"/>
        <v>0</v>
      </c>
      <c r="AA31" s="1663">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66"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66"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63"/>
      <c r="TA31" s="99" t="s">
        <v>94</v>
      </c>
      <c r="TB31" s="94"/>
      <c r="TC31" s="86"/>
      <c r="TD31" s="86"/>
      <c r="TE31" s="86"/>
      <c r="TF31" s="111"/>
      <c r="TG31" s="95"/>
      <c r="TH31" s="126"/>
      <c r="TI31" s="1663"/>
      <c r="TJ31" s="99" t="s">
        <v>94</v>
      </c>
      <c r="TK31" s="94"/>
      <c r="TL31" s="86"/>
      <c r="TM31" s="86"/>
      <c r="TN31" s="86"/>
      <c r="TO31" s="111"/>
      <c r="TP31" s="95"/>
      <c r="TQ31" s="1663"/>
      <c r="TR31" s="1663"/>
    </row>
    <row r="32" spans="1:538" ht="15.75" thickBot="1" x14ac:dyDescent="0.3">
      <c r="A32" s="1663"/>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63"/>
      <c r="Y32" s="1663" t="str">
        <f>'PIM Model'!E28</f>
        <v>INCLUDE</v>
      </c>
      <c r="Z32" s="1663">
        <f t="shared" si="18"/>
        <v>0</v>
      </c>
      <c r="AA32" s="1663">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66"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66"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63"/>
      <c r="TA32" s="99" t="s">
        <v>86</v>
      </c>
      <c r="TB32" s="94"/>
      <c r="TC32" s="86"/>
      <c r="TD32" s="86"/>
      <c r="TE32" s="86"/>
      <c r="TF32" s="111"/>
      <c r="TG32" s="95"/>
      <c r="TH32" s="126"/>
      <c r="TI32" s="1663"/>
      <c r="TJ32" s="99" t="s">
        <v>86</v>
      </c>
      <c r="TK32" s="94"/>
      <c r="TL32" s="86"/>
      <c r="TM32" s="86"/>
      <c r="TN32" s="86"/>
      <c r="TO32" s="111"/>
      <c r="TP32" s="95"/>
      <c r="TQ32" s="1663"/>
      <c r="TR32" s="1663"/>
    </row>
    <row r="33" spans="1:538" ht="15.75" thickBot="1" x14ac:dyDescent="0.3">
      <c r="A33" s="1663"/>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63"/>
      <c r="Y33" s="1663" t="str">
        <f>'PIM Model'!E29</f>
        <v>INCLUDE</v>
      </c>
      <c r="Z33" s="1663">
        <f t="shared" si="18"/>
        <v>0</v>
      </c>
      <c r="AA33" s="166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66"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66"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63"/>
      <c r="TA33" s="99" t="s">
        <v>88</v>
      </c>
      <c r="TB33" s="94"/>
      <c r="TC33" s="86"/>
      <c r="TD33" s="86"/>
      <c r="TE33" s="86"/>
      <c r="TF33" s="111"/>
      <c r="TG33" s="95"/>
      <c r="TH33" s="126"/>
      <c r="TI33" s="1663"/>
      <c r="TJ33" s="99" t="s">
        <v>88</v>
      </c>
      <c r="TK33" s="94"/>
      <c r="TL33" s="86"/>
      <c r="TM33" s="86"/>
      <c r="TN33" s="86"/>
      <c r="TO33" s="111"/>
      <c r="TP33" s="95"/>
      <c r="TQ33" s="1663"/>
      <c r="TR33" s="1663"/>
    </row>
    <row r="34" spans="1:538" ht="15.75" thickBot="1" x14ac:dyDescent="0.3">
      <c r="A34" s="1663"/>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63"/>
      <c r="Y34" s="1663" t="str">
        <f>'PIM Model'!E30</f>
        <v>INCLUDE</v>
      </c>
      <c r="Z34" s="1663">
        <f t="shared" si="18"/>
        <v>0</v>
      </c>
      <c r="AA34" s="1663">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66"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66"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63"/>
      <c r="TA34" s="100" t="s">
        <v>87</v>
      </c>
      <c r="TB34" s="96"/>
      <c r="TC34" s="86"/>
      <c r="TD34" s="97"/>
      <c r="TE34" s="97"/>
      <c r="TF34" s="112"/>
      <c r="TG34" s="98"/>
      <c r="TH34" s="126"/>
      <c r="TI34" s="1663"/>
      <c r="TJ34" s="100" t="s">
        <v>87</v>
      </c>
      <c r="TK34" s="96"/>
      <c r="TL34" s="86"/>
      <c r="TM34" s="97"/>
      <c r="TN34" s="97"/>
      <c r="TO34" s="112"/>
      <c r="TP34" s="98"/>
      <c r="TQ34" s="1663"/>
      <c r="TR34" s="1663"/>
    </row>
    <row r="35" spans="1:538" ht="15.75" thickBot="1" x14ac:dyDescent="0.3">
      <c r="A35" s="1663"/>
      <c r="B35" s="1663"/>
      <c r="C35" s="1395">
        <f t="shared" ref="C35:I35" si="73">SUM(C14:C34)</f>
        <v>0</v>
      </c>
      <c r="D35" s="1396">
        <f t="shared" si="73"/>
        <v>0</v>
      </c>
      <c r="E35" s="1396">
        <f t="shared" si="73"/>
        <v>0</v>
      </c>
      <c r="F35" s="1396">
        <f t="shared" si="73"/>
        <v>0</v>
      </c>
      <c r="G35" s="1395">
        <f t="shared" si="73"/>
        <v>0</v>
      </c>
      <c r="H35" s="1395">
        <f t="shared" si="73"/>
        <v>0</v>
      </c>
      <c r="I35" s="1397">
        <f t="shared" si="73"/>
        <v>0</v>
      </c>
      <c r="J35" s="105"/>
      <c r="K35" s="753">
        <f>IF(C35&gt;0,IFERROR(ROUND(SUM($BK35*BX35+$CH35*CU35+$DE35*DR35+$EB35*EO35+$EY35*FL35+$FV35*GI35+$GS35*HF35+$HP35*IC35+$IM35*IZ35+$JJ35*JW35)/$C35,2),0),IFERROR(ROUND(SUM($BK$3*BX35+$CH$3*CU35+$DE$3*DR35+$EB$3*EO35+$EY$3*FL35+$FV$3*GI35+$GS$3*HF35+$HP$3*IC35+$IM$3*IZ35+$JJ$3*JW35)/$C$35,2),0))</f>
        <v>0</v>
      </c>
      <c r="L35" s="753">
        <f>IF(C35&gt;0,IFERROR(ROUND(SUM($BK35*BY35+$CH35*CV35+$DE35*DS35+$EB35*EP35+$EY35*FM35+$FV35*GJ35+$GS35*HG35+$HP35*ID35+$IM35*JA35+$JJ35*JX35)/$C35,2),0),IFERROR(ROUND(SUM($BK$3*BY35+$CH$3*CV35+$DE$3*DS35+$EB$3*EP35+$EY$3*FM35+$FV$3*GJ35+$GS$3*HG35+$HP$3*ID35+$IM$3*JA35+$JJ$3*JX35)/$C$35,2),0))</f>
        <v>0</v>
      </c>
      <c r="M35" s="753">
        <f>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63"/>
      <c r="Y35" s="1663"/>
      <c r="Z35" s="1663">
        <f>SUM(Z14:Z34)</f>
        <v>0</v>
      </c>
      <c r="AA35" s="1663">
        <f>SUM(AA14:AA34)</f>
        <v>0</v>
      </c>
      <c r="AB35" s="1663"/>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63"/>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63"/>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63"/>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63"/>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63"/>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63"/>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63"/>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63"/>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63"/>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63"/>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63"/>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63"/>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63"/>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63"/>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63"/>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63"/>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63"/>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63"/>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63"/>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63"/>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63"/>
      <c r="TA35" s="1663"/>
      <c r="TB35" s="102"/>
      <c r="TC35" s="103"/>
      <c r="TD35" s="103"/>
      <c r="TE35" s="103"/>
      <c r="TF35" s="303"/>
      <c r="TG35" s="104"/>
      <c r="TH35" s="105"/>
      <c r="TI35" s="1663"/>
      <c r="TJ35" s="1663"/>
      <c r="TK35" s="102"/>
      <c r="TL35" s="103"/>
      <c r="TM35" s="103"/>
      <c r="TN35" s="103"/>
      <c r="TO35" s="303"/>
      <c r="TP35" s="104"/>
      <c r="TQ35" s="1663"/>
      <c r="TR35" s="1663"/>
    </row>
    <row r="36" spans="1:538" ht="15.75" thickBot="1" x14ac:dyDescent="0.3">
      <c r="A36" s="1663"/>
      <c r="B36" s="1663"/>
      <c r="C36" s="23"/>
      <c r="D36" s="1663"/>
      <c r="E36" s="337">
        <f>IFERROR(E35/D35,0)</f>
        <v>0</v>
      </c>
      <c r="F36" s="1663"/>
      <c r="G36" s="1663"/>
      <c r="H36" s="1663"/>
      <c r="I36" s="1663"/>
      <c r="J36" s="1663"/>
      <c r="K36" s="1663"/>
      <c r="L36" s="1663"/>
      <c r="M36" s="1663"/>
      <c r="N36" s="1663"/>
      <c r="O36" s="1663"/>
      <c r="P36" s="1663"/>
      <c r="Q36" s="1663"/>
      <c r="R36" s="1663"/>
      <c r="S36" s="1663"/>
      <c r="T36" s="1663"/>
      <c r="U36" s="1663"/>
      <c r="V36" s="1663"/>
      <c r="W36" s="1663"/>
      <c r="X36" s="1663"/>
      <c r="Y36" s="1663"/>
      <c r="Z36" s="1663"/>
      <c r="AA36" s="1663"/>
      <c r="AB36" s="1663"/>
      <c r="AC36" s="1663"/>
      <c r="AD36" s="1663"/>
      <c r="AE36" s="1663"/>
      <c r="AF36" s="1663"/>
      <c r="AG36" s="1663"/>
      <c r="AH36" s="1663"/>
      <c r="AI36" s="1663"/>
      <c r="AJ36" s="1663"/>
      <c r="AK36" s="1663"/>
      <c r="AL36" s="1663"/>
      <c r="AM36" s="1663"/>
      <c r="AN36" s="1663"/>
      <c r="AO36" s="1663"/>
      <c r="AP36" s="1663"/>
      <c r="AQ36" s="1663"/>
      <c r="AR36" s="1663"/>
      <c r="AS36" s="1663"/>
      <c r="AT36" s="1663"/>
      <c r="AU36" s="1663"/>
      <c r="AV36" s="1663"/>
      <c r="AW36" s="1663"/>
      <c r="AX36" s="1663"/>
      <c r="AY36" s="1663"/>
      <c r="AZ36" s="1663"/>
      <c r="BA36" s="1663"/>
      <c r="BB36" s="1663"/>
      <c r="BC36" s="1663"/>
      <c r="BD36" s="1663"/>
      <c r="BE36" s="1663"/>
      <c r="BF36" s="1663"/>
      <c r="BG36" s="1663"/>
      <c r="BH36" s="1663"/>
      <c r="BI36" s="1663"/>
      <c r="BJ36" s="1663"/>
      <c r="BK36" s="1663"/>
      <c r="BL36" s="360"/>
      <c r="BM36" s="1663"/>
      <c r="BN36" s="1663"/>
      <c r="BO36" s="1663"/>
      <c r="BP36" s="1663"/>
      <c r="BQ36" s="1663"/>
      <c r="BR36" s="1663"/>
      <c r="BS36" s="1663"/>
      <c r="BT36" s="1663"/>
      <c r="BU36" s="1663"/>
      <c r="BV36" s="1663"/>
      <c r="BW36" s="1663"/>
      <c r="BX36" s="1663"/>
      <c r="BY36" s="1663"/>
      <c r="BZ36" s="1663"/>
      <c r="CA36" s="1663"/>
      <c r="CB36" s="1663"/>
      <c r="CC36" s="1663"/>
      <c r="CD36" s="1663"/>
      <c r="CE36" s="1663"/>
      <c r="CF36" s="1663"/>
      <c r="CG36" s="1663"/>
      <c r="CH36" s="1663"/>
      <c r="CI36" s="1663"/>
      <c r="CJ36" s="1663"/>
      <c r="CK36" s="1663"/>
      <c r="CL36" s="1663"/>
      <c r="CM36" s="1663"/>
      <c r="CN36" s="1663"/>
      <c r="CO36" s="1663"/>
      <c r="CP36" s="1663"/>
      <c r="CQ36" s="1663"/>
      <c r="CR36" s="1663"/>
      <c r="CS36" s="1663"/>
      <c r="CT36" s="1663"/>
      <c r="CU36" s="1663"/>
      <c r="CV36" s="1663"/>
      <c r="CW36" s="1663"/>
      <c r="CX36" s="1663"/>
      <c r="CY36" s="1663"/>
      <c r="CZ36" s="1663"/>
      <c r="DA36" s="1663"/>
      <c r="DB36" s="1663"/>
      <c r="DC36" s="1663"/>
      <c r="DD36" s="1663"/>
      <c r="DE36" s="1663"/>
      <c r="DF36" s="1663"/>
      <c r="DG36" s="1663"/>
      <c r="DH36" s="1663"/>
      <c r="DI36" s="1663"/>
      <c r="DJ36" s="1663"/>
      <c r="DK36" s="1663"/>
      <c r="DL36" s="1663"/>
      <c r="DM36" s="1663"/>
      <c r="DN36" s="1663"/>
      <c r="DO36" s="1663"/>
      <c r="DP36" s="1663"/>
      <c r="DQ36" s="1663"/>
      <c r="DR36" s="1663"/>
      <c r="DS36" s="1663"/>
      <c r="DT36" s="1663"/>
      <c r="DU36" s="1663"/>
      <c r="DV36" s="1663"/>
      <c r="DW36" s="1663"/>
      <c r="DX36" s="1663"/>
      <c r="DY36" s="1663"/>
      <c r="DZ36" s="1663"/>
      <c r="EA36" s="1663"/>
      <c r="EB36" s="1663"/>
      <c r="EC36" s="1663"/>
      <c r="ED36" s="1663"/>
      <c r="EE36" s="1663"/>
      <c r="EF36" s="1663"/>
      <c r="EG36" s="1663"/>
      <c r="EH36" s="1663"/>
      <c r="EI36" s="1663"/>
      <c r="EJ36" s="1663"/>
      <c r="EK36" s="1663"/>
      <c r="EL36" s="1663"/>
      <c r="EM36" s="1663"/>
      <c r="EN36" s="1663"/>
      <c r="EO36" s="1663"/>
      <c r="EP36" s="1663"/>
      <c r="EQ36" s="1663"/>
      <c r="ER36" s="1663"/>
      <c r="ES36" s="1663"/>
      <c r="ET36" s="1663"/>
      <c r="EU36" s="1663"/>
      <c r="EV36" s="1663"/>
      <c r="EW36" s="1663"/>
      <c r="EX36" s="1663"/>
      <c r="EY36" s="1663"/>
      <c r="EZ36" s="1663"/>
      <c r="FA36" s="1663"/>
      <c r="FB36" s="1663"/>
      <c r="FC36" s="1663"/>
      <c r="FD36" s="1663"/>
      <c r="FE36" s="1663"/>
      <c r="FF36" s="1663"/>
      <c r="FG36" s="1663"/>
      <c r="FH36" s="1663"/>
      <c r="FI36" s="1663"/>
      <c r="FJ36" s="1663"/>
      <c r="FK36" s="1663"/>
      <c r="FL36" s="1663"/>
      <c r="FM36" s="1663"/>
      <c r="FN36" s="1663"/>
      <c r="FO36" s="1663"/>
      <c r="FP36" s="1663"/>
      <c r="FQ36" s="1663"/>
      <c r="FR36" s="1663"/>
      <c r="FS36" s="1663"/>
      <c r="FT36" s="1663"/>
      <c r="FU36" s="1663"/>
      <c r="FV36" s="1663"/>
      <c r="FW36" s="1663"/>
      <c r="FX36" s="1663"/>
      <c r="FY36" s="1663"/>
      <c r="FZ36" s="1663"/>
      <c r="GA36" s="1663"/>
      <c r="GB36" s="1663"/>
      <c r="GC36" s="1663"/>
      <c r="GD36" s="1663"/>
      <c r="GE36" s="1663"/>
      <c r="GF36" s="1663"/>
      <c r="GG36" s="1663"/>
      <c r="GH36" s="1663"/>
      <c r="GI36" s="1663"/>
      <c r="GJ36" s="1663"/>
      <c r="GK36" s="1663"/>
      <c r="GL36" s="1663"/>
      <c r="GM36" s="1663"/>
      <c r="GN36" s="1663"/>
      <c r="GO36" s="1663"/>
      <c r="GP36" s="1663"/>
      <c r="GQ36" s="1663"/>
      <c r="GR36" s="1663"/>
      <c r="GS36" s="1663"/>
      <c r="GT36" s="1663"/>
      <c r="GU36" s="1663"/>
      <c r="GV36" s="1663"/>
      <c r="GW36" s="1663"/>
      <c r="GX36" s="1663"/>
      <c r="GY36" s="1663"/>
      <c r="GZ36" s="1663"/>
      <c r="HA36" s="1663"/>
      <c r="HB36" s="1663"/>
      <c r="HC36" s="1663"/>
      <c r="HD36" s="1663"/>
      <c r="HE36" s="1663"/>
      <c r="HF36" s="1663"/>
      <c r="HG36" s="1663"/>
      <c r="HH36" s="1663"/>
      <c r="HI36" s="1663"/>
      <c r="HJ36" s="1663"/>
      <c r="HK36" s="1663"/>
      <c r="HL36" s="1663"/>
      <c r="HM36" s="1663"/>
      <c r="HN36" s="1663"/>
      <c r="HO36" s="1663"/>
      <c r="HP36" s="1663"/>
      <c r="HQ36" s="1663"/>
      <c r="HR36" s="1663"/>
      <c r="HS36" s="1663"/>
      <c r="HT36" s="1663"/>
      <c r="HU36" s="1663"/>
      <c r="HV36" s="1663"/>
      <c r="HW36" s="1663"/>
      <c r="HX36" s="1663"/>
      <c r="HY36" s="1663"/>
      <c r="HZ36" s="1663"/>
      <c r="IA36" s="1663"/>
      <c r="IB36" s="1663"/>
      <c r="IC36" s="1663"/>
      <c r="ID36" s="1663"/>
      <c r="IE36" s="1663"/>
      <c r="IF36" s="1663"/>
      <c r="IG36" s="1663"/>
      <c r="IH36" s="1663"/>
      <c r="II36" s="1663"/>
      <c r="IJ36" s="1663"/>
      <c r="IK36" s="1663"/>
      <c r="IL36" s="1663"/>
      <c r="IM36" s="1663"/>
      <c r="IN36" s="1663"/>
      <c r="IO36" s="1663"/>
      <c r="IP36" s="1663"/>
      <c r="IQ36" s="1663"/>
      <c r="IR36" s="1663"/>
      <c r="IS36" s="1663"/>
      <c r="IT36" s="1663"/>
      <c r="IU36" s="1663"/>
      <c r="IV36" s="1663"/>
      <c r="IW36" s="1663"/>
      <c r="IX36" s="1663"/>
      <c r="IY36" s="1663"/>
      <c r="IZ36" s="1663"/>
      <c r="JA36" s="1663"/>
      <c r="JB36" s="1663"/>
      <c r="JC36" s="1663"/>
      <c r="JD36" s="1663"/>
      <c r="JE36" s="1663"/>
      <c r="JF36" s="1663"/>
      <c r="JG36" s="1663"/>
      <c r="JH36" s="1663"/>
      <c r="JI36" s="1663"/>
      <c r="JJ36" s="1663"/>
      <c r="JK36" s="1663"/>
      <c r="JL36" s="1663"/>
      <c r="JM36" s="1663"/>
      <c r="JN36" s="1663"/>
      <c r="JO36" s="1663"/>
      <c r="JP36" s="1663"/>
      <c r="JQ36" s="1663"/>
      <c r="JR36" s="1663"/>
      <c r="JS36" s="1663"/>
      <c r="JT36" s="1663"/>
      <c r="JU36" s="1663"/>
      <c r="JV36" s="1663"/>
      <c r="JW36" s="1663"/>
      <c r="JX36" s="1663"/>
      <c r="JY36" s="1663"/>
      <c r="JZ36" s="1663"/>
      <c r="KA36" s="1663"/>
      <c r="KB36" s="1663"/>
      <c r="KC36" s="1663"/>
      <c r="KD36" s="1663"/>
      <c r="KE36" s="1663"/>
      <c r="KF36" s="1663"/>
      <c r="KG36" s="1663"/>
      <c r="KH36" s="1663"/>
      <c r="KI36" s="1663"/>
      <c r="KJ36" s="1663"/>
      <c r="KK36" s="1663"/>
      <c r="KL36" s="1663"/>
      <c r="KM36" s="1663"/>
      <c r="KN36" s="1663"/>
      <c r="KO36" s="1663"/>
      <c r="KP36" s="1663"/>
      <c r="KQ36" s="1663"/>
      <c r="KR36" s="1663"/>
      <c r="KS36" s="1663"/>
      <c r="KT36" s="1663"/>
      <c r="KU36" s="1663"/>
      <c r="KV36" s="1663"/>
      <c r="KW36" s="1663"/>
      <c r="KX36" s="1663"/>
      <c r="KY36" s="1663"/>
      <c r="KZ36" s="1663"/>
      <c r="LA36" s="1663"/>
      <c r="LB36" s="1663"/>
      <c r="LC36" s="1663"/>
      <c r="LD36" s="1663"/>
      <c r="LE36" s="1663"/>
      <c r="LF36" s="1663"/>
      <c r="LG36" s="1663"/>
      <c r="LH36" s="1663"/>
      <c r="LI36" s="1663"/>
      <c r="LJ36" s="1663"/>
      <c r="LK36" s="1663"/>
      <c r="LL36" s="1663"/>
      <c r="LM36" s="1663"/>
      <c r="LN36" s="1663"/>
      <c r="LO36" s="1663"/>
      <c r="LP36" s="1663"/>
      <c r="LQ36" s="1663"/>
      <c r="LR36" s="1663"/>
      <c r="LS36" s="1663"/>
      <c r="LT36" s="1663"/>
      <c r="LU36" s="1663"/>
      <c r="LV36" s="1663"/>
      <c r="LW36" s="1663"/>
      <c r="LX36" s="1663"/>
      <c r="LY36" s="1663"/>
      <c r="LZ36" s="1663"/>
      <c r="MA36" s="1663"/>
      <c r="MB36" s="1663"/>
      <c r="MC36" s="1663"/>
      <c r="MD36" s="1663"/>
      <c r="ME36" s="1663"/>
      <c r="MF36" s="1663"/>
      <c r="MG36" s="1663"/>
      <c r="MH36" s="1663"/>
      <c r="MI36" s="1663"/>
      <c r="MJ36" s="1663"/>
      <c r="MK36" s="1663"/>
      <c r="ML36" s="1663"/>
      <c r="MM36" s="1663"/>
      <c r="MN36" s="1663"/>
      <c r="MO36" s="1663"/>
      <c r="MP36" s="1663"/>
      <c r="MQ36" s="1663"/>
      <c r="MR36" s="1663"/>
      <c r="MS36" s="1663"/>
      <c r="MT36" s="1663"/>
      <c r="MU36" s="1663"/>
      <c r="MV36" s="1663"/>
      <c r="MW36" s="1663"/>
      <c r="MX36" s="1663"/>
      <c r="MY36" s="1663"/>
      <c r="MZ36" s="1663"/>
      <c r="NA36" s="1663"/>
      <c r="NB36" s="1663"/>
      <c r="NC36" s="1663"/>
      <c r="ND36" s="1663"/>
      <c r="NE36" s="1663"/>
      <c r="NF36" s="1663"/>
      <c r="NG36" s="1663"/>
      <c r="NH36" s="1663"/>
      <c r="NI36" s="1663"/>
      <c r="NJ36" s="1663"/>
      <c r="NK36" s="1663"/>
      <c r="NL36" s="1663"/>
      <c r="NM36" s="1663"/>
      <c r="NN36" s="1663"/>
      <c r="NO36" s="1663"/>
      <c r="NP36" s="1663"/>
      <c r="NQ36" s="1663"/>
      <c r="NR36" s="1663"/>
      <c r="NS36" s="1663"/>
      <c r="NT36" s="1663"/>
      <c r="NU36" s="1663"/>
      <c r="NV36" s="1663"/>
      <c r="NW36" s="1663"/>
      <c r="NX36" s="1663"/>
      <c r="NY36" s="1663"/>
      <c r="NZ36" s="1663"/>
      <c r="OA36" s="1663"/>
      <c r="OB36" s="1663"/>
      <c r="OC36" s="1663"/>
      <c r="OD36" s="1663"/>
      <c r="OE36" s="1663"/>
      <c r="OF36" s="1663"/>
      <c r="OG36" s="1663"/>
      <c r="OH36" s="1663"/>
      <c r="OI36" s="1663"/>
      <c r="OJ36" s="1663"/>
      <c r="OK36" s="1663"/>
      <c r="OL36" s="1663"/>
      <c r="OM36" s="1663"/>
      <c r="ON36" s="1663"/>
      <c r="OO36" s="1663"/>
      <c r="OP36" s="1663"/>
      <c r="OQ36" s="1663"/>
      <c r="OR36" s="1663"/>
      <c r="OS36" s="1663"/>
      <c r="OT36" s="1663"/>
      <c r="OU36" s="1663"/>
      <c r="OV36" s="1663"/>
      <c r="OW36" s="1663"/>
      <c r="OX36" s="1663"/>
      <c r="OY36" s="1663"/>
      <c r="OZ36" s="1663"/>
      <c r="PA36" s="1663"/>
      <c r="PB36" s="1663"/>
      <c r="PC36" s="1663"/>
      <c r="PD36" s="1663"/>
      <c r="PE36" s="1663"/>
      <c r="PF36" s="1663"/>
      <c r="PG36" s="1663"/>
      <c r="PH36" s="1663"/>
      <c r="PI36" s="1663"/>
      <c r="PJ36" s="1663"/>
      <c r="PK36" s="1663"/>
      <c r="PL36" s="1663"/>
      <c r="PM36" s="1663"/>
      <c r="PN36" s="1663"/>
      <c r="PO36" s="1663"/>
      <c r="PP36" s="1663"/>
      <c r="PQ36" s="1663"/>
      <c r="PR36" s="1663"/>
      <c r="PS36" s="1663"/>
      <c r="PT36" s="1663"/>
      <c r="PU36" s="1663"/>
      <c r="PV36" s="1663"/>
      <c r="PW36" s="1663"/>
      <c r="PX36" s="1663"/>
      <c r="PY36" s="1663"/>
      <c r="PZ36" s="1663"/>
      <c r="QA36" s="1663"/>
      <c r="QB36" s="1663"/>
      <c r="QC36" s="1663"/>
      <c r="QD36" s="1663"/>
      <c r="QE36" s="1663"/>
      <c r="QF36" s="1663"/>
      <c r="QG36" s="1663"/>
      <c r="QH36" s="1663"/>
      <c r="QI36" s="1663"/>
      <c r="QJ36" s="1663"/>
      <c r="QK36" s="1663"/>
      <c r="QL36" s="1663"/>
      <c r="QM36" s="1663"/>
      <c r="QN36" s="1663"/>
      <c r="QO36" s="1663"/>
      <c r="QP36" s="1663"/>
      <c r="QQ36" s="1663"/>
      <c r="QR36" s="1663"/>
      <c r="QS36" s="1663"/>
      <c r="QT36" s="1663"/>
      <c r="QU36" s="1663"/>
      <c r="QV36" s="1663"/>
      <c r="QW36" s="1663"/>
      <c r="QX36" s="1663"/>
      <c r="QY36" s="1663"/>
      <c r="QZ36" s="1663"/>
      <c r="RA36" s="1663"/>
      <c r="RB36" s="1663"/>
      <c r="RC36" s="1663"/>
      <c r="RD36" s="1663"/>
      <c r="RE36" s="1663"/>
      <c r="RF36" s="1663"/>
      <c r="RG36" s="1663"/>
      <c r="RH36" s="1663"/>
      <c r="RI36" s="1663"/>
      <c r="RJ36" s="1663"/>
      <c r="RK36" s="1663"/>
      <c r="RL36" s="1663"/>
      <c r="RM36" s="1663"/>
      <c r="RN36" s="1663"/>
      <c r="RO36" s="1663"/>
      <c r="RP36" s="1663"/>
      <c r="RQ36" s="1663"/>
      <c r="RR36" s="1663"/>
      <c r="RS36" s="1663"/>
      <c r="RT36" s="1663"/>
      <c r="RU36" s="1663"/>
      <c r="RV36" s="1663"/>
      <c r="RW36" s="1663"/>
      <c r="RX36" s="1663"/>
      <c r="RY36" s="1663"/>
      <c r="RZ36" s="1663"/>
      <c r="SA36" s="1663"/>
      <c r="SB36" s="1663"/>
      <c r="SC36" s="1663"/>
      <c r="SD36" s="1663"/>
      <c r="SE36" s="1663"/>
      <c r="SF36" s="1663"/>
      <c r="SG36" s="1663"/>
      <c r="SH36" s="1663"/>
      <c r="SI36" s="1663"/>
      <c r="SJ36" s="1663"/>
      <c r="SK36" s="1663"/>
      <c r="SL36" s="1663"/>
      <c r="SM36" s="1663"/>
      <c r="SN36" s="1663"/>
      <c r="SO36" s="1663"/>
      <c r="SP36" s="1663"/>
      <c r="SQ36" s="1663"/>
      <c r="SR36" s="1663"/>
      <c r="SS36" s="1663"/>
      <c r="ST36" s="1663"/>
      <c r="SU36" s="1663"/>
      <c r="SV36" s="1663"/>
      <c r="SW36" s="1663"/>
      <c r="SX36" s="1663"/>
      <c r="SY36" s="1663"/>
      <c r="SZ36" s="1663"/>
      <c r="TA36" s="1663"/>
      <c r="TB36" s="1663"/>
      <c r="TC36" s="1663"/>
      <c r="TD36" s="1663"/>
      <c r="TE36" s="1663"/>
      <c r="TF36" s="1663"/>
      <c r="TG36" s="1663"/>
      <c r="TH36" s="1663"/>
      <c r="TI36" s="1663"/>
      <c r="TJ36" s="1663"/>
      <c r="TK36" s="1663"/>
      <c r="TL36" s="1663"/>
      <c r="TM36" s="1663"/>
      <c r="TN36" s="1663"/>
      <c r="TO36" s="1663"/>
      <c r="TP36" s="1663"/>
      <c r="TQ36" s="1663"/>
      <c r="TR36" s="1663"/>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63"/>
      <c r="BH37" s="1663"/>
      <c r="BI37" s="1663"/>
      <c r="BJ37" s="1663"/>
      <c r="BK37" s="1663"/>
      <c r="BL37" s="1663"/>
      <c r="BM37" s="1663"/>
      <c r="BN37" s="1663"/>
      <c r="BO37" s="1663"/>
      <c r="BP37" s="1663"/>
      <c r="BQ37" s="1663"/>
      <c r="BR37" s="1663"/>
      <c r="BS37" s="1663"/>
      <c r="BT37" s="1663"/>
      <c r="BU37" s="1663"/>
      <c r="BV37" s="1663"/>
      <c r="BW37" s="1663"/>
      <c r="BX37" s="1663"/>
      <c r="BY37" s="1663"/>
      <c r="BZ37" s="1663"/>
      <c r="CA37" s="1663"/>
      <c r="CB37" s="1663"/>
      <c r="CC37" s="1663"/>
      <c r="CD37" s="1663"/>
      <c r="CE37" s="1663"/>
      <c r="CF37" s="1663"/>
      <c r="CG37" s="1663"/>
      <c r="CH37" s="1663"/>
      <c r="CI37" s="1663"/>
      <c r="CJ37" s="1663"/>
      <c r="CK37" s="1663"/>
      <c r="CL37" s="1663"/>
      <c r="CM37" s="1663"/>
      <c r="CN37" s="1663"/>
      <c r="CO37" s="1663"/>
      <c r="CP37" s="1663"/>
      <c r="CQ37" s="1663"/>
      <c r="CR37" s="1663"/>
      <c r="CS37" s="1663"/>
      <c r="CT37" s="1663"/>
      <c r="CU37" s="1663"/>
      <c r="CV37" s="1663"/>
      <c r="CW37" s="1663"/>
      <c r="CX37" s="1663"/>
      <c r="CY37" s="1663"/>
      <c r="CZ37" s="1663"/>
      <c r="DA37" s="1663"/>
      <c r="DB37" s="1663"/>
      <c r="DC37" s="1663"/>
      <c r="DD37" s="1663"/>
      <c r="DE37" s="1663"/>
      <c r="DF37" s="1663"/>
      <c r="DG37" s="1663"/>
      <c r="DH37" s="1663"/>
      <c r="DI37" s="1663"/>
      <c r="DJ37" s="1663"/>
      <c r="DK37" s="1663"/>
      <c r="DL37" s="1663"/>
      <c r="DM37" s="1663"/>
      <c r="DN37" s="1663"/>
      <c r="DO37" s="1663"/>
      <c r="DP37" s="1663"/>
      <c r="DQ37" s="1663"/>
      <c r="DR37" s="1663"/>
      <c r="DS37" s="1663"/>
      <c r="DT37" s="1663"/>
      <c r="DU37" s="1663"/>
      <c r="DV37" s="1663"/>
      <c r="DW37" s="1663"/>
      <c r="DX37" s="1663"/>
      <c r="DY37" s="1663"/>
      <c r="DZ37" s="1663"/>
      <c r="EA37" s="1663"/>
      <c r="EB37" s="1663"/>
      <c r="EC37" s="1663"/>
      <c r="ED37" s="1663"/>
      <c r="EE37" s="1663"/>
      <c r="EF37" s="1663"/>
      <c r="EG37" s="1663"/>
      <c r="EH37" s="1663"/>
      <c r="EI37" s="1663"/>
      <c r="EJ37" s="1663"/>
      <c r="EK37" s="1663"/>
      <c r="EL37" s="1663"/>
      <c r="EM37" s="1663"/>
      <c r="EN37" s="1663"/>
      <c r="EO37" s="1663"/>
      <c r="EP37" s="1663"/>
      <c r="EQ37" s="1663"/>
      <c r="ER37" s="1663"/>
      <c r="ES37" s="1663"/>
      <c r="ET37" s="1663"/>
      <c r="EU37" s="1663"/>
      <c r="EV37" s="1663"/>
      <c r="EW37" s="1663"/>
      <c r="EX37" s="1663"/>
      <c r="EY37" s="1663"/>
      <c r="EZ37" s="1663"/>
      <c r="FA37" s="1663"/>
      <c r="FB37" s="1663"/>
      <c r="FC37" s="1663"/>
      <c r="FD37" s="1663"/>
      <c r="FE37" s="1663"/>
      <c r="FF37" s="1663"/>
      <c r="FG37" s="1663"/>
      <c r="FH37" s="1663"/>
      <c r="FI37" s="1663"/>
      <c r="FJ37" s="1663"/>
      <c r="FK37" s="1663"/>
      <c r="FL37" s="1663"/>
      <c r="FM37" s="1663"/>
      <c r="FN37" s="1663"/>
      <c r="FO37" s="1663"/>
      <c r="FP37" s="1663"/>
      <c r="FQ37" s="1663"/>
      <c r="FR37" s="1663"/>
      <c r="FS37" s="1663"/>
      <c r="FT37" s="1663"/>
      <c r="FU37" s="1663"/>
      <c r="FV37" s="1663"/>
      <c r="FW37" s="1663"/>
      <c r="FX37" s="1663"/>
      <c r="FY37" s="1663"/>
      <c r="FZ37" s="1663"/>
      <c r="GA37" s="1663"/>
      <c r="GB37" s="1663"/>
      <c r="GC37" s="1663"/>
      <c r="GD37" s="1663"/>
      <c r="GE37" s="1663"/>
      <c r="GF37" s="1663"/>
      <c r="GG37" s="1663"/>
      <c r="GH37" s="1663"/>
      <c r="GI37" s="1663"/>
      <c r="GJ37" s="1663"/>
      <c r="GK37" s="1663"/>
      <c r="GL37" s="1663"/>
      <c r="GM37" s="1663"/>
      <c r="GN37" s="1663"/>
      <c r="GO37" s="1663"/>
      <c r="GP37" s="1663"/>
      <c r="GQ37" s="1663"/>
      <c r="GR37" s="1663"/>
      <c r="GS37" s="1663"/>
      <c r="GT37" s="1663"/>
      <c r="GU37" s="1663"/>
      <c r="GV37" s="1663"/>
      <c r="GW37" s="1663"/>
      <c r="GX37" s="1663"/>
      <c r="GY37" s="1663"/>
      <c r="GZ37" s="1663"/>
      <c r="HA37" s="1663"/>
      <c r="HB37" s="1663"/>
      <c r="HC37" s="1663"/>
      <c r="HD37" s="1663"/>
      <c r="HE37" s="1663"/>
      <c r="HF37" s="1663"/>
      <c r="HG37" s="1663"/>
      <c r="HH37" s="1663"/>
      <c r="HI37" s="1663"/>
      <c r="HJ37" s="1663"/>
      <c r="HK37" s="1663"/>
      <c r="HL37" s="1663"/>
      <c r="HM37" s="1663"/>
      <c r="HN37" s="1663"/>
      <c r="HO37" s="1663"/>
      <c r="HP37" s="1663"/>
      <c r="HQ37" s="1663"/>
      <c r="HR37" s="1663"/>
      <c r="HS37" s="1663"/>
      <c r="HT37" s="1663"/>
      <c r="HU37" s="1663"/>
      <c r="HV37" s="1663"/>
      <c r="HW37" s="1663"/>
      <c r="HX37" s="1663"/>
      <c r="HY37" s="1663"/>
      <c r="HZ37" s="1663"/>
      <c r="IA37" s="1663"/>
      <c r="IB37" s="1663"/>
      <c r="IC37" s="1663"/>
      <c r="ID37" s="1663"/>
      <c r="IE37" s="1663"/>
      <c r="IF37" s="1663"/>
      <c r="IG37" s="1663"/>
      <c r="IH37" s="1663"/>
      <c r="II37" s="1663"/>
      <c r="IJ37" s="1663"/>
      <c r="IK37" s="1663"/>
      <c r="IL37" s="1663"/>
      <c r="IM37" s="1663"/>
      <c r="IN37" s="1663"/>
      <c r="IO37" s="1663"/>
      <c r="IP37" s="1663"/>
      <c r="IQ37" s="1663"/>
      <c r="IR37" s="1663"/>
      <c r="IS37" s="1663"/>
      <c r="IT37" s="1663"/>
      <c r="IU37" s="1663"/>
      <c r="IV37" s="1663"/>
      <c r="IW37" s="1663"/>
      <c r="IX37" s="1663"/>
      <c r="IY37" s="1663"/>
      <c r="IZ37" s="1663"/>
      <c r="JA37" s="1663"/>
      <c r="JB37" s="1663"/>
      <c r="JC37" s="1663"/>
      <c r="JD37" s="1663"/>
      <c r="JE37" s="1663"/>
      <c r="JF37" s="1663"/>
      <c r="JG37" s="1663"/>
      <c r="JH37" s="1663"/>
      <c r="JI37" s="1663"/>
      <c r="JJ37" s="1663"/>
      <c r="JK37" s="1663"/>
      <c r="JL37" s="1663"/>
      <c r="JM37" s="1663"/>
      <c r="JN37" s="1663"/>
      <c r="JO37" s="1663"/>
      <c r="JP37" s="1663"/>
      <c r="JQ37" s="1663"/>
      <c r="JR37" s="1663"/>
      <c r="JS37" s="1663"/>
      <c r="JT37" s="1663"/>
      <c r="JU37" s="1663"/>
      <c r="JV37" s="1663"/>
      <c r="JW37" s="1663"/>
      <c r="JX37" s="1663"/>
      <c r="JY37" s="1663"/>
      <c r="JZ37" s="1663"/>
      <c r="KA37" s="1663"/>
      <c r="KB37" s="1663"/>
      <c r="KC37" s="1663"/>
      <c r="KD37" s="1663"/>
      <c r="KE37" s="1663"/>
      <c r="KF37" s="1663"/>
      <c r="KG37" s="1663"/>
      <c r="KH37" s="1663"/>
      <c r="KI37" s="1663"/>
      <c r="KJ37" s="1663"/>
      <c r="KK37" s="1663"/>
      <c r="KL37" s="1663"/>
      <c r="KM37" s="1663"/>
      <c r="KN37" s="1663"/>
      <c r="KO37" s="1663"/>
      <c r="KP37" s="1663"/>
      <c r="KQ37" s="1663"/>
      <c r="KR37" s="1663"/>
      <c r="KS37" s="1663"/>
      <c r="KT37" s="1663"/>
      <c r="KU37" s="1663"/>
      <c r="KV37" s="1663"/>
      <c r="KW37" s="1663"/>
      <c r="KX37" s="1663"/>
      <c r="KY37" s="1663"/>
      <c r="KZ37" s="1663"/>
      <c r="LA37" s="1663"/>
      <c r="LB37" s="1663"/>
      <c r="LC37" s="1663"/>
      <c r="LD37" s="1663"/>
      <c r="LE37" s="1663"/>
      <c r="LF37" s="1663"/>
      <c r="LG37" s="1663"/>
      <c r="LH37" s="1663"/>
      <c r="LI37" s="1663"/>
      <c r="LJ37" s="1663"/>
      <c r="LK37" s="1663"/>
      <c r="LL37" s="1663"/>
      <c r="LM37" s="1663"/>
      <c r="LN37" s="1663"/>
      <c r="LO37" s="1663"/>
      <c r="LP37" s="1663"/>
      <c r="LQ37" s="1663"/>
      <c r="LR37" s="1663"/>
      <c r="LS37" s="1663"/>
      <c r="LT37" s="1663"/>
      <c r="LU37" s="1663"/>
      <c r="LV37" s="1663"/>
      <c r="LW37" s="1663"/>
      <c r="LX37" s="1663"/>
      <c r="LY37" s="1663"/>
      <c r="LZ37" s="1663"/>
      <c r="MA37" s="1663"/>
      <c r="MB37" s="1663"/>
      <c r="MC37" s="1663"/>
      <c r="MD37" s="1663"/>
      <c r="ME37" s="1663"/>
      <c r="MF37" s="1663"/>
      <c r="MG37" s="1663"/>
      <c r="MH37" s="1663"/>
      <c r="MI37" s="1663"/>
      <c r="MJ37" s="1663"/>
      <c r="MK37" s="1663"/>
      <c r="ML37" s="1663"/>
      <c r="MM37" s="1663"/>
      <c r="MN37" s="1663"/>
      <c r="MO37" s="1663"/>
      <c r="MP37" s="1663"/>
      <c r="MQ37" s="1663"/>
      <c r="MR37" s="1663"/>
      <c r="MS37" s="1663"/>
      <c r="MT37" s="1663"/>
      <c r="MU37" s="1663"/>
      <c r="MV37" s="1663"/>
      <c r="MW37" s="1663"/>
      <c r="MX37" s="1663"/>
      <c r="MY37" s="1663"/>
      <c r="MZ37" s="1663"/>
      <c r="NA37" s="1663"/>
      <c r="NB37" s="1663"/>
      <c r="NC37" s="1663"/>
      <c r="ND37" s="1663"/>
      <c r="NE37" s="1663"/>
      <c r="NF37" s="1663"/>
      <c r="NG37" s="1663"/>
      <c r="NH37" s="1663"/>
      <c r="NI37" s="1663"/>
      <c r="NJ37" s="1663"/>
      <c r="NK37" s="1663"/>
      <c r="NL37" s="1663"/>
      <c r="NM37" s="1663"/>
      <c r="NN37" s="1663"/>
      <c r="NO37" s="1663"/>
      <c r="NP37" s="1663"/>
      <c r="NQ37" s="1663"/>
      <c r="NR37" s="1663"/>
      <c r="NS37" s="1663"/>
      <c r="NT37" s="1663"/>
      <c r="NU37" s="1663"/>
      <c r="NV37" s="1663"/>
      <c r="NW37" s="1663"/>
      <c r="NX37" s="1663"/>
      <c r="NY37" s="1663"/>
      <c r="NZ37" s="1663"/>
      <c r="OA37" s="1663"/>
      <c r="OB37" s="1663"/>
      <c r="OC37" s="1663"/>
      <c r="OD37" s="1663"/>
      <c r="OE37" s="1663"/>
      <c r="OF37" s="1663"/>
      <c r="OG37" s="1663"/>
      <c r="OH37" s="1663"/>
      <c r="OI37" s="1663"/>
      <c r="OJ37" s="1663"/>
      <c r="OK37" s="1663"/>
      <c r="OL37" s="1663"/>
      <c r="OM37" s="1663"/>
      <c r="ON37" s="1663"/>
      <c r="OO37" s="1663"/>
      <c r="OP37" s="1663"/>
      <c r="OQ37" s="1663"/>
      <c r="OR37" s="1663"/>
      <c r="OS37" s="1663"/>
      <c r="OT37" s="1663"/>
      <c r="OU37" s="1663"/>
      <c r="OV37" s="1663"/>
      <c r="OW37" s="1663"/>
      <c r="OX37" s="1663"/>
      <c r="OY37" s="1663"/>
      <c r="OZ37" s="1663"/>
      <c r="PA37" s="1663"/>
      <c r="PB37" s="1663"/>
      <c r="PC37" s="1663"/>
      <c r="PD37" s="1663"/>
      <c r="PE37" s="1663"/>
      <c r="PF37" s="1663"/>
      <c r="PG37" s="1663"/>
      <c r="PH37" s="1663"/>
      <c r="PI37" s="1663"/>
      <c r="PJ37" s="1663"/>
      <c r="PK37" s="1663"/>
      <c r="PL37" s="1663"/>
      <c r="PM37" s="1663"/>
      <c r="PN37" s="1663"/>
      <c r="PO37" s="1663"/>
      <c r="PP37" s="1663"/>
      <c r="PQ37" s="1663"/>
      <c r="PR37" s="1663"/>
      <c r="PS37" s="1663"/>
      <c r="PT37" s="1663"/>
      <c r="PU37" s="1663"/>
      <c r="PV37" s="1663"/>
      <c r="PW37" s="1663"/>
      <c r="PX37" s="1663"/>
      <c r="PY37" s="1663"/>
      <c r="PZ37" s="1663"/>
      <c r="QA37" s="1663"/>
      <c r="QB37" s="1663"/>
      <c r="QC37" s="1663"/>
      <c r="QD37" s="1663"/>
      <c r="QE37" s="1663"/>
      <c r="QF37" s="1663"/>
      <c r="QG37" s="1663"/>
      <c r="QH37" s="1663"/>
      <c r="QI37" s="1663"/>
      <c r="QJ37" s="1663"/>
      <c r="QK37" s="1663"/>
      <c r="QL37" s="1663"/>
      <c r="QM37" s="1663"/>
      <c r="QN37" s="1663"/>
      <c r="QO37" s="1663"/>
      <c r="QP37" s="1663"/>
      <c r="QQ37" s="1663"/>
      <c r="QR37" s="1663"/>
      <c r="QS37" s="1663"/>
      <c r="QT37" s="1663"/>
      <c r="QU37" s="1663"/>
      <c r="QV37" s="1663"/>
      <c r="QW37" s="1663"/>
      <c r="QX37" s="1663"/>
      <c r="QY37" s="1663"/>
      <c r="QZ37" s="1663"/>
      <c r="RA37" s="1663"/>
      <c r="RB37" s="1663"/>
      <c r="RC37" s="1663"/>
      <c r="RD37" s="1663"/>
      <c r="RE37" s="1663"/>
      <c r="RF37" s="1663"/>
      <c r="RG37" s="1663"/>
      <c r="RH37" s="1663"/>
      <c r="RI37" s="1663"/>
      <c r="RJ37" s="1663"/>
      <c r="RK37" s="1663"/>
      <c r="RL37" s="1663"/>
      <c r="RM37" s="1663"/>
      <c r="RN37" s="1663"/>
      <c r="RO37" s="1663"/>
      <c r="RP37" s="1663"/>
      <c r="RQ37" s="1663"/>
      <c r="RR37" s="1663"/>
      <c r="RS37" s="1663"/>
      <c r="RT37" s="1663"/>
      <c r="RU37" s="1663"/>
      <c r="RV37" s="1663"/>
      <c r="RW37" s="1663"/>
      <c r="RX37" s="1663"/>
      <c r="RY37" s="1663"/>
      <c r="RZ37" s="1663"/>
      <c r="SA37" s="1663"/>
      <c r="SB37" s="1663"/>
      <c r="SC37" s="1663"/>
      <c r="SD37" s="1663"/>
      <c r="SE37" s="1663"/>
      <c r="SF37" s="1663"/>
      <c r="SG37" s="1663"/>
      <c r="SH37" s="1663"/>
      <c r="SI37" s="1663"/>
      <c r="SJ37" s="1663"/>
      <c r="SK37" s="1663"/>
      <c r="SL37" s="1663"/>
      <c r="SM37" s="1663"/>
      <c r="SN37" s="1663"/>
      <c r="SO37" s="1663"/>
      <c r="SP37" s="1663"/>
      <c r="SQ37" s="1663"/>
      <c r="SR37" s="1663"/>
      <c r="SS37" s="1663"/>
      <c r="ST37" s="1663"/>
      <c r="SU37" s="1663"/>
      <c r="SV37" s="1663"/>
      <c r="SW37" s="1663"/>
      <c r="SX37" s="1663"/>
      <c r="SY37" s="1663"/>
      <c r="SZ37" s="1663"/>
      <c r="TA37" s="1663"/>
      <c r="TB37" s="1663"/>
      <c r="TC37" s="1663"/>
      <c r="TD37" s="1663"/>
      <c r="TE37" s="1663"/>
      <c r="TF37" s="1663"/>
      <c r="TG37" s="1663"/>
      <c r="TH37" s="1663"/>
      <c r="TI37" s="1663"/>
      <c r="TJ37" s="1663"/>
      <c r="TK37" s="1663"/>
      <c r="TL37" s="1663"/>
      <c r="TM37" s="1663"/>
      <c r="TN37" s="1663"/>
      <c r="TO37" s="1663"/>
      <c r="TP37" s="1663"/>
      <c r="TQ37" s="1663"/>
      <c r="TR37" s="1663"/>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63"/>
      <c r="BH38" s="1663"/>
      <c r="BI38" s="1663"/>
      <c r="BJ38" s="1663" t="s">
        <v>791</v>
      </c>
      <c r="BK38" s="1663">
        <f>BK1</f>
        <v>0</v>
      </c>
      <c r="BL38" s="1663"/>
      <c r="BM38" s="1663"/>
      <c r="BN38" s="1663"/>
      <c r="BO38" s="1663"/>
      <c r="BP38" s="1663"/>
      <c r="BQ38" s="1663"/>
      <c r="BR38" s="1663"/>
      <c r="BS38" s="1663"/>
      <c r="BT38" s="1663"/>
      <c r="BU38" s="1663"/>
      <c r="BV38" s="1663"/>
      <c r="BW38" s="1663"/>
      <c r="BX38" s="1663"/>
      <c r="BY38" s="1663"/>
      <c r="BZ38" s="1663"/>
      <c r="CA38" s="1663"/>
      <c r="CB38" s="1663"/>
      <c r="CC38" s="1663"/>
      <c r="CD38" s="1663"/>
      <c r="CE38" s="1663"/>
      <c r="CF38" s="1663"/>
      <c r="CG38" s="101" t="s">
        <v>791</v>
      </c>
      <c r="CH38" s="83">
        <f>CH1</f>
        <v>0</v>
      </c>
      <c r="CI38" s="1663"/>
      <c r="CJ38" s="1663"/>
      <c r="CK38" s="1663"/>
      <c r="CL38" s="1663"/>
      <c r="CM38" s="1663"/>
      <c r="CN38" s="1663"/>
      <c r="CO38" s="1663"/>
      <c r="CP38" s="1663"/>
      <c r="CQ38" s="1663"/>
      <c r="CR38" s="1663"/>
      <c r="CS38" s="1663"/>
      <c r="CT38" s="1663"/>
      <c r="CU38" s="1663"/>
      <c r="CV38" s="1663"/>
      <c r="CW38" s="1663"/>
      <c r="CX38" s="1663"/>
      <c r="CY38" s="1663"/>
      <c r="CZ38" s="1663"/>
      <c r="DA38" s="1663"/>
      <c r="DB38" s="1663"/>
      <c r="DC38" s="1663"/>
      <c r="DD38" s="101" t="s">
        <v>791</v>
      </c>
      <c r="DE38" s="83">
        <f>DE1</f>
        <v>0</v>
      </c>
      <c r="DF38" s="1663"/>
      <c r="DG38" s="1663"/>
      <c r="DH38" s="1663"/>
      <c r="DI38" s="1663"/>
      <c r="DJ38" s="1663"/>
      <c r="DK38" s="1663"/>
      <c r="DL38" s="1663"/>
      <c r="DM38" s="1663"/>
      <c r="DN38" s="1663"/>
      <c r="DO38" s="1663"/>
      <c r="DP38" s="1663"/>
      <c r="DQ38" s="1663"/>
      <c r="DR38" s="1663"/>
      <c r="DS38" s="1663"/>
      <c r="DT38" s="1663"/>
      <c r="DU38" s="1663"/>
      <c r="DV38" s="1663"/>
      <c r="DW38" s="1663"/>
      <c r="DX38" s="1663"/>
      <c r="DY38" s="1663"/>
      <c r="DZ38" s="1663"/>
      <c r="EA38" s="101" t="s">
        <v>791</v>
      </c>
      <c r="EB38" s="83">
        <f>EB1</f>
        <v>0</v>
      </c>
      <c r="EC38" s="1663"/>
      <c r="ED38" s="1663"/>
      <c r="EE38" s="1663"/>
      <c r="EF38" s="1663"/>
      <c r="EG38" s="1663"/>
      <c r="EH38" s="1663"/>
      <c r="EI38" s="1663"/>
      <c r="EJ38" s="1663"/>
      <c r="EK38" s="1663"/>
      <c r="EL38" s="1663"/>
      <c r="EM38" s="1663"/>
      <c r="EN38" s="1663"/>
      <c r="EO38" s="1663"/>
      <c r="EP38" s="1663"/>
      <c r="EQ38" s="1663"/>
      <c r="ER38" s="1663"/>
      <c r="ES38" s="1663"/>
      <c r="ET38" s="1663"/>
      <c r="EU38" s="1663"/>
      <c r="EV38" s="1663"/>
      <c r="EW38" s="1663"/>
      <c r="EX38" s="101" t="s">
        <v>791</v>
      </c>
      <c r="EY38" s="83">
        <f>EY1</f>
        <v>0</v>
      </c>
      <c r="EZ38" s="1663"/>
      <c r="FA38" s="1663"/>
      <c r="FB38" s="1663"/>
      <c r="FC38" s="1663"/>
      <c r="FD38" s="1663"/>
      <c r="FE38" s="1663"/>
      <c r="FF38" s="1663"/>
      <c r="FG38" s="1663"/>
      <c r="FH38" s="1663"/>
      <c r="FI38" s="1663"/>
      <c r="FJ38" s="1663"/>
      <c r="FK38" s="1663"/>
      <c r="FL38" s="1663"/>
      <c r="FM38" s="1663"/>
      <c r="FN38" s="1663"/>
      <c r="FO38" s="1663"/>
      <c r="FP38" s="1663"/>
      <c r="FQ38" s="1663"/>
      <c r="FR38" s="1663"/>
      <c r="FS38" s="1663"/>
      <c r="FT38" s="1663"/>
      <c r="FU38" s="101" t="s">
        <v>791</v>
      </c>
      <c r="FV38" s="83">
        <f>FV1</f>
        <v>0</v>
      </c>
      <c r="FW38" s="1663"/>
      <c r="FX38" s="1663"/>
      <c r="FY38" s="1663"/>
      <c r="FZ38" s="1663"/>
      <c r="GA38" s="1663"/>
      <c r="GB38" s="1663"/>
      <c r="GC38" s="1663"/>
      <c r="GD38" s="1663"/>
      <c r="GE38" s="1663"/>
      <c r="GF38" s="1663"/>
      <c r="GG38" s="1663"/>
      <c r="GH38" s="1663"/>
      <c r="GI38" s="1663"/>
      <c r="GJ38" s="1663"/>
      <c r="GK38" s="1663"/>
      <c r="GL38" s="1663"/>
      <c r="GM38" s="1663"/>
      <c r="GN38" s="1663"/>
      <c r="GO38" s="1663"/>
      <c r="GP38" s="1663"/>
      <c r="GQ38" s="1663"/>
      <c r="GR38" s="101" t="s">
        <v>791</v>
      </c>
      <c r="GS38" s="83">
        <f>GS1</f>
        <v>0</v>
      </c>
      <c r="GT38" s="1663"/>
      <c r="GU38" s="1663"/>
      <c r="GV38" s="1663"/>
      <c r="GW38" s="1663"/>
      <c r="GX38" s="1663"/>
      <c r="GY38" s="1663"/>
      <c r="GZ38" s="1663"/>
      <c r="HA38" s="1663"/>
      <c r="HB38" s="1663"/>
      <c r="HC38" s="1663"/>
      <c r="HD38" s="1663"/>
      <c r="HE38" s="1663"/>
      <c r="HF38" s="1663"/>
      <c r="HG38" s="1663"/>
      <c r="HH38" s="1663"/>
      <c r="HI38" s="1663"/>
      <c r="HJ38" s="1663"/>
      <c r="HK38" s="1663"/>
      <c r="HL38" s="1663"/>
      <c r="HM38" s="1663"/>
      <c r="HN38" s="1663"/>
      <c r="HO38" s="101" t="s">
        <v>791</v>
      </c>
      <c r="HP38" s="83">
        <f>HP1</f>
        <v>0</v>
      </c>
      <c r="HQ38" s="1663"/>
      <c r="HR38" s="1663"/>
      <c r="HS38" s="1663"/>
      <c r="HT38" s="1663"/>
      <c r="HU38" s="1663"/>
      <c r="HV38" s="1663"/>
      <c r="HW38" s="1663"/>
      <c r="HX38" s="1663"/>
      <c r="HY38" s="1663"/>
      <c r="HZ38" s="1663"/>
      <c r="IA38" s="1663"/>
      <c r="IB38" s="1663"/>
      <c r="IC38" s="1663"/>
      <c r="ID38" s="1663"/>
      <c r="IE38" s="1663"/>
      <c r="IF38" s="1663"/>
      <c r="IG38" s="1663"/>
      <c r="IH38" s="1663"/>
      <c r="II38" s="1663"/>
      <c r="IJ38" s="1663"/>
      <c r="IK38" s="1663"/>
      <c r="IL38" s="101" t="s">
        <v>791</v>
      </c>
      <c r="IM38" s="83">
        <f>IM1</f>
        <v>0</v>
      </c>
      <c r="IN38" s="1663"/>
      <c r="IO38" s="1663"/>
      <c r="IP38" s="1663"/>
      <c r="IQ38" s="1663"/>
      <c r="IR38" s="1663"/>
      <c r="IS38" s="1663"/>
      <c r="IT38" s="1663"/>
      <c r="IU38" s="1663"/>
      <c r="IV38" s="1663"/>
      <c r="IW38" s="1663"/>
      <c r="IX38" s="1663"/>
      <c r="IY38" s="1663"/>
      <c r="IZ38" s="1663"/>
      <c r="JA38" s="1663"/>
      <c r="JB38" s="1663"/>
      <c r="JC38" s="1663"/>
      <c r="JD38" s="1663"/>
      <c r="JE38" s="1663"/>
      <c r="JF38" s="1663"/>
      <c r="JG38" s="1663"/>
      <c r="JH38" s="1663"/>
      <c r="JI38" s="101" t="s">
        <v>791</v>
      </c>
      <c r="JJ38" s="83">
        <f>JJ1</f>
        <v>0</v>
      </c>
      <c r="JK38" s="1663"/>
      <c r="JL38" s="1663"/>
      <c r="JM38" s="1663"/>
      <c r="JN38" s="1663"/>
      <c r="JO38" s="1663"/>
      <c r="JP38" s="1663"/>
      <c r="JQ38" s="1663"/>
      <c r="JR38" s="1663"/>
      <c r="JS38" s="1663"/>
      <c r="JT38" s="1663"/>
      <c r="JU38" s="1663"/>
      <c r="JV38" s="1663"/>
      <c r="JW38" s="1663"/>
      <c r="JX38" s="1663"/>
      <c r="JY38" s="1663"/>
      <c r="JZ38" s="1663"/>
      <c r="KA38" s="1663"/>
      <c r="KB38" s="1663"/>
      <c r="KC38" s="1663"/>
      <c r="KD38" s="1663"/>
      <c r="KE38" s="1663"/>
      <c r="KF38" s="101" t="s">
        <v>791</v>
      </c>
      <c r="KG38" s="83">
        <f>KG1</f>
        <v>0</v>
      </c>
      <c r="KH38" s="1663"/>
      <c r="KI38" s="1663"/>
      <c r="KJ38" s="1663"/>
      <c r="KK38" s="1663"/>
      <c r="KL38" s="1663"/>
      <c r="KM38" s="1663"/>
      <c r="KN38" s="1663"/>
      <c r="KO38" s="1663"/>
      <c r="KP38" s="1663"/>
      <c r="KQ38" s="1663"/>
      <c r="KR38" s="1663"/>
      <c r="KS38" s="1663"/>
      <c r="KT38" s="1663"/>
      <c r="KU38" s="1663"/>
      <c r="KV38" s="1663"/>
      <c r="KW38" s="1663"/>
      <c r="KX38" s="1663"/>
      <c r="KY38" s="1663"/>
      <c r="KZ38" s="1663"/>
      <c r="LA38" s="1663"/>
      <c r="LB38" s="1663"/>
      <c r="LC38" s="101" t="s">
        <v>791</v>
      </c>
      <c r="LD38" s="83">
        <f>LD1</f>
        <v>0</v>
      </c>
      <c r="LE38" s="1663"/>
      <c r="LF38" s="1663"/>
      <c r="LG38" s="1663"/>
      <c r="LH38" s="1663"/>
      <c r="LI38" s="1663"/>
      <c r="LJ38" s="1663"/>
      <c r="LK38" s="1663"/>
      <c r="LL38" s="1663"/>
      <c r="LM38" s="1663"/>
      <c r="LN38" s="1663"/>
      <c r="LO38" s="1663"/>
      <c r="LP38" s="1663"/>
      <c r="LQ38" s="1663"/>
      <c r="LR38" s="1663"/>
      <c r="LS38" s="1663"/>
      <c r="LT38" s="1663"/>
      <c r="LU38" s="1663"/>
      <c r="LV38" s="1663"/>
      <c r="LW38" s="1663"/>
      <c r="LX38" s="1663"/>
      <c r="LY38" s="1663"/>
      <c r="LZ38" s="101" t="s">
        <v>791</v>
      </c>
      <c r="MA38" s="83">
        <f>MA1</f>
        <v>0</v>
      </c>
      <c r="MB38" s="1663"/>
      <c r="MC38" s="1663"/>
      <c r="MD38" s="1663"/>
      <c r="ME38" s="1663"/>
      <c r="MF38" s="1663"/>
      <c r="MG38" s="1663"/>
      <c r="MH38" s="1663"/>
      <c r="MI38" s="1663"/>
      <c r="MJ38" s="1663"/>
      <c r="MK38" s="1663"/>
      <c r="ML38" s="1663"/>
      <c r="MM38" s="1663"/>
      <c r="MN38" s="1663"/>
      <c r="MO38" s="1663"/>
      <c r="MP38" s="1663"/>
      <c r="MQ38" s="1663"/>
      <c r="MR38" s="1663"/>
      <c r="MS38" s="1663"/>
      <c r="MT38" s="1663"/>
      <c r="MU38" s="1663"/>
      <c r="MV38" s="1663"/>
      <c r="MW38" s="101" t="s">
        <v>791</v>
      </c>
      <c r="MX38" s="83">
        <f>MX1</f>
        <v>0</v>
      </c>
      <c r="MY38" s="1663"/>
      <c r="MZ38" s="1663"/>
      <c r="NA38" s="1663"/>
      <c r="NB38" s="1663"/>
      <c r="NC38" s="1663"/>
      <c r="ND38" s="1663"/>
      <c r="NE38" s="1663"/>
      <c r="NF38" s="1663"/>
      <c r="NG38" s="1663"/>
      <c r="NH38" s="1663"/>
      <c r="NI38" s="1663"/>
      <c r="NJ38" s="1663"/>
      <c r="NK38" s="1663"/>
      <c r="NL38" s="1663"/>
      <c r="NM38" s="1663"/>
      <c r="NN38" s="1663"/>
      <c r="NO38" s="1663"/>
      <c r="NP38" s="1663"/>
      <c r="NQ38" s="1663"/>
      <c r="NR38" s="1663"/>
      <c r="NS38" s="1663"/>
      <c r="NT38" s="101" t="s">
        <v>791</v>
      </c>
      <c r="NU38" s="83">
        <f>NU1</f>
        <v>0</v>
      </c>
      <c r="NV38" s="1663"/>
      <c r="NW38" s="1663"/>
      <c r="NX38" s="1663"/>
      <c r="NY38" s="1663"/>
      <c r="NZ38" s="1663"/>
      <c r="OA38" s="1663"/>
      <c r="OB38" s="1663"/>
      <c r="OC38" s="1663"/>
      <c r="OD38" s="1663"/>
      <c r="OE38" s="1663"/>
      <c r="OF38" s="1663"/>
      <c r="OG38" s="1663"/>
      <c r="OH38" s="1663"/>
      <c r="OI38" s="1663"/>
      <c r="OJ38" s="1663"/>
      <c r="OK38" s="1663"/>
      <c r="OL38" s="1663"/>
      <c r="OM38" s="1663"/>
      <c r="ON38" s="1663"/>
      <c r="OO38" s="1663"/>
      <c r="OP38" s="1663"/>
      <c r="OQ38" s="101" t="s">
        <v>791</v>
      </c>
      <c r="OR38" s="83">
        <f>OR1</f>
        <v>0</v>
      </c>
      <c r="OS38" s="1663"/>
      <c r="OT38" s="1663"/>
      <c r="OU38" s="1663"/>
      <c r="OV38" s="1663"/>
      <c r="OW38" s="1663"/>
      <c r="OX38" s="1663"/>
      <c r="OY38" s="1663"/>
      <c r="OZ38" s="1663"/>
      <c r="PA38" s="1663"/>
      <c r="PB38" s="1663"/>
      <c r="PC38" s="1663"/>
      <c r="PD38" s="1663"/>
      <c r="PE38" s="1663"/>
      <c r="PF38" s="1663"/>
      <c r="PG38" s="1663"/>
      <c r="PH38" s="1663"/>
      <c r="PI38" s="1663"/>
      <c r="PJ38" s="1663"/>
      <c r="PK38" s="1663"/>
      <c r="PL38" s="1663"/>
      <c r="PM38" s="1663"/>
      <c r="PN38" s="101" t="s">
        <v>791</v>
      </c>
      <c r="PO38" s="83">
        <f>PO1</f>
        <v>0</v>
      </c>
      <c r="PP38" s="1663"/>
      <c r="PQ38" s="1663"/>
      <c r="PR38" s="1663"/>
      <c r="PS38" s="1663"/>
      <c r="PT38" s="1663"/>
      <c r="PU38" s="1663"/>
      <c r="PV38" s="1663"/>
      <c r="PW38" s="1663"/>
      <c r="PX38" s="1663"/>
      <c r="PY38" s="1663"/>
      <c r="PZ38" s="1663"/>
      <c r="QA38" s="1663"/>
      <c r="QB38" s="1663"/>
      <c r="QC38" s="1663"/>
      <c r="QD38" s="1663"/>
      <c r="QE38" s="1663"/>
      <c r="QF38" s="1663"/>
      <c r="QG38" s="1663"/>
      <c r="QH38" s="1663"/>
      <c r="QI38" s="1663"/>
      <c r="QJ38" s="1663"/>
      <c r="QK38" s="101" t="s">
        <v>791</v>
      </c>
      <c r="QL38" s="83">
        <f>QL1</f>
        <v>0</v>
      </c>
      <c r="QM38" s="1663"/>
      <c r="QN38" s="1663"/>
      <c r="QO38" s="1663"/>
      <c r="QP38" s="1663"/>
      <c r="QQ38" s="1663"/>
      <c r="QR38" s="1663"/>
      <c r="QS38" s="1663"/>
      <c r="QT38" s="1663"/>
      <c r="QU38" s="1663"/>
      <c r="QV38" s="1663"/>
      <c r="QW38" s="1663"/>
      <c r="QX38" s="1663"/>
      <c r="QY38" s="1663"/>
      <c r="QZ38" s="1663"/>
      <c r="RA38" s="1663"/>
      <c r="RB38" s="1663"/>
      <c r="RC38" s="1663"/>
      <c r="RD38" s="1663"/>
      <c r="RE38" s="1663"/>
      <c r="RF38" s="1663"/>
      <c r="RG38" s="1663"/>
      <c r="RH38" s="101" t="s">
        <v>791</v>
      </c>
      <c r="RI38" s="83">
        <f>RI1</f>
        <v>0</v>
      </c>
      <c r="RJ38" s="1663"/>
      <c r="RK38" s="1663"/>
      <c r="RL38" s="1663"/>
      <c r="RM38" s="1663"/>
      <c r="RN38" s="1663"/>
      <c r="RO38" s="1663"/>
      <c r="RP38" s="1663"/>
      <c r="RQ38" s="1663"/>
      <c r="RR38" s="1663"/>
      <c r="RS38" s="1663"/>
      <c r="RT38" s="1663"/>
      <c r="RU38" s="1663"/>
      <c r="RV38" s="1663"/>
      <c r="RW38" s="1663"/>
      <c r="RX38" s="1663"/>
      <c r="RY38" s="1663"/>
      <c r="RZ38" s="1663"/>
      <c r="SA38" s="1663"/>
      <c r="SB38" s="1663"/>
      <c r="SC38" s="1663"/>
      <c r="SD38" s="1663"/>
      <c r="SE38" s="101" t="s">
        <v>791</v>
      </c>
      <c r="SF38" s="83">
        <f>SF1</f>
        <v>0</v>
      </c>
      <c r="SG38" s="1663"/>
      <c r="SH38" s="1663"/>
      <c r="SI38" s="1663"/>
      <c r="SJ38" s="1663"/>
      <c r="SK38" s="1663"/>
      <c r="SL38" s="1663"/>
      <c r="SM38" s="1663"/>
      <c r="SN38" s="1663"/>
      <c r="SO38" s="1663"/>
      <c r="SP38" s="1663"/>
      <c r="SQ38" s="1663"/>
      <c r="SR38" s="1663"/>
      <c r="SS38" s="1663"/>
      <c r="ST38" s="1663"/>
      <c r="SU38" s="1663"/>
      <c r="SV38" s="1663"/>
      <c r="SW38" s="1663"/>
      <c r="SX38" s="1663"/>
      <c r="SY38" s="1663"/>
      <c r="SZ38" s="1663"/>
      <c r="TA38" s="1663"/>
      <c r="TB38" s="1663"/>
      <c r="TC38" s="1663"/>
      <c r="TD38" s="1663"/>
      <c r="TE38" s="1663"/>
      <c r="TF38" s="1663"/>
      <c r="TG38" s="1663"/>
      <c r="TH38" s="1663"/>
      <c r="TI38" s="1663"/>
      <c r="TJ38" s="1663"/>
      <c r="TK38" s="1663"/>
      <c r="TL38" s="1663"/>
      <c r="TM38" s="1663"/>
      <c r="TN38" s="1663"/>
      <c r="TO38" s="1663"/>
      <c r="TP38" s="1663"/>
      <c r="TQ38" s="1663"/>
      <c r="TR38" s="1663"/>
    </row>
    <row r="39" spans="1:538" x14ac:dyDescent="0.25">
      <c r="Q39" s="1465"/>
      <c r="R39" s="1479">
        <f t="shared" ref="R39:R47" si="94">RANK(T39,$T$39:$T$47)</f>
        <v>1</v>
      </c>
      <c r="S39" s="1480" t="s">
        <v>1</v>
      </c>
      <c r="T39" s="1481">
        <f>COUNTIF('Variable Costs (Back)'!$C$15:$C$34,S39)</f>
        <v>0</v>
      </c>
      <c r="U39" s="1466"/>
      <c r="V39" s="1466"/>
      <c r="W39" s="1466"/>
      <c r="X39" s="1466"/>
      <c r="Y39" s="1466"/>
      <c r="Z39" s="1479">
        <f t="shared" ref="Z39:Z65" si="95">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63"/>
      <c r="BH39" s="1663"/>
      <c r="BI39" s="1663"/>
      <c r="BJ39" s="1663" t="s">
        <v>792</v>
      </c>
      <c r="BK39" s="1663" t="e">
        <f>VLOOKUP(BK$1,'Existing Customers'!$A:$AA,2,FALSE)</f>
        <v>#N/A</v>
      </c>
      <c r="BL39" s="1663"/>
      <c r="BM39" s="1663"/>
      <c r="BN39" s="1663"/>
      <c r="BO39" s="1663"/>
      <c r="BP39" s="1663"/>
      <c r="BQ39" s="1663"/>
      <c r="BR39" s="1663"/>
      <c r="BS39" s="1663"/>
      <c r="BT39" s="1663"/>
      <c r="BU39" s="1663"/>
      <c r="BV39" s="1663"/>
      <c r="BW39" s="1663"/>
      <c r="BX39" s="1663"/>
      <c r="BY39" s="1663"/>
      <c r="BZ39" s="1663"/>
      <c r="CA39" s="1663"/>
      <c r="CB39" s="1663"/>
      <c r="CC39" s="1663"/>
      <c r="CD39" s="1663"/>
      <c r="CE39" s="1663"/>
      <c r="CF39" s="1663"/>
      <c r="CG39" s="101" t="s">
        <v>792</v>
      </c>
      <c r="CH39" s="83" t="e">
        <f>VLOOKUP(CH$1,'Existing Customers'!$A:$AA,2,FALSE)</f>
        <v>#N/A</v>
      </c>
      <c r="CI39" s="1663"/>
      <c r="CJ39" s="1663"/>
      <c r="CK39" s="1663"/>
      <c r="CL39" s="1663"/>
      <c r="CM39" s="1663"/>
      <c r="CN39" s="1663"/>
      <c r="CO39" s="1663"/>
      <c r="CP39" s="1663"/>
      <c r="CQ39" s="1663"/>
      <c r="CR39" s="1663"/>
      <c r="CS39" s="1663"/>
      <c r="CT39" s="1663"/>
      <c r="CU39" s="1663"/>
      <c r="CV39" s="1663"/>
      <c r="CW39" s="1663"/>
      <c r="CX39" s="1663"/>
      <c r="CY39" s="1663"/>
      <c r="CZ39" s="1663"/>
      <c r="DA39" s="1663"/>
      <c r="DB39" s="1663"/>
      <c r="DC39" s="1663"/>
      <c r="DD39" s="101" t="s">
        <v>792</v>
      </c>
      <c r="DE39" s="83" t="e">
        <f>VLOOKUP(DE$1,'Existing Customers'!$A:$AA,2,FALSE)</f>
        <v>#N/A</v>
      </c>
      <c r="DF39" s="1663"/>
      <c r="DG39" s="1663"/>
      <c r="DH39" s="1663"/>
      <c r="DI39" s="1663"/>
      <c r="DJ39" s="1663"/>
      <c r="DK39" s="1663"/>
      <c r="DL39" s="1663"/>
      <c r="DM39" s="1663"/>
      <c r="DN39" s="1663"/>
      <c r="DO39" s="1663"/>
      <c r="DP39" s="1663"/>
      <c r="DQ39" s="1663"/>
      <c r="DR39" s="1663"/>
      <c r="DS39" s="1663"/>
      <c r="DT39" s="1663"/>
      <c r="DU39" s="1663"/>
      <c r="DV39" s="1663"/>
      <c r="DW39" s="1663"/>
      <c r="DX39" s="1663"/>
      <c r="DY39" s="1663"/>
      <c r="DZ39" s="1663"/>
      <c r="EA39" s="101" t="s">
        <v>792</v>
      </c>
      <c r="EB39" s="83" t="e">
        <f>VLOOKUP(EB$1,'Existing Customers'!$A:$AA,2,FALSE)</f>
        <v>#N/A</v>
      </c>
      <c r="EC39" s="1663"/>
      <c r="ED39" s="1663"/>
      <c r="EE39" s="1663"/>
      <c r="EF39" s="1663"/>
      <c r="EG39" s="1663"/>
      <c r="EH39" s="1663"/>
      <c r="EI39" s="1663"/>
      <c r="EJ39" s="1663"/>
      <c r="EK39" s="1663"/>
      <c r="EL39" s="1663"/>
      <c r="EM39" s="1663"/>
      <c r="EN39" s="1663"/>
      <c r="EO39" s="1663"/>
      <c r="EP39" s="1663"/>
      <c r="EQ39" s="1663"/>
      <c r="ER39" s="1663"/>
      <c r="ES39" s="1663"/>
      <c r="ET39" s="1663"/>
      <c r="EU39" s="1663"/>
      <c r="EV39" s="1663"/>
      <c r="EW39" s="1663"/>
      <c r="EX39" s="101" t="s">
        <v>792</v>
      </c>
      <c r="EY39" s="83" t="e">
        <f>VLOOKUP(EY$1,'Existing Customers'!$A:$AA,2,FALSE)</f>
        <v>#N/A</v>
      </c>
      <c r="EZ39" s="1663"/>
      <c r="FA39" s="1663"/>
      <c r="FB39" s="1663"/>
      <c r="FC39" s="1663"/>
      <c r="FD39" s="1663"/>
      <c r="FE39" s="1663"/>
      <c r="FF39" s="1663"/>
      <c r="FG39" s="1663"/>
      <c r="FH39" s="1663"/>
      <c r="FI39" s="1663"/>
      <c r="FJ39" s="1663"/>
      <c r="FK39" s="1663"/>
      <c r="FL39" s="1663"/>
      <c r="FM39" s="1663"/>
      <c r="FN39" s="1663"/>
      <c r="FO39" s="1663"/>
      <c r="FP39" s="1663"/>
      <c r="FQ39" s="1663"/>
      <c r="FR39" s="1663"/>
      <c r="FS39" s="1663"/>
      <c r="FT39" s="1663"/>
      <c r="FU39" s="101" t="s">
        <v>792</v>
      </c>
      <c r="FV39" s="83" t="e">
        <f>VLOOKUP(FV$1,'Existing Customers'!$A:$AA,2,FALSE)</f>
        <v>#N/A</v>
      </c>
      <c r="FW39" s="1663"/>
      <c r="FX39" s="1663"/>
      <c r="FY39" s="1663"/>
      <c r="FZ39" s="1663"/>
      <c r="GA39" s="1663"/>
      <c r="GB39" s="1663"/>
      <c r="GC39" s="1663"/>
      <c r="GD39" s="1663"/>
      <c r="GE39" s="1663"/>
      <c r="GF39" s="1663"/>
      <c r="GG39" s="1663"/>
      <c r="GH39" s="1663"/>
      <c r="GI39" s="1663"/>
      <c r="GJ39" s="1663"/>
      <c r="GK39" s="1663"/>
      <c r="GL39" s="1663"/>
      <c r="GM39" s="1663"/>
      <c r="GN39" s="1663"/>
      <c r="GO39" s="1663"/>
      <c r="GP39" s="1663"/>
      <c r="GQ39" s="1663"/>
      <c r="GR39" s="101" t="s">
        <v>792</v>
      </c>
      <c r="GS39" s="83" t="e">
        <f>VLOOKUP(GS$1,'Existing Customers'!$A:$AA,2,FALSE)</f>
        <v>#N/A</v>
      </c>
      <c r="GT39" s="1663"/>
      <c r="GU39" s="1663"/>
      <c r="GV39" s="1663"/>
      <c r="GW39" s="1663"/>
      <c r="GX39" s="1663"/>
      <c r="GY39" s="1663"/>
      <c r="GZ39" s="1663"/>
      <c r="HA39" s="1663"/>
      <c r="HB39" s="1663"/>
      <c r="HC39" s="1663"/>
      <c r="HD39" s="1663"/>
      <c r="HE39" s="1663"/>
      <c r="HF39" s="1663"/>
      <c r="HG39" s="1663"/>
      <c r="HH39" s="1663"/>
      <c r="HI39" s="1663"/>
      <c r="HJ39" s="1663"/>
      <c r="HK39" s="1663"/>
      <c r="HL39" s="1663"/>
      <c r="HM39" s="1663"/>
      <c r="HN39" s="1663"/>
      <c r="HO39" s="101" t="s">
        <v>792</v>
      </c>
      <c r="HP39" s="83" t="e">
        <f>VLOOKUP(HP$1,'Existing Customers'!$A:$AA,2,FALSE)</f>
        <v>#N/A</v>
      </c>
      <c r="HQ39" s="1663"/>
      <c r="HR39" s="1663"/>
      <c r="HS39" s="1663"/>
      <c r="HT39" s="1663"/>
      <c r="HU39" s="1663"/>
      <c r="HV39" s="1663"/>
      <c r="HW39" s="1663"/>
      <c r="HX39" s="1663"/>
      <c r="HY39" s="1663"/>
      <c r="HZ39" s="1663"/>
      <c r="IA39" s="1663"/>
      <c r="IB39" s="1663"/>
      <c r="IC39" s="1663"/>
      <c r="ID39" s="1663"/>
      <c r="IE39" s="1663"/>
      <c r="IF39" s="1663"/>
      <c r="IG39" s="1663"/>
      <c r="IH39" s="1663"/>
      <c r="II39" s="1663"/>
      <c r="IJ39" s="1663"/>
      <c r="IK39" s="1663"/>
      <c r="IL39" s="101" t="s">
        <v>792</v>
      </c>
      <c r="IM39" s="83" t="e">
        <f>VLOOKUP(IM$1,'Existing Customers'!$A:$AA,2,FALSE)</f>
        <v>#N/A</v>
      </c>
      <c r="IN39" s="1663"/>
      <c r="IO39" s="1663"/>
      <c r="IP39" s="1663"/>
      <c r="IQ39" s="1663"/>
      <c r="IR39" s="1663"/>
      <c r="IS39" s="1663"/>
      <c r="IT39" s="1663"/>
      <c r="IU39" s="1663"/>
      <c r="IV39" s="1663"/>
      <c r="IW39" s="1663"/>
      <c r="IX39" s="1663"/>
      <c r="IY39" s="1663"/>
      <c r="IZ39" s="1663"/>
      <c r="JA39" s="1663"/>
      <c r="JB39" s="1663"/>
      <c r="JC39" s="1663"/>
      <c r="JD39" s="1663"/>
      <c r="JE39" s="1663"/>
      <c r="JF39" s="1663"/>
      <c r="JG39" s="1663"/>
      <c r="JH39" s="1663"/>
      <c r="JI39" s="101" t="s">
        <v>792</v>
      </c>
      <c r="JJ39" s="83" t="e">
        <f>VLOOKUP(JJ$1,'Existing Customers'!$A:$AA,2,FALSE)</f>
        <v>#N/A</v>
      </c>
      <c r="JK39" s="1663"/>
      <c r="JL39" s="1663"/>
      <c r="JM39" s="1663"/>
      <c r="JN39" s="1663"/>
      <c r="JO39" s="1663"/>
      <c r="JP39" s="1663"/>
      <c r="JQ39" s="1663"/>
      <c r="JR39" s="1663"/>
      <c r="JS39" s="1663"/>
      <c r="JT39" s="1663"/>
      <c r="JU39" s="1663"/>
      <c r="JV39" s="1663"/>
      <c r="JW39" s="1663"/>
      <c r="JX39" s="1663"/>
      <c r="JY39" s="1663"/>
      <c r="JZ39" s="1663"/>
      <c r="KA39" s="1663"/>
      <c r="KB39" s="1663"/>
      <c r="KC39" s="1663"/>
      <c r="KD39" s="1663"/>
      <c r="KE39" s="1663"/>
      <c r="KF39" s="101" t="s">
        <v>792</v>
      </c>
      <c r="KG39" s="83" t="e">
        <f>VLOOKUP(KG$1,'Existing Customers'!$A:$AA,2,FALSE)</f>
        <v>#N/A</v>
      </c>
      <c r="KH39" s="1663"/>
      <c r="KI39" s="1663"/>
      <c r="KJ39" s="1663"/>
      <c r="KK39" s="1663"/>
      <c r="KL39" s="1663"/>
      <c r="KM39" s="1663"/>
      <c r="KN39" s="1663"/>
      <c r="KO39" s="1663"/>
      <c r="KP39" s="1663"/>
      <c r="KQ39" s="1663"/>
      <c r="KR39" s="1663"/>
      <c r="KS39" s="1663"/>
      <c r="KT39" s="1663"/>
      <c r="KU39" s="1663"/>
      <c r="KV39" s="1663"/>
      <c r="KW39" s="1663"/>
      <c r="KX39" s="1663"/>
      <c r="KY39" s="1663"/>
      <c r="KZ39" s="1663"/>
      <c r="LA39" s="1663"/>
      <c r="LB39" s="1663"/>
      <c r="LC39" s="101" t="s">
        <v>792</v>
      </c>
      <c r="LD39" s="83" t="e">
        <f>VLOOKUP(LD$1,'Existing Customers'!$A:$AA,2,FALSE)</f>
        <v>#N/A</v>
      </c>
      <c r="LE39" s="1663"/>
      <c r="LF39" s="1663"/>
      <c r="LG39" s="1663"/>
      <c r="LH39" s="1663"/>
      <c r="LI39" s="1663"/>
      <c r="LJ39" s="1663"/>
      <c r="LK39" s="1663"/>
      <c r="LL39" s="1663"/>
      <c r="LM39" s="1663"/>
      <c r="LN39" s="1663"/>
      <c r="LO39" s="1663"/>
      <c r="LP39" s="1663"/>
      <c r="LQ39" s="1663"/>
      <c r="LR39" s="1663"/>
      <c r="LS39" s="1663"/>
      <c r="LT39" s="1663"/>
      <c r="LU39" s="1663"/>
      <c r="LV39" s="1663"/>
      <c r="LW39" s="1663"/>
      <c r="LX39" s="1663"/>
      <c r="LY39" s="1663"/>
      <c r="LZ39" s="101" t="s">
        <v>792</v>
      </c>
      <c r="MA39" s="83" t="e">
        <f>VLOOKUP(MA$1,'Existing Customers'!$A:$AA,2,FALSE)</f>
        <v>#N/A</v>
      </c>
      <c r="MB39" s="1663"/>
      <c r="MC39" s="1663"/>
      <c r="MD39" s="1663"/>
      <c r="ME39" s="1663"/>
      <c r="MF39" s="1663"/>
      <c r="MG39" s="1663"/>
      <c r="MH39" s="1663"/>
      <c r="MI39" s="1663"/>
      <c r="MJ39" s="1663"/>
      <c r="MK39" s="1663"/>
      <c r="ML39" s="1663"/>
      <c r="MM39" s="1663"/>
      <c r="MN39" s="1663"/>
      <c r="MO39" s="1663"/>
      <c r="MP39" s="1663"/>
      <c r="MQ39" s="1663"/>
      <c r="MR39" s="1663"/>
      <c r="MS39" s="1663"/>
      <c r="MT39" s="1663"/>
      <c r="MU39" s="1663"/>
      <c r="MV39" s="1663"/>
      <c r="MW39" s="101" t="s">
        <v>792</v>
      </c>
      <c r="MX39" s="83" t="e">
        <f>VLOOKUP(MX$1,'Existing Customers'!$A:$AA,2,FALSE)</f>
        <v>#N/A</v>
      </c>
      <c r="MY39" s="1663"/>
      <c r="MZ39" s="1663"/>
      <c r="NA39" s="1663"/>
      <c r="NB39" s="1663"/>
      <c r="NC39" s="1663"/>
      <c r="ND39" s="1663"/>
      <c r="NE39" s="1663"/>
      <c r="NF39" s="1663"/>
      <c r="NG39" s="1663"/>
      <c r="NH39" s="1663"/>
      <c r="NI39" s="1663"/>
      <c r="NJ39" s="1663"/>
      <c r="NK39" s="1663"/>
      <c r="NL39" s="1663"/>
      <c r="NM39" s="1663"/>
      <c r="NN39" s="1663"/>
      <c r="NO39" s="1663"/>
      <c r="NP39" s="1663"/>
      <c r="NQ39" s="1663"/>
      <c r="NR39" s="1663"/>
      <c r="NS39" s="1663"/>
      <c r="NT39" s="101" t="s">
        <v>792</v>
      </c>
      <c r="NU39" s="83" t="e">
        <f>VLOOKUP(NU$1,'Existing Customers'!$A:$AA,2,FALSE)</f>
        <v>#N/A</v>
      </c>
      <c r="NV39" s="1663"/>
      <c r="NW39" s="1663"/>
      <c r="NX39" s="1663"/>
      <c r="NY39" s="1663"/>
      <c r="NZ39" s="1663"/>
      <c r="OA39" s="1663"/>
      <c r="OB39" s="1663"/>
      <c r="OC39" s="1663"/>
      <c r="OD39" s="1663"/>
      <c r="OE39" s="1663"/>
      <c r="OF39" s="1663"/>
      <c r="OG39" s="1663"/>
      <c r="OH39" s="1663"/>
      <c r="OI39" s="1663"/>
      <c r="OJ39" s="1663"/>
      <c r="OK39" s="1663"/>
      <c r="OL39" s="1663"/>
      <c r="OM39" s="1663"/>
      <c r="ON39" s="1663"/>
      <c r="OO39" s="1663"/>
      <c r="OP39" s="1663"/>
      <c r="OQ39" s="101" t="s">
        <v>792</v>
      </c>
      <c r="OR39" s="83" t="e">
        <f>VLOOKUP(OR$1,'Existing Customers'!$A:$AA,2,FALSE)</f>
        <v>#N/A</v>
      </c>
      <c r="OS39" s="1663"/>
      <c r="OT39" s="1663"/>
      <c r="OU39" s="1663"/>
      <c r="OV39" s="1663"/>
      <c r="OW39" s="1663"/>
      <c r="OX39" s="1663"/>
      <c r="OY39" s="1663"/>
      <c r="OZ39" s="1663"/>
      <c r="PA39" s="1663"/>
      <c r="PB39" s="1663"/>
      <c r="PC39" s="1663"/>
      <c r="PD39" s="1663"/>
      <c r="PE39" s="1663"/>
      <c r="PF39" s="1663"/>
      <c r="PG39" s="1663"/>
      <c r="PH39" s="1663"/>
      <c r="PI39" s="1663"/>
      <c r="PJ39" s="1663"/>
      <c r="PK39" s="1663"/>
      <c r="PL39" s="1663"/>
      <c r="PM39" s="1663"/>
      <c r="PN39" s="101" t="s">
        <v>792</v>
      </c>
      <c r="PO39" s="83" t="e">
        <f>VLOOKUP(PO$1,'Existing Customers'!$A:$AA,2,FALSE)</f>
        <v>#N/A</v>
      </c>
      <c r="PP39" s="1663"/>
      <c r="PQ39" s="1663"/>
      <c r="PR39" s="1663"/>
      <c r="PS39" s="1663"/>
      <c r="PT39" s="1663"/>
      <c r="PU39" s="1663"/>
      <c r="PV39" s="1663"/>
      <c r="PW39" s="1663"/>
      <c r="PX39" s="1663"/>
      <c r="PY39" s="1663"/>
      <c r="PZ39" s="1663"/>
      <c r="QA39" s="1663"/>
      <c r="QB39" s="1663"/>
      <c r="QC39" s="1663"/>
      <c r="QD39" s="1663"/>
      <c r="QE39" s="1663"/>
      <c r="QF39" s="1663"/>
      <c r="QG39" s="1663"/>
      <c r="QH39" s="1663"/>
      <c r="QI39" s="1663"/>
      <c r="QJ39" s="1663"/>
      <c r="QK39" s="101" t="s">
        <v>792</v>
      </c>
      <c r="QL39" s="83" t="e">
        <f>VLOOKUP(QL$1,'Existing Customers'!$A:$AA,2,FALSE)</f>
        <v>#N/A</v>
      </c>
      <c r="QM39" s="1663"/>
      <c r="QN39" s="1663"/>
      <c r="QO39" s="1663"/>
      <c r="QP39" s="1663"/>
      <c r="QQ39" s="1663"/>
      <c r="QR39" s="1663"/>
      <c r="QS39" s="1663"/>
      <c r="QT39" s="1663"/>
      <c r="QU39" s="1663"/>
      <c r="QV39" s="1663"/>
      <c r="QW39" s="1663"/>
      <c r="QX39" s="1663"/>
      <c r="QY39" s="1663"/>
      <c r="QZ39" s="1663"/>
      <c r="RA39" s="1663"/>
      <c r="RB39" s="1663"/>
      <c r="RC39" s="1663"/>
      <c r="RD39" s="1663"/>
      <c r="RE39" s="1663"/>
      <c r="RF39" s="1663"/>
      <c r="RG39" s="1663"/>
      <c r="RH39" s="101" t="s">
        <v>792</v>
      </c>
      <c r="RI39" s="83" t="e">
        <f>VLOOKUP(RI$1,'Existing Customers'!$A:$AA,2,FALSE)</f>
        <v>#N/A</v>
      </c>
      <c r="RJ39" s="1663"/>
      <c r="RK39" s="1663"/>
      <c r="RL39" s="1663"/>
      <c r="RM39" s="1663"/>
      <c r="RN39" s="1663"/>
      <c r="RO39" s="1663"/>
      <c r="RP39" s="1663"/>
      <c r="RQ39" s="1663"/>
      <c r="RR39" s="1663"/>
      <c r="RS39" s="1663"/>
      <c r="RT39" s="1663"/>
      <c r="RU39" s="1663"/>
      <c r="RV39" s="1663"/>
      <c r="RW39" s="1663"/>
      <c r="RX39" s="1663"/>
      <c r="RY39" s="1663"/>
      <c r="RZ39" s="1663"/>
      <c r="SA39" s="1663"/>
      <c r="SB39" s="1663"/>
      <c r="SC39" s="1663"/>
      <c r="SD39" s="1663"/>
      <c r="SE39" s="101" t="s">
        <v>792</v>
      </c>
      <c r="SF39" s="83" t="e">
        <f>VLOOKUP(SF$1,'Existing Customers'!$A:$AA,2,FALSE)</f>
        <v>#N/A</v>
      </c>
      <c r="SG39" s="1663"/>
      <c r="SH39" s="1663"/>
      <c r="SI39" s="1663"/>
      <c r="SJ39" s="1663"/>
      <c r="SK39" s="1663"/>
      <c r="SL39" s="1663"/>
      <c r="SM39" s="1663"/>
      <c r="SN39" s="1663"/>
      <c r="SO39" s="1663"/>
      <c r="SP39" s="1663"/>
      <c r="SQ39" s="1663"/>
      <c r="SR39" s="1663"/>
      <c r="SS39" s="1663"/>
      <c r="ST39" s="1663"/>
      <c r="SU39" s="1663"/>
      <c r="SV39" s="1663"/>
      <c r="SW39" s="1663"/>
      <c r="SX39" s="1663"/>
      <c r="SY39" s="1663"/>
      <c r="SZ39" s="1663"/>
      <c r="TA39" s="1663"/>
      <c r="TB39" s="1663"/>
      <c r="TC39" s="1663"/>
      <c r="TD39" s="1663"/>
      <c r="TE39" s="1663"/>
      <c r="TF39" s="1663"/>
      <c r="TG39" s="1663"/>
      <c r="TH39" s="1663"/>
      <c r="TI39" s="1663"/>
      <c r="TJ39" s="1663"/>
      <c r="TK39" s="1663"/>
      <c r="TL39" s="1663"/>
      <c r="TM39" s="1663"/>
      <c r="TN39" s="1663"/>
      <c r="TO39" s="1663"/>
      <c r="TP39" s="1663"/>
      <c r="TQ39" s="1663"/>
      <c r="TR39" s="1663"/>
    </row>
    <row r="40" spans="1:538" ht="15.75" thickBot="1" x14ac:dyDescent="0.3">
      <c r="Q40" s="1465"/>
      <c r="R40" s="1479">
        <f t="shared" si="94"/>
        <v>1</v>
      </c>
      <c r="S40" s="1480" t="s">
        <v>114</v>
      </c>
      <c r="T40" s="1481">
        <f>COUNTIF('Variable Costs (Back)'!$C$15:$C$34,S40)</f>
        <v>0</v>
      </c>
      <c r="U40" s="1466"/>
      <c r="V40" s="1466"/>
      <c r="W40" s="1466"/>
      <c r="X40" s="1466"/>
      <c r="Y40" s="1466"/>
      <c r="Z40" s="1479">
        <f t="shared" si="95"/>
        <v>2</v>
      </c>
      <c r="AA40" s="1480"/>
      <c r="AB40" s="1481">
        <f t="shared" ref="AB40:AB65" si="96">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63"/>
      <c r="BH40" s="1663"/>
      <c r="BI40" s="1663"/>
      <c r="BJ40" s="1663" t="s">
        <v>120</v>
      </c>
      <c r="BK40" s="1663" t="e">
        <f>VLOOKUP(BK$1,'Existing Customers'!$A:$AA,12,FALSE)</f>
        <v>#N/A</v>
      </c>
      <c r="BL40" s="1663"/>
      <c r="BM40" s="1663"/>
      <c r="BN40" s="1663"/>
      <c r="BO40" s="1663"/>
      <c r="BP40" s="1663"/>
      <c r="BQ40" s="1663"/>
      <c r="BR40" s="1663"/>
      <c r="BS40" s="1663"/>
      <c r="BT40" s="1663"/>
      <c r="BU40" s="1663"/>
      <c r="BV40" s="1663"/>
      <c r="BW40" s="1663"/>
      <c r="BX40" s="1663"/>
      <c r="BY40" s="1663"/>
      <c r="BZ40" s="1663"/>
      <c r="CA40" s="1663"/>
      <c r="CB40" s="1663"/>
      <c r="CC40" s="1663"/>
      <c r="CD40" s="1663"/>
      <c r="CE40" s="1663"/>
      <c r="CF40" s="1663"/>
      <c r="CG40" s="101" t="s">
        <v>120</v>
      </c>
      <c r="CH40" s="83" t="e">
        <f>VLOOKUP(CH$1,'Existing Customers'!$A:$AA,12,FALSE)</f>
        <v>#N/A</v>
      </c>
      <c r="CI40" s="1663"/>
      <c r="CJ40" s="1663"/>
      <c r="CK40" s="1663"/>
      <c r="CL40" s="1663"/>
      <c r="CM40" s="1663"/>
      <c r="CN40" s="1663"/>
      <c r="CO40" s="1663"/>
      <c r="CP40" s="1663"/>
      <c r="CQ40" s="1663"/>
      <c r="CR40" s="1663"/>
      <c r="CS40" s="1663"/>
      <c r="CT40" s="1663"/>
      <c r="CU40" s="1663"/>
      <c r="CV40" s="1663"/>
      <c r="CW40" s="1663"/>
      <c r="CX40" s="1663"/>
      <c r="CY40" s="1663"/>
      <c r="CZ40" s="1663"/>
      <c r="DA40" s="1663"/>
      <c r="DB40" s="1663"/>
      <c r="DC40" s="1663"/>
      <c r="DD40" s="101" t="s">
        <v>120</v>
      </c>
      <c r="DE40" s="83" t="e">
        <f>VLOOKUP(DE$1,'Existing Customers'!$A:$AA,12,FALSE)</f>
        <v>#N/A</v>
      </c>
      <c r="DF40" s="1663"/>
      <c r="DG40" s="1663"/>
      <c r="DH40" s="1663"/>
      <c r="DI40" s="1663"/>
      <c r="DJ40" s="1663"/>
      <c r="DK40" s="1663"/>
      <c r="DL40" s="1663"/>
      <c r="DM40" s="1663"/>
      <c r="DN40" s="1663"/>
      <c r="DO40" s="1663"/>
      <c r="DP40" s="1663"/>
      <c r="DQ40" s="1663"/>
      <c r="DR40" s="1663"/>
      <c r="DS40" s="1663"/>
      <c r="DT40" s="1663"/>
      <c r="DU40" s="1663"/>
      <c r="DV40" s="1663"/>
      <c r="DW40" s="1663"/>
      <c r="DX40" s="1663"/>
      <c r="DY40" s="1663"/>
      <c r="DZ40" s="1663"/>
      <c r="EA40" s="101" t="s">
        <v>120</v>
      </c>
      <c r="EB40" s="83" t="e">
        <f>VLOOKUP(EB$1,'Existing Customers'!$A:$AA,12,FALSE)</f>
        <v>#N/A</v>
      </c>
      <c r="EC40" s="1663"/>
      <c r="ED40" s="1663"/>
      <c r="EE40" s="1663"/>
      <c r="EF40" s="1663"/>
      <c r="EG40" s="1663"/>
      <c r="EH40" s="1663"/>
      <c r="EI40" s="1663"/>
      <c r="EJ40" s="1663"/>
      <c r="EK40" s="1663"/>
      <c r="EL40" s="1663"/>
      <c r="EM40" s="1663"/>
      <c r="EN40" s="1663"/>
      <c r="EO40" s="1663"/>
      <c r="EP40" s="1663"/>
      <c r="EQ40" s="1663"/>
      <c r="ER40" s="1663"/>
      <c r="ES40" s="1663"/>
      <c r="ET40" s="1663"/>
      <c r="EU40" s="1663"/>
      <c r="EV40" s="1663"/>
      <c r="EW40" s="1663"/>
      <c r="EX40" s="101" t="s">
        <v>120</v>
      </c>
      <c r="EY40" s="83" t="e">
        <f>VLOOKUP(EY$1,'Existing Customers'!$A:$AA,12,FALSE)</f>
        <v>#N/A</v>
      </c>
      <c r="EZ40" s="1663"/>
      <c r="FA40" s="1663"/>
      <c r="FB40" s="1663"/>
      <c r="FC40" s="1663"/>
      <c r="FD40" s="1663"/>
      <c r="FE40" s="1663"/>
      <c r="FF40" s="1663"/>
      <c r="FG40" s="1663"/>
      <c r="FH40" s="1663"/>
      <c r="FI40" s="1663"/>
      <c r="FJ40" s="1663"/>
      <c r="FK40" s="1663"/>
      <c r="FL40" s="1663"/>
      <c r="FM40" s="1663"/>
      <c r="FN40" s="1663"/>
      <c r="FO40" s="1663"/>
      <c r="FP40" s="1663"/>
      <c r="FQ40" s="1663"/>
      <c r="FR40" s="1663"/>
      <c r="FS40" s="1663"/>
      <c r="FT40" s="1663"/>
      <c r="FU40" s="101" t="s">
        <v>120</v>
      </c>
      <c r="FV40" s="83" t="e">
        <f>VLOOKUP(FV$1,'Existing Customers'!$A:$AA,12,FALSE)</f>
        <v>#N/A</v>
      </c>
      <c r="FW40" s="1663"/>
      <c r="FX40" s="1663"/>
      <c r="FY40" s="1663"/>
      <c r="FZ40" s="1663"/>
      <c r="GA40" s="1663"/>
      <c r="GB40" s="1663"/>
      <c r="GC40" s="1663"/>
      <c r="GD40" s="1663"/>
      <c r="GE40" s="1663"/>
      <c r="GF40" s="1663"/>
      <c r="GG40" s="1663"/>
      <c r="GH40" s="1663"/>
      <c r="GI40" s="1663"/>
      <c r="GJ40" s="1663"/>
      <c r="GK40" s="1663"/>
      <c r="GL40" s="1663"/>
      <c r="GM40" s="1663"/>
      <c r="GN40" s="1663"/>
      <c r="GO40" s="1663"/>
      <c r="GP40" s="1663"/>
      <c r="GQ40" s="1663"/>
      <c r="GR40" s="101" t="s">
        <v>120</v>
      </c>
      <c r="GS40" s="83" t="e">
        <f>VLOOKUP(GS$1,'Existing Customers'!$A:$AA,12,FALSE)</f>
        <v>#N/A</v>
      </c>
      <c r="GT40" s="1663"/>
      <c r="GU40" s="1663"/>
      <c r="GV40" s="1663"/>
      <c r="GW40" s="1663"/>
      <c r="GX40" s="1663"/>
      <c r="GY40" s="1663"/>
      <c r="GZ40" s="1663"/>
      <c r="HA40" s="1663"/>
      <c r="HB40" s="1663"/>
      <c r="HC40" s="1663"/>
      <c r="HD40" s="1663"/>
      <c r="HE40" s="1663"/>
      <c r="HF40" s="1663"/>
      <c r="HG40" s="1663"/>
      <c r="HH40" s="1663"/>
      <c r="HI40" s="1663"/>
      <c r="HJ40" s="1663"/>
      <c r="HK40" s="1663"/>
      <c r="HL40" s="1663"/>
      <c r="HM40" s="1663"/>
      <c r="HN40" s="1663"/>
      <c r="HO40" s="101" t="s">
        <v>120</v>
      </c>
      <c r="HP40" s="83" t="e">
        <f>VLOOKUP(HP$1,'Existing Customers'!$A:$AA,12,FALSE)</f>
        <v>#N/A</v>
      </c>
      <c r="HQ40" s="1663"/>
      <c r="HR40" s="1663"/>
      <c r="HS40" s="1663"/>
      <c r="HT40" s="1663"/>
      <c r="HU40" s="1663"/>
      <c r="HV40" s="1663"/>
      <c r="HW40" s="1663"/>
      <c r="HX40" s="1663"/>
      <c r="HY40" s="1663"/>
      <c r="HZ40" s="1663"/>
      <c r="IA40" s="1663"/>
      <c r="IB40" s="1663"/>
      <c r="IC40" s="1663"/>
      <c r="ID40" s="1663"/>
      <c r="IE40" s="1663"/>
      <c r="IF40" s="1663"/>
      <c r="IG40" s="1663"/>
      <c r="IH40" s="1663"/>
      <c r="II40" s="1663"/>
      <c r="IJ40" s="1663"/>
      <c r="IK40" s="1663"/>
      <c r="IL40" s="101" t="s">
        <v>120</v>
      </c>
      <c r="IM40" s="83" t="e">
        <f>VLOOKUP(IM$1,'Existing Customers'!$A:$AA,12,FALSE)</f>
        <v>#N/A</v>
      </c>
      <c r="IN40" s="1663"/>
      <c r="IO40" s="1663"/>
      <c r="IP40" s="1663"/>
      <c r="IQ40" s="1663"/>
      <c r="IR40" s="1663"/>
      <c r="IS40" s="1663"/>
      <c r="IT40" s="1663"/>
      <c r="IU40" s="1663"/>
      <c r="IV40" s="1663"/>
      <c r="IW40" s="1663"/>
      <c r="IX40" s="1663"/>
      <c r="IY40" s="1663"/>
      <c r="IZ40" s="1663"/>
      <c r="JA40" s="1663"/>
      <c r="JB40" s="1663"/>
      <c r="JC40" s="1663"/>
      <c r="JD40" s="1663"/>
      <c r="JE40" s="1663"/>
      <c r="JF40" s="1663"/>
      <c r="JG40" s="1663"/>
      <c r="JH40" s="1663"/>
      <c r="JI40" s="101" t="s">
        <v>120</v>
      </c>
      <c r="JJ40" s="83" t="e">
        <f>VLOOKUP(JJ$1,'Existing Customers'!$A:$AA,12,FALSE)</f>
        <v>#N/A</v>
      </c>
      <c r="JK40" s="1663"/>
      <c r="JL40" s="1663"/>
      <c r="JM40" s="1663"/>
      <c r="JN40" s="1663"/>
      <c r="JO40" s="1663"/>
      <c r="JP40" s="1663"/>
      <c r="JQ40" s="1663"/>
      <c r="JR40" s="1663"/>
      <c r="JS40" s="1663"/>
      <c r="JT40" s="1663"/>
      <c r="JU40" s="1663"/>
      <c r="JV40" s="1663"/>
      <c r="JW40" s="1663"/>
      <c r="JX40" s="1663"/>
      <c r="JY40" s="1663"/>
      <c r="JZ40" s="1663"/>
      <c r="KA40" s="1663"/>
      <c r="KB40" s="1663"/>
      <c r="KC40" s="1663"/>
      <c r="KD40" s="1663"/>
      <c r="KE40" s="1663"/>
      <c r="KF40" s="101" t="s">
        <v>120</v>
      </c>
      <c r="KG40" s="83" t="e">
        <f>VLOOKUP(KG$1,'Existing Customers'!$A:$AA,12,FALSE)</f>
        <v>#N/A</v>
      </c>
      <c r="KH40" s="1663"/>
      <c r="KI40" s="1663"/>
      <c r="KJ40" s="1663"/>
      <c r="KK40" s="1663"/>
      <c r="KL40" s="1663"/>
      <c r="KM40" s="1663"/>
      <c r="KN40" s="1663"/>
      <c r="KO40" s="1663"/>
      <c r="KP40" s="1663"/>
      <c r="KQ40" s="1663"/>
      <c r="KR40" s="1663"/>
      <c r="KS40" s="1663"/>
      <c r="KT40" s="1663"/>
      <c r="KU40" s="1663"/>
      <c r="KV40" s="1663"/>
      <c r="KW40" s="1663"/>
      <c r="KX40" s="1663"/>
      <c r="KY40" s="1663"/>
      <c r="KZ40" s="1663"/>
      <c r="LA40" s="1663"/>
      <c r="LB40" s="1663"/>
      <c r="LC40" s="101" t="s">
        <v>120</v>
      </c>
      <c r="LD40" s="83" t="e">
        <f>VLOOKUP(LD$1,'Existing Customers'!$A:$AA,12,FALSE)</f>
        <v>#N/A</v>
      </c>
      <c r="LE40" s="1663"/>
      <c r="LF40" s="1663"/>
      <c r="LG40" s="1663"/>
      <c r="LH40" s="1663"/>
      <c r="LI40" s="1663"/>
      <c r="LJ40" s="1663"/>
      <c r="LK40" s="1663"/>
      <c r="LL40" s="1663"/>
      <c r="LM40" s="1663"/>
      <c r="LN40" s="1663"/>
      <c r="LO40" s="1663"/>
      <c r="LP40" s="1663"/>
      <c r="LQ40" s="1663"/>
      <c r="LR40" s="1663"/>
      <c r="LS40" s="1663"/>
      <c r="LT40" s="1663"/>
      <c r="LU40" s="1663"/>
      <c r="LV40" s="1663"/>
      <c r="LW40" s="1663"/>
      <c r="LX40" s="1663"/>
      <c r="LY40" s="1663"/>
      <c r="LZ40" s="101" t="s">
        <v>120</v>
      </c>
      <c r="MA40" s="83" t="e">
        <f>VLOOKUP(MA$1,'Existing Customers'!$A:$AA,12,FALSE)</f>
        <v>#N/A</v>
      </c>
      <c r="MB40" s="1663"/>
      <c r="MC40" s="1663"/>
      <c r="MD40" s="1663"/>
      <c r="ME40" s="1663"/>
      <c r="MF40" s="1663"/>
      <c r="MG40" s="1663"/>
      <c r="MH40" s="1663"/>
      <c r="MI40" s="1663"/>
      <c r="MJ40" s="1663"/>
      <c r="MK40" s="1663"/>
      <c r="ML40" s="1663"/>
      <c r="MM40" s="1663"/>
      <c r="MN40" s="1663"/>
      <c r="MO40" s="1663"/>
      <c r="MP40" s="1663"/>
      <c r="MQ40" s="1663"/>
      <c r="MR40" s="1663"/>
      <c r="MS40" s="1663"/>
      <c r="MT40" s="1663"/>
      <c r="MU40" s="1663"/>
      <c r="MV40" s="1663"/>
      <c r="MW40" s="101" t="s">
        <v>120</v>
      </c>
      <c r="MX40" s="83" t="e">
        <f>VLOOKUP(MX$1,'Existing Customers'!$A:$AA,12,FALSE)</f>
        <v>#N/A</v>
      </c>
      <c r="MY40" s="1663"/>
      <c r="MZ40" s="1663"/>
      <c r="NA40" s="1663"/>
      <c r="NB40" s="1663"/>
      <c r="NC40" s="1663"/>
      <c r="ND40" s="1663"/>
      <c r="NE40" s="1663"/>
      <c r="NF40" s="1663"/>
      <c r="NG40" s="1663"/>
      <c r="NH40" s="1663"/>
      <c r="NI40" s="1663"/>
      <c r="NJ40" s="1663"/>
      <c r="NK40" s="1663"/>
      <c r="NL40" s="1663"/>
      <c r="NM40" s="1663"/>
      <c r="NN40" s="1663"/>
      <c r="NO40" s="1663"/>
      <c r="NP40" s="1663"/>
      <c r="NQ40" s="1663"/>
      <c r="NR40" s="1663"/>
      <c r="NS40" s="1663"/>
      <c r="NT40" s="101" t="s">
        <v>120</v>
      </c>
      <c r="NU40" s="83" t="e">
        <f>VLOOKUP(NU$1,'Existing Customers'!$A:$AA,12,FALSE)</f>
        <v>#N/A</v>
      </c>
      <c r="NV40" s="1663"/>
      <c r="NW40" s="1663"/>
      <c r="NX40" s="1663"/>
      <c r="NY40" s="1663"/>
      <c r="NZ40" s="1663"/>
      <c r="OA40" s="1663"/>
      <c r="OB40" s="1663"/>
      <c r="OC40" s="1663"/>
      <c r="OD40" s="1663"/>
      <c r="OE40" s="1663"/>
      <c r="OF40" s="1663"/>
      <c r="OG40" s="1663"/>
      <c r="OH40" s="1663"/>
      <c r="OI40" s="1663"/>
      <c r="OJ40" s="1663"/>
      <c r="OK40" s="1663"/>
      <c r="OL40" s="1663"/>
      <c r="OM40" s="1663"/>
      <c r="ON40" s="1663"/>
      <c r="OO40" s="1663"/>
      <c r="OP40" s="1663"/>
      <c r="OQ40" s="101" t="s">
        <v>120</v>
      </c>
      <c r="OR40" s="83" t="e">
        <f>VLOOKUP(OR$1,'Existing Customers'!$A:$AA,12,FALSE)</f>
        <v>#N/A</v>
      </c>
      <c r="OS40" s="1663"/>
      <c r="OT40" s="1663"/>
      <c r="OU40" s="1663"/>
      <c r="OV40" s="1663"/>
      <c r="OW40" s="1663"/>
      <c r="OX40" s="1663"/>
      <c r="OY40" s="1663"/>
      <c r="OZ40" s="1663"/>
      <c r="PA40" s="1663"/>
      <c r="PB40" s="1663"/>
      <c r="PC40" s="1663"/>
      <c r="PD40" s="1663"/>
      <c r="PE40" s="1663"/>
      <c r="PF40" s="1663"/>
      <c r="PG40" s="1663"/>
      <c r="PH40" s="1663"/>
      <c r="PI40" s="1663"/>
      <c r="PJ40" s="1663"/>
      <c r="PK40" s="1663"/>
      <c r="PL40" s="1663"/>
      <c r="PM40" s="1663"/>
      <c r="PN40" s="101" t="s">
        <v>120</v>
      </c>
      <c r="PO40" s="83" t="e">
        <f>VLOOKUP(PO$1,'Existing Customers'!$A:$AA,12,FALSE)</f>
        <v>#N/A</v>
      </c>
      <c r="PP40" s="1663"/>
      <c r="PQ40" s="1663"/>
      <c r="PR40" s="1663"/>
      <c r="PS40" s="1663"/>
      <c r="PT40" s="1663"/>
      <c r="PU40" s="1663"/>
      <c r="PV40" s="1663"/>
      <c r="PW40" s="1663"/>
      <c r="PX40" s="1663"/>
      <c r="PY40" s="1663"/>
      <c r="PZ40" s="1663"/>
      <c r="QA40" s="1663"/>
      <c r="QB40" s="1663"/>
      <c r="QC40" s="1663"/>
      <c r="QD40" s="1663"/>
      <c r="QE40" s="1663"/>
      <c r="QF40" s="1663"/>
      <c r="QG40" s="1663"/>
      <c r="QH40" s="1663"/>
      <c r="QI40" s="1663"/>
      <c r="QJ40" s="1663"/>
      <c r="QK40" s="101" t="s">
        <v>120</v>
      </c>
      <c r="QL40" s="83" t="e">
        <f>VLOOKUP(QL$1,'Existing Customers'!$A:$AA,12,FALSE)</f>
        <v>#N/A</v>
      </c>
      <c r="QM40" s="1663"/>
      <c r="QN40" s="1663"/>
      <c r="QO40" s="1663"/>
      <c r="QP40" s="1663"/>
      <c r="QQ40" s="1663"/>
      <c r="QR40" s="1663"/>
      <c r="QS40" s="1663"/>
      <c r="QT40" s="1663"/>
      <c r="QU40" s="1663"/>
      <c r="QV40" s="1663"/>
      <c r="QW40" s="1663"/>
      <c r="QX40" s="1663"/>
      <c r="QY40" s="1663"/>
      <c r="QZ40" s="1663"/>
      <c r="RA40" s="1663"/>
      <c r="RB40" s="1663"/>
      <c r="RC40" s="1663"/>
      <c r="RD40" s="1663"/>
      <c r="RE40" s="1663"/>
      <c r="RF40" s="1663"/>
      <c r="RG40" s="1663"/>
      <c r="RH40" s="101" t="s">
        <v>120</v>
      </c>
      <c r="RI40" s="83" t="e">
        <f>VLOOKUP(RI$1,'Existing Customers'!$A:$AA,12,FALSE)</f>
        <v>#N/A</v>
      </c>
      <c r="RJ40" s="1663"/>
      <c r="RK40" s="1663"/>
      <c r="RL40" s="1663"/>
      <c r="RM40" s="1663"/>
      <c r="RN40" s="1663"/>
      <c r="RO40" s="1663"/>
      <c r="RP40" s="1663"/>
      <c r="RQ40" s="1663"/>
      <c r="RR40" s="1663"/>
      <c r="RS40" s="1663"/>
      <c r="RT40" s="1663"/>
      <c r="RU40" s="1663"/>
      <c r="RV40" s="1663"/>
      <c r="RW40" s="1663"/>
      <c r="RX40" s="1663"/>
      <c r="RY40" s="1663"/>
      <c r="RZ40" s="1663"/>
      <c r="SA40" s="1663"/>
      <c r="SB40" s="1663"/>
      <c r="SC40" s="1663"/>
      <c r="SD40" s="1663"/>
      <c r="SE40" s="101" t="s">
        <v>120</v>
      </c>
      <c r="SF40" s="83" t="e">
        <f>VLOOKUP(SF$1,'Existing Customers'!$A:$AA,12,FALSE)</f>
        <v>#N/A</v>
      </c>
      <c r="SG40" s="1663"/>
      <c r="SH40" s="1663"/>
      <c r="SI40" s="1663"/>
      <c r="SJ40" s="1663"/>
      <c r="SK40" s="1663"/>
      <c r="SL40" s="1663"/>
      <c r="SM40" s="1663"/>
      <c r="SN40" s="1663"/>
      <c r="SO40" s="1663"/>
      <c r="SP40" s="1663"/>
      <c r="SQ40" s="1663"/>
      <c r="SR40" s="1663"/>
      <c r="SS40" s="1663"/>
      <c r="ST40" s="1663"/>
      <c r="SU40" s="1663"/>
      <c r="SV40" s="1663"/>
      <c r="SW40" s="1663"/>
      <c r="SX40" s="1663"/>
      <c r="SY40" s="1663"/>
      <c r="SZ40" s="1663"/>
      <c r="TA40" s="1663"/>
      <c r="TB40" s="1663"/>
      <c r="TC40" s="1663"/>
      <c r="TD40" s="1663"/>
      <c r="TE40" s="1663"/>
      <c r="TF40" s="1663"/>
      <c r="TG40" s="1663"/>
      <c r="TH40" s="1663"/>
      <c r="TI40" s="1663"/>
      <c r="TJ40" s="1663"/>
      <c r="TK40" s="1663"/>
      <c r="TL40" s="1663"/>
      <c r="TM40" s="1663"/>
      <c r="TN40" s="1663"/>
      <c r="TO40" s="1663"/>
      <c r="TP40" s="1663"/>
      <c r="TQ40" s="1663"/>
      <c r="TR40" s="1663"/>
    </row>
    <row r="41" spans="1:538" x14ac:dyDescent="0.25">
      <c r="Q41" s="1465"/>
      <c r="R41" s="1479">
        <f t="shared" si="94"/>
        <v>1</v>
      </c>
      <c r="S41" s="1480" t="s">
        <v>116</v>
      </c>
      <c r="T41" s="1481">
        <f>COUNTIF('Variable Costs (Back)'!$C$15:$C$34,S41)</f>
        <v>0</v>
      </c>
      <c r="U41" s="1466"/>
      <c r="V41" s="1466"/>
      <c r="W41" s="1466"/>
      <c r="X41" s="1466"/>
      <c r="Y41" s="1466"/>
      <c r="Z41" s="1479">
        <f t="shared" si="95"/>
        <v>2</v>
      </c>
      <c r="AA41" s="1480"/>
      <c r="AB41" s="1481">
        <f t="shared" si="96"/>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63"/>
      <c r="BH41" s="1663"/>
      <c r="BI41" s="1663"/>
      <c r="BJ41" s="1663" t="s">
        <v>793</v>
      </c>
      <c r="BK41" s="1663" t="e">
        <f>VLOOKUP(BK$1,'Existing Customers'!$A:$AA,25,FALSE)</f>
        <v>#N/A</v>
      </c>
      <c r="BL41" s="1663"/>
      <c r="BM41" s="1663"/>
      <c r="BN41" s="1663"/>
      <c r="BO41" s="1663"/>
      <c r="BP41" s="1663"/>
      <c r="BQ41" s="1663"/>
      <c r="BR41" s="1663"/>
      <c r="BS41" s="1663"/>
      <c r="BT41" s="1663"/>
      <c r="BU41" s="1663"/>
      <c r="BV41" s="1663"/>
      <c r="BW41" s="1663"/>
      <c r="BX41" s="1663"/>
      <c r="BY41" s="1663"/>
      <c r="BZ41" s="1663"/>
      <c r="CA41" s="1663"/>
      <c r="CB41" s="1663"/>
      <c r="CC41" s="1663"/>
      <c r="CD41" s="1663"/>
      <c r="CE41" s="1663"/>
      <c r="CF41" s="1663"/>
      <c r="CG41" s="101" t="s">
        <v>793</v>
      </c>
      <c r="CH41" s="83" t="e">
        <f>VLOOKUP(CH$1,'Existing Customers'!$A:$AA,25,FALSE)</f>
        <v>#N/A</v>
      </c>
      <c r="CI41" s="1663"/>
      <c r="CJ41" s="1663"/>
      <c r="CK41" s="1663"/>
      <c r="CL41" s="1663"/>
      <c r="CM41" s="1663"/>
      <c r="CN41" s="1663"/>
      <c r="CO41" s="1663"/>
      <c r="CP41" s="1663"/>
      <c r="CQ41" s="1663"/>
      <c r="CR41" s="1663"/>
      <c r="CS41" s="1663"/>
      <c r="CT41" s="1663"/>
      <c r="CU41" s="1663"/>
      <c r="CV41" s="1663"/>
      <c r="CW41" s="1663"/>
      <c r="CX41" s="1663"/>
      <c r="CY41" s="1663"/>
      <c r="CZ41" s="1663"/>
      <c r="DA41" s="1663"/>
      <c r="DB41" s="1663"/>
      <c r="DC41" s="1663"/>
      <c r="DD41" s="101" t="s">
        <v>793</v>
      </c>
      <c r="DE41" s="83" t="e">
        <f>VLOOKUP(DE$1,'Existing Customers'!$A:$AA,25,FALSE)</f>
        <v>#N/A</v>
      </c>
      <c r="DF41" s="1663"/>
      <c r="DG41" s="1663"/>
      <c r="DH41" s="1663"/>
      <c r="DI41" s="1663"/>
      <c r="DJ41" s="1663"/>
      <c r="DK41" s="1663"/>
      <c r="DL41" s="1663"/>
      <c r="DM41" s="1663"/>
      <c r="DN41" s="1663"/>
      <c r="DO41" s="1663"/>
      <c r="DP41" s="1663"/>
      <c r="DQ41" s="1663"/>
      <c r="DR41" s="1663"/>
      <c r="DS41" s="1663"/>
      <c r="DT41" s="1663"/>
      <c r="DU41" s="1663"/>
      <c r="DV41" s="1663"/>
      <c r="DW41" s="1663"/>
      <c r="DX41" s="1663"/>
      <c r="DY41" s="1663"/>
      <c r="DZ41" s="1663"/>
      <c r="EA41" s="101" t="s">
        <v>793</v>
      </c>
      <c r="EB41" s="83" t="e">
        <f>VLOOKUP(EB$1,'Existing Customers'!$A:$AA,25,FALSE)</f>
        <v>#N/A</v>
      </c>
      <c r="EC41" s="1663"/>
      <c r="ED41" s="1663"/>
      <c r="EE41" s="1663"/>
      <c r="EF41" s="1663"/>
      <c r="EG41" s="1663"/>
      <c r="EH41" s="1663"/>
      <c r="EI41" s="1663"/>
      <c r="EJ41" s="1663"/>
      <c r="EK41" s="1663"/>
      <c r="EL41" s="1663"/>
      <c r="EM41" s="1663"/>
      <c r="EN41" s="1663"/>
      <c r="EO41" s="1663"/>
      <c r="EP41" s="1663"/>
      <c r="EQ41" s="1663"/>
      <c r="ER41" s="1663"/>
      <c r="ES41" s="1663"/>
      <c r="ET41" s="1663"/>
      <c r="EU41" s="1663"/>
      <c r="EV41" s="1663"/>
      <c r="EW41" s="1663"/>
      <c r="EX41" s="101" t="s">
        <v>793</v>
      </c>
      <c r="EY41" s="83" t="e">
        <f>VLOOKUP(EY$1,'Existing Customers'!$A:$AA,25,FALSE)</f>
        <v>#N/A</v>
      </c>
      <c r="EZ41" s="1663"/>
      <c r="FA41" s="1663"/>
      <c r="FB41" s="1663"/>
      <c r="FC41" s="1663"/>
      <c r="FD41" s="1663"/>
      <c r="FE41" s="1663"/>
      <c r="FF41" s="1663"/>
      <c r="FG41" s="1663"/>
      <c r="FH41" s="1663"/>
      <c r="FI41" s="1663"/>
      <c r="FJ41" s="1663"/>
      <c r="FK41" s="1663"/>
      <c r="FL41" s="1663"/>
      <c r="FM41" s="1663"/>
      <c r="FN41" s="1663"/>
      <c r="FO41" s="1663"/>
      <c r="FP41" s="1663"/>
      <c r="FQ41" s="1663"/>
      <c r="FR41" s="1663"/>
      <c r="FS41" s="1663"/>
      <c r="FT41" s="1663"/>
      <c r="FU41" s="101" t="s">
        <v>793</v>
      </c>
      <c r="FV41" s="83" t="e">
        <f>VLOOKUP(FV$1,'Existing Customers'!$A:$AA,25,FALSE)</f>
        <v>#N/A</v>
      </c>
      <c r="FW41" s="1663"/>
      <c r="FX41" s="1663"/>
      <c r="FY41" s="1663"/>
      <c r="FZ41" s="1663"/>
      <c r="GA41" s="1663"/>
      <c r="GB41" s="1663"/>
      <c r="GC41" s="1663"/>
      <c r="GD41" s="1663"/>
      <c r="GE41" s="1663"/>
      <c r="GF41" s="1663"/>
      <c r="GG41" s="1663"/>
      <c r="GH41" s="1663"/>
      <c r="GI41" s="1663"/>
      <c r="GJ41" s="1663"/>
      <c r="GK41" s="1663"/>
      <c r="GL41" s="1663"/>
      <c r="GM41" s="1663"/>
      <c r="GN41" s="1663"/>
      <c r="GO41" s="1663"/>
      <c r="GP41" s="1663"/>
      <c r="GQ41" s="1663"/>
      <c r="GR41" s="101" t="s">
        <v>793</v>
      </c>
      <c r="GS41" s="83" t="e">
        <f>VLOOKUP(GS$1,'Existing Customers'!$A:$AA,25,FALSE)</f>
        <v>#N/A</v>
      </c>
      <c r="GT41" s="1663"/>
      <c r="GU41" s="1663"/>
      <c r="GV41" s="1663"/>
      <c r="GW41" s="1663"/>
      <c r="GX41" s="1663"/>
      <c r="GY41" s="1663"/>
      <c r="GZ41" s="1663"/>
      <c r="HA41" s="1663"/>
      <c r="HB41" s="1663"/>
      <c r="HC41" s="1663"/>
      <c r="HD41" s="1663"/>
      <c r="HE41" s="1663"/>
      <c r="HF41" s="1663"/>
      <c r="HG41" s="1663"/>
      <c r="HH41" s="1663"/>
      <c r="HI41" s="1663"/>
      <c r="HJ41" s="1663"/>
      <c r="HK41" s="1663"/>
      <c r="HL41" s="1663"/>
      <c r="HM41" s="1663"/>
      <c r="HN41" s="1663"/>
      <c r="HO41" s="101" t="s">
        <v>793</v>
      </c>
      <c r="HP41" s="83" t="e">
        <f>VLOOKUP(HP$1,'Existing Customers'!$A:$AA,25,FALSE)</f>
        <v>#N/A</v>
      </c>
      <c r="HQ41" s="1663"/>
      <c r="HR41" s="1663"/>
      <c r="HS41" s="1663"/>
      <c r="HT41" s="1663"/>
      <c r="HU41" s="1663"/>
      <c r="HV41" s="1663"/>
      <c r="HW41" s="1663"/>
      <c r="HX41" s="1663"/>
      <c r="HY41" s="1663"/>
      <c r="HZ41" s="1663"/>
      <c r="IA41" s="1663"/>
      <c r="IB41" s="1663"/>
      <c r="IC41" s="1663"/>
      <c r="ID41" s="1663"/>
      <c r="IE41" s="1663"/>
      <c r="IF41" s="1663"/>
      <c r="IG41" s="1663"/>
      <c r="IH41" s="1663"/>
      <c r="II41" s="1663"/>
      <c r="IJ41" s="1663"/>
      <c r="IK41" s="1663"/>
      <c r="IL41" s="101" t="s">
        <v>793</v>
      </c>
      <c r="IM41" s="83" t="e">
        <f>VLOOKUP(IM$1,'Existing Customers'!$A:$AA,25,FALSE)</f>
        <v>#N/A</v>
      </c>
      <c r="IN41" s="1663"/>
      <c r="IO41" s="1663"/>
      <c r="IP41" s="1663"/>
      <c r="IQ41" s="1663"/>
      <c r="IR41" s="1663"/>
      <c r="IS41" s="1663"/>
      <c r="IT41" s="1663"/>
      <c r="IU41" s="1663"/>
      <c r="IV41" s="1663"/>
      <c r="IW41" s="1663"/>
      <c r="IX41" s="1663"/>
      <c r="IY41" s="1663"/>
      <c r="IZ41" s="1663"/>
      <c r="JA41" s="1663"/>
      <c r="JB41" s="1663"/>
      <c r="JC41" s="1663"/>
      <c r="JD41" s="1663"/>
      <c r="JE41" s="1663"/>
      <c r="JF41" s="1663"/>
      <c r="JG41" s="1663"/>
      <c r="JH41" s="1663"/>
      <c r="JI41" s="101" t="s">
        <v>793</v>
      </c>
      <c r="JJ41" s="83" t="e">
        <f>VLOOKUP(JJ$1,'Existing Customers'!$A:$AA,25,FALSE)</f>
        <v>#N/A</v>
      </c>
      <c r="JK41" s="1663"/>
      <c r="JL41" s="1663"/>
      <c r="JM41" s="1663"/>
      <c r="JN41" s="1663"/>
      <c r="JO41" s="1663"/>
      <c r="JP41" s="1663"/>
      <c r="JQ41" s="1663"/>
      <c r="JR41" s="1663"/>
      <c r="JS41" s="1663"/>
      <c r="JT41" s="1663"/>
      <c r="JU41" s="1663"/>
      <c r="JV41" s="1663"/>
      <c r="JW41" s="1663"/>
      <c r="JX41" s="1663"/>
      <c r="JY41" s="1663"/>
      <c r="JZ41" s="1663"/>
      <c r="KA41" s="1663"/>
      <c r="KB41" s="1663"/>
      <c r="KC41" s="1663"/>
      <c r="KD41" s="1663"/>
      <c r="KE41" s="1663"/>
      <c r="KF41" s="101" t="s">
        <v>793</v>
      </c>
      <c r="KG41" s="83" t="e">
        <f>VLOOKUP(KG$1,'Existing Customers'!$A:$AA,25,FALSE)</f>
        <v>#N/A</v>
      </c>
      <c r="KH41" s="1663"/>
      <c r="KI41" s="1663"/>
      <c r="KJ41" s="1663"/>
      <c r="KK41" s="1663"/>
      <c r="KL41" s="1663"/>
      <c r="KM41" s="1663"/>
      <c r="KN41" s="1663"/>
      <c r="KO41" s="1663"/>
      <c r="KP41" s="1663"/>
      <c r="KQ41" s="1663"/>
      <c r="KR41" s="1663"/>
      <c r="KS41" s="1663"/>
      <c r="KT41" s="1663"/>
      <c r="KU41" s="1663"/>
      <c r="KV41" s="1663"/>
      <c r="KW41" s="1663"/>
      <c r="KX41" s="1663"/>
      <c r="KY41" s="1663"/>
      <c r="KZ41" s="1663"/>
      <c r="LA41" s="1663"/>
      <c r="LB41" s="1663"/>
      <c r="LC41" s="101" t="s">
        <v>793</v>
      </c>
      <c r="LD41" s="83" t="e">
        <f>VLOOKUP(LD$1,'Existing Customers'!$A:$AA,25,FALSE)</f>
        <v>#N/A</v>
      </c>
      <c r="LE41" s="1663"/>
      <c r="LF41" s="1663"/>
      <c r="LG41" s="1663"/>
      <c r="LH41" s="1663"/>
      <c r="LI41" s="1663"/>
      <c r="LJ41" s="1663"/>
      <c r="LK41" s="1663"/>
      <c r="LL41" s="1663"/>
      <c r="LM41" s="1663"/>
      <c r="LN41" s="1663"/>
      <c r="LO41" s="1663"/>
      <c r="LP41" s="1663"/>
      <c r="LQ41" s="1663"/>
      <c r="LR41" s="1663"/>
      <c r="LS41" s="1663"/>
      <c r="LT41" s="1663"/>
      <c r="LU41" s="1663"/>
      <c r="LV41" s="1663"/>
      <c r="LW41" s="1663"/>
      <c r="LX41" s="1663"/>
      <c r="LY41" s="1663"/>
      <c r="LZ41" s="101" t="s">
        <v>793</v>
      </c>
      <c r="MA41" s="83" t="e">
        <f>VLOOKUP(MA$1,'Existing Customers'!$A:$AA,25,FALSE)</f>
        <v>#N/A</v>
      </c>
      <c r="MB41" s="1663"/>
      <c r="MC41" s="1663"/>
      <c r="MD41" s="1663"/>
      <c r="ME41" s="1663"/>
      <c r="MF41" s="1663"/>
      <c r="MG41" s="1663"/>
      <c r="MH41" s="1663"/>
      <c r="MI41" s="1663"/>
      <c r="MJ41" s="1663"/>
      <c r="MK41" s="1663"/>
      <c r="ML41" s="1663"/>
      <c r="MM41" s="1663"/>
      <c r="MN41" s="1663"/>
      <c r="MO41" s="1663"/>
      <c r="MP41" s="1663"/>
      <c r="MQ41" s="1663"/>
      <c r="MR41" s="1663"/>
      <c r="MS41" s="1663"/>
      <c r="MT41" s="1663"/>
      <c r="MU41" s="1663"/>
      <c r="MV41" s="1663"/>
      <c r="MW41" s="101" t="s">
        <v>793</v>
      </c>
      <c r="MX41" s="83" t="e">
        <f>VLOOKUP(MX$1,'Existing Customers'!$A:$AA,25,FALSE)</f>
        <v>#N/A</v>
      </c>
      <c r="MY41" s="1663"/>
      <c r="MZ41" s="1663"/>
      <c r="NA41" s="1663"/>
      <c r="NB41" s="1663"/>
      <c r="NC41" s="1663"/>
      <c r="ND41" s="1663"/>
      <c r="NE41" s="1663"/>
      <c r="NF41" s="1663"/>
      <c r="NG41" s="1663"/>
      <c r="NH41" s="1663"/>
      <c r="NI41" s="1663"/>
      <c r="NJ41" s="1663"/>
      <c r="NK41" s="1663"/>
      <c r="NL41" s="1663"/>
      <c r="NM41" s="1663"/>
      <c r="NN41" s="1663"/>
      <c r="NO41" s="1663"/>
      <c r="NP41" s="1663"/>
      <c r="NQ41" s="1663"/>
      <c r="NR41" s="1663"/>
      <c r="NS41" s="1663"/>
      <c r="NT41" s="101" t="s">
        <v>793</v>
      </c>
      <c r="NU41" s="83" t="e">
        <f>VLOOKUP(NU$1,'Existing Customers'!$A:$AA,25,FALSE)</f>
        <v>#N/A</v>
      </c>
      <c r="NV41" s="1663"/>
      <c r="NW41" s="1663"/>
      <c r="NX41" s="1663"/>
      <c r="NY41" s="1663"/>
      <c r="NZ41" s="1663"/>
      <c r="OA41" s="1663"/>
      <c r="OB41" s="1663"/>
      <c r="OC41" s="1663"/>
      <c r="OD41" s="1663"/>
      <c r="OE41" s="1663"/>
      <c r="OF41" s="1663"/>
      <c r="OG41" s="1663"/>
      <c r="OH41" s="1663"/>
      <c r="OI41" s="1663"/>
      <c r="OJ41" s="1663"/>
      <c r="OK41" s="1663"/>
      <c r="OL41" s="1663"/>
      <c r="OM41" s="1663"/>
      <c r="ON41" s="1663"/>
      <c r="OO41" s="1663"/>
      <c r="OP41" s="1663"/>
      <c r="OQ41" s="101" t="s">
        <v>793</v>
      </c>
      <c r="OR41" s="83" t="e">
        <f>VLOOKUP(OR$1,'Existing Customers'!$A:$AA,25,FALSE)</f>
        <v>#N/A</v>
      </c>
      <c r="OS41" s="1663"/>
      <c r="OT41" s="1663"/>
      <c r="OU41" s="1663"/>
      <c r="OV41" s="1663"/>
      <c r="OW41" s="1663"/>
      <c r="OX41" s="1663"/>
      <c r="OY41" s="1663"/>
      <c r="OZ41" s="1663"/>
      <c r="PA41" s="1663"/>
      <c r="PB41" s="1663"/>
      <c r="PC41" s="1663"/>
      <c r="PD41" s="1663"/>
      <c r="PE41" s="1663"/>
      <c r="PF41" s="1663"/>
      <c r="PG41" s="1663"/>
      <c r="PH41" s="1663"/>
      <c r="PI41" s="1663"/>
      <c r="PJ41" s="1663"/>
      <c r="PK41" s="1663"/>
      <c r="PL41" s="1663"/>
      <c r="PM41" s="1663"/>
      <c r="PN41" s="101" t="s">
        <v>793</v>
      </c>
      <c r="PO41" s="83" t="e">
        <f>VLOOKUP(PO$1,'Existing Customers'!$A:$AA,25,FALSE)</f>
        <v>#N/A</v>
      </c>
      <c r="PP41" s="1663"/>
      <c r="PQ41" s="1663"/>
      <c r="PR41" s="1663"/>
      <c r="PS41" s="1663"/>
      <c r="PT41" s="1663"/>
      <c r="PU41" s="1663"/>
      <c r="PV41" s="1663"/>
      <c r="PW41" s="1663"/>
      <c r="PX41" s="1663"/>
      <c r="PY41" s="1663"/>
      <c r="PZ41" s="1663"/>
      <c r="QA41" s="1663"/>
      <c r="QB41" s="1663"/>
      <c r="QC41" s="1663"/>
      <c r="QD41" s="1663"/>
      <c r="QE41" s="1663"/>
      <c r="QF41" s="1663"/>
      <c r="QG41" s="1663"/>
      <c r="QH41" s="1663"/>
      <c r="QI41" s="1663"/>
      <c r="QJ41" s="1663"/>
      <c r="QK41" s="101" t="s">
        <v>793</v>
      </c>
      <c r="QL41" s="83" t="e">
        <f>VLOOKUP(QL$1,'Existing Customers'!$A:$AA,25,FALSE)</f>
        <v>#N/A</v>
      </c>
      <c r="QM41" s="1663"/>
      <c r="QN41" s="1663"/>
      <c r="QO41" s="1663"/>
      <c r="QP41" s="1663"/>
      <c r="QQ41" s="1663"/>
      <c r="QR41" s="1663"/>
      <c r="QS41" s="1663"/>
      <c r="QT41" s="1663"/>
      <c r="QU41" s="1663"/>
      <c r="QV41" s="1663"/>
      <c r="QW41" s="1663"/>
      <c r="QX41" s="1663"/>
      <c r="QY41" s="1663"/>
      <c r="QZ41" s="1663"/>
      <c r="RA41" s="1663"/>
      <c r="RB41" s="1663"/>
      <c r="RC41" s="1663"/>
      <c r="RD41" s="1663"/>
      <c r="RE41" s="1663"/>
      <c r="RF41" s="1663"/>
      <c r="RG41" s="1663"/>
      <c r="RH41" s="101" t="s">
        <v>793</v>
      </c>
      <c r="RI41" s="83" t="e">
        <f>VLOOKUP(RI$1,'Existing Customers'!$A:$AA,25,FALSE)</f>
        <v>#N/A</v>
      </c>
      <c r="RJ41" s="1663"/>
      <c r="RK41" s="1663"/>
      <c r="RL41" s="1663"/>
      <c r="RM41" s="1663"/>
      <c r="RN41" s="1663"/>
      <c r="RO41" s="1663"/>
      <c r="RP41" s="1663"/>
      <c r="RQ41" s="1663"/>
      <c r="RR41" s="1663"/>
      <c r="RS41" s="1663"/>
      <c r="RT41" s="1663"/>
      <c r="RU41" s="1663"/>
      <c r="RV41" s="1663"/>
      <c r="RW41" s="1663"/>
      <c r="RX41" s="1663"/>
      <c r="RY41" s="1663"/>
      <c r="RZ41" s="1663"/>
      <c r="SA41" s="1663"/>
      <c r="SB41" s="1663"/>
      <c r="SC41" s="1663"/>
      <c r="SD41" s="1663"/>
      <c r="SE41" s="101" t="s">
        <v>793</v>
      </c>
      <c r="SF41" s="83" t="e">
        <f>VLOOKUP(SF$1,'Existing Customers'!$A:$AA,25,FALSE)</f>
        <v>#N/A</v>
      </c>
      <c r="SG41" s="1663"/>
      <c r="SH41" s="1663"/>
      <c r="SI41" s="1663"/>
      <c r="SJ41" s="1663"/>
      <c r="SK41" s="1663"/>
      <c r="SL41" s="1663"/>
      <c r="SM41" s="1663"/>
      <c r="SN41" s="1663"/>
      <c r="SO41" s="1663"/>
      <c r="SP41" s="1663"/>
      <c r="SQ41" s="1663"/>
      <c r="SR41" s="1663"/>
      <c r="SS41" s="1663"/>
      <c r="ST41" s="1663"/>
      <c r="SU41" s="1663"/>
      <c r="SV41" s="1663"/>
      <c r="SW41" s="1663"/>
      <c r="SX41" s="1663"/>
      <c r="SY41" s="1663"/>
      <c r="SZ41" s="1663"/>
      <c r="TA41" s="1663"/>
      <c r="TB41" s="1663"/>
      <c r="TC41" s="1663"/>
      <c r="TD41" s="1663"/>
      <c r="TE41" s="1663"/>
      <c r="TF41" s="1663"/>
      <c r="TG41" s="1663"/>
      <c r="TH41" s="1663"/>
      <c r="TI41" s="1663"/>
      <c r="TJ41" s="1663"/>
      <c r="TK41" s="1663"/>
      <c r="TL41" s="1663"/>
      <c r="TM41" s="1663"/>
      <c r="TN41" s="1663"/>
      <c r="TO41" s="1663"/>
      <c r="TP41" s="1663"/>
      <c r="TQ41" s="1663"/>
      <c r="TR41" s="1663"/>
    </row>
    <row r="42" spans="1:538" x14ac:dyDescent="0.25">
      <c r="Q42" s="1465"/>
      <c r="R42" s="1479">
        <f t="shared" si="94"/>
        <v>1</v>
      </c>
      <c r="S42" s="1480" t="s">
        <v>112</v>
      </c>
      <c r="T42" s="1481">
        <f>COUNTIF('Variable Costs (Back)'!$C$15:$C$34,S42)</f>
        <v>0</v>
      </c>
      <c r="U42" s="1466"/>
      <c r="V42" s="1466"/>
      <c r="W42" s="1466"/>
      <c r="X42" s="1466"/>
      <c r="Y42" s="1466"/>
      <c r="Z42" s="1479">
        <f t="shared" si="95"/>
        <v>2</v>
      </c>
      <c r="AA42" s="1480"/>
      <c r="AB42" s="1481">
        <f t="shared" si="96"/>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63"/>
      <c r="BH42" s="1663"/>
      <c r="BI42" s="1663"/>
      <c r="BJ42" s="1663" t="s">
        <v>794</v>
      </c>
      <c r="BK42" s="1663" t="e">
        <f>VLOOKUP(BK$1,'Existing Customers'!$A:$AA,26,FALSE)</f>
        <v>#N/A</v>
      </c>
      <c r="BL42" s="1663"/>
      <c r="BM42" s="1663"/>
      <c r="BN42" s="1663"/>
      <c r="BO42" s="1663"/>
      <c r="BP42" s="1663"/>
      <c r="BQ42" s="1663"/>
      <c r="BR42" s="1663"/>
      <c r="BS42" s="1663"/>
      <c r="BT42" s="1663"/>
      <c r="BU42" s="1663"/>
      <c r="BV42" s="1663"/>
      <c r="BW42" s="1663"/>
      <c r="BX42" s="1663"/>
      <c r="BY42" s="1663"/>
      <c r="BZ42" s="1663"/>
      <c r="CA42" s="1663"/>
      <c r="CB42" s="1663"/>
      <c r="CC42" s="1663"/>
      <c r="CD42" s="1663"/>
      <c r="CE42" s="1663"/>
      <c r="CF42" s="1663"/>
      <c r="CG42" s="101" t="s">
        <v>794</v>
      </c>
      <c r="CH42" s="83" t="e">
        <f>VLOOKUP(CH$1,'Existing Customers'!$A:$AA,26,FALSE)</f>
        <v>#N/A</v>
      </c>
      <c r="CI42" s="1663"/>
      <c r="CJ42" s="1663"/>
      <c r="CK42" s="1663"/>
      <c r="CL42" s="1663"/>
      <c r="CM42" s="1663"/>
      <c r="CN42" s="1663"/>
      <c r="CO42" s="1663"/>
      <c r="CP42" s="1663"/>
      <c r="CQ42" s="1663"/>
      <c r="CR42" s="1663"/>
      <c r="CS42" s="1663"/>
      <c r="CT42" s="1663"/>
      <c r="CU42" s="1663"/>
      <c r="CV42" s="1663"/>
      <c r="CW42" s="1663"/>
      <c r="CX42" s="1663"/>
      <c r="CY42" s="1663"/>
      <c r="CZ42" s="1663"/>
      <c r="DA42" s="1663"/>
      <c r="DB42" s="1663"/>
      <c r="DC42" s="1663"/>
      <c r="DD42" s="101" t="s">
        <v>794</v>
      </c>
      <c r="DE42" s="83" t="e">
        <f>VLOOKUP(DE$1,'Existing Customers'!$A:$AA,26,FALSE)</f>
        <v>#N/A</v>
      </c>
      <c r="DF42" s="1663"/>
      <c r="DG42" s="1663"/>
      <c r="DH42" s="1663"/>
      <c r="DI42" s="1663"/>
      <c r="DJ42" s="1663"/>
      <c r="DK42" s="1663"/>
      <c r="DL42" s="1663"/>
      <c r="DM42" s="1663"/>
      <c r="DN42" s="1663"/>
      <c r="DO42" s="1663"/>
      <c r="DP42" s="1663"/>
      <c r="DQ42" s="1663"/>
      <c r="DR42" s="1663"/>
      <c r="DS42" s="1663"/>
      <c r="DT42" s="1663"/>
      <c r="DU42" s="1663"/>
      <c r="DV42" s="1663"/>
      <c r="DW42" s="1663"/>
      <c r="DX42" s="1663"/>
      <c r="DY42" s="1663"/>
      <c r="DZ42" s="1663"/>
      <c r="EA42" s="101" t="s">
        <v>794</v>
      </c>
      <c r="EB42" s="83" t="e">
        <f>VLOOKUP(EB$1,'Existing Customers'!$A:$AA,26,FALSE)</f>
        <v>#N/A</v>
      </c>
      <c r="EC42" s="1663"/>
      <c r="ED42" s="1663"/>
      <c r="EE42" s="1663"/>
      <c r="EF42" s="1663"/>
      <c r="EG42" s="1663"/>
      <c r="EH42" s="1663"/>
      <c r="EI42" s="1663"/>
      <c r="EJ42" s="1663"/>
      <c r="EK42" s="1663"/>
      <c r="EL42" s="1663"/>
      <c r="EM42" s="1663"/>
      <c r="EN42" s="1663"/>
      <c r="EO42" s="1663"/>
      <c r="EP42" s="1663"/>
      <c r="EQ42" s="1663"/>
      <c r="ER42" s="1663"/>
      <c r="ES42" s="1663"/>
      <c r="ET42" s="1663"/>
      <c r="EU42" s="1663"/>
      <c r="EV42" s="1663"/>
      <c r="EW42" s="1663"/>
      <c r="EX42" s="101" t="s">
        <v>794</v>
      </c>
      <c r="EY42" s="83" t="e">
        <f>VLOOKUP(EY$1,'Existing Customers'!$A:$AA,26,FALSE)</f>
        <v>#N/A</v>
      </c>
      <c r="EZ42" s="1663"/>
      <c r="FA42" s="1663"/>
      <c r="FB42" s="1663"/>
      <c r="FC42" s="1663"/>
      <c r="FD42" s="1663"/>
      <c r="FE42" s="1663"/>
      <c r="FF42" s="1663"/>
      <c r="FG42" s="1663"/>
      <c r="FH42" s="1663"/>
      <c r="FI42" s="1663"/>
      <c r="FJ42" s="1663"/>
      <c r="FK42" s="1663"/>
      <c r="FL42" s="1663"/>
      <c r="FM42" s="1663"/>
      <c r="FN42" s="1663"/>
      <c r="FO42" s="1663"/>
      <c r="FP42" s="1663"/>
      <c r="FQ42" s="1663"/>
      <c r="FR42" s="1663"/>
      <c r="FS42" s="1663"/>
      <c r="FT42" s="1663"/>
      <c r="FU42" s="101" t="s">
        <v>794</v>
      </c>
      <c r="FV42" s="83" t="e">
        <f>VLOOKUP(FV$1,'Existing Customers'!$A:$AA,26,FALSE)</f>
        <v>#N/A</v>
      </c>
      <c r="FW42" s="1663"/>
      <c r="FX42" s="1663"/>
      <c r="FY42" s="1663"/>
      <c r="FZ42" s="1663"/>
      <c r="GA42" s="1663"/>
      <c r="GB42" s="1663"/>
      <c r="GC42" s="1663"/>
      <c r="GD42" s="1663"/>
      <c r="GE42" s="1663"/>
      <c r="GF42" s="1663"/>
      <c r="GG42" s="1663"/>
      <c r="GH42" s="1663"/>
      <c r="GI42" s="1663"/>
      <c r="GJ42" s="1663"/>
      <c r="GK42" s="1663"/>
      <c r="GL42" s="1663"/>
      <c r="GM42" s="1663"/>
      <c r="GN42" s="1663"/>
      <c r="GO42" s="1663"/>
      <c r="GP42" s="1663"/>
      <c r="GQ42" s="1663"/>
      <c r="GR42" s="101" t="s">
        <v>794</v>
      </c>
      <c r="GS42" s="83" t="e">
        <f>VLOOKUP(GS$1,'Existing Customers'!$A:$AA,26,FALSE)</f>
        <v>#N/A</v>
      </c>
      <c r="GT42" s="1663"/>
      <c r="GU42" s="1663"/>
      <c r="GV42" s="1663"/>
      <c r="GW42" s="1663"/>
      <c r="GX42" s="1663"/>
      <c r="GY42" s="1663"/>
      <c r="GZ42" s="1663"/>
      <c r="HA42" s="1663"/>
      <c r="HB42" s="1663"/>
      <c r="HC42" s="1663"/>
      <c r="HD42" s="1663"/>
      <c r="HE42" s="1663"/>
      <c r="HF42" s="1663"/>
      <c r="HG42" s="1663"/>
      <c r="HH42" s="1663"/>
      <c r="HI42" s="1663"/>
      <c r="HJ42" s="1663"/>
      <c r="HK42" s="1663"/>
      <c r="HL42" s="1663"/>
      <c r="HM42" s="1663"/>
      <c r="HN42" s="1663"/>
      <c r="HO42" s="101" t="s">
        <v>794</v>
      </c>
      <c r="HP42" s="83" t="e">
        <f>VLOOKUP(HP$1,'Existing Customers'!$A:$AA,26,FALSE)</f>
        <v>#N/A</v>
      </c>
      <c r="HQ42" s="1663"/>
      <c r="HR42" s="1663"/>
      <c r="HS42" s="1663"/>
      <c r="HT42" s="1663"/>
      <c r="HU42" s="1663"/>
      <c r="HV42" s="1663"/>
      <c r="HW42" s="1663"/>
      <c r="HX42" s="1663"/>
      <c r="HY42" s="1663"/>
      <c r="HZ42" s="1663"/>
      <c r="IA42" s="1663"/>
      <c r="IB42" s="1663"/>
      <c r="IC42" s="1663"/>
      <c r="ID42" s="1663"/>
      <c r="IE42" s="1663"/>
      <c r="IF42" s="1663"/>
      <c r="IG42" s="1663"/>
      <c r="IH42" s="1663"/>
      <c r="II42" s="1663"/>
      <c r="IJ42" s="1663"/>
      <c r="IK42" s="1663"/>
      <c r="IL42" s="101" t="s">
        <v>794</v>
      </c>
      <c r="IM42" s="83" t="e">
        <f>VLOOKUP(IM$1,'Existing Customers'!$A:$AA,26,FALSE)</f>
        <v>#N/A</v>
      </c>
      <c r="IN42" s="1663"/>
      <c r="IO42" s="1663"/>
      <c r="IP42" s="1663"/>
      <c r="IQ42" s="1663"/>
      <c r="IR42" s="1663"/>
      <c r="IS42" s="1663"/>
      <c r="IT42" s="1663"/>
      <c r="IU42" s="1663"/>
      <c r="IV42" s="1663"/>
      <c r="IW42" s="1663"/>
      <c r="IX42" s="1663"/>
      <c r="IY42" s="1663"/>
      <c r="IZ42" s="1663"/>
      <c r="JA42" s="1663"/>
      <c r="JB42" s="1663"/>
      <c r="JC42" s="1663"/>
      <c r="JD42" s="1663"/>
      <c r="JE42" s="1663"/>
      <c r="JF42" s="1663"/>
      <c r="JG42" s="1663"/>
      <c r="JH42" s="1663"/>
      <c r="JI42" s="101" t="s">
        <v>794</v>
      </c>
      <c r="JJ42" s="83" t="e">
        <f>VLOOKUP(JJ$1,'Existing Customers'!$A:$AA,26,FALSE)</f>
        <v>#N/A</v>
      </c>
      <c r="JK42" s="1663"/>
      <c r="JL42" s="1663"/>
      <c r="JM42" s="1663"/>
      <c r="JN42" s="1663"/>
      <c r="JO42" s="1663"/>
      <c r="JP42" s="1663"/>
      <c r="JQ42" s="1663"/>
      <c r="JR42" s="1663"/>
      <c r="JS42" s="1663"/>
      <c r="JT42" s="1663"/>
      <c r="JU42" s="1663"/>
      <c r="JV42" s="1663"/>
      <c r="JW42" s="1663"/>
      <c r="JX42" s="1663"/>
      <c r="JY42" s="1663"/>
      <c r="JZ42" s="1663"/>
      <c r="KA42" s="1663"/>
      <c r="KB42" s="1663"/>
      <c r="KC42" s="1663"/>
      <c r="KD42" s="1663"/>
      <c r="KE42" s="1663"/>
      <c r="KF42" s="101" t="s">
        <v>794</v>
      </c>
      <c r="KG42" s="83" t="e">
        <f>VLOOKUP(KG$1,'Existing Customers'!$A:$AA,26,FALSE)</f>
        <v>#N/A</v>
      </c>
      <c r="KH42" s="1663"/>
      <c r="KI42" s="1663"/>
      <c r="KJ42" s="1663"/>
      <c r="KK42" s="1663"/>
      <c r="KL42" s="1663"/>
      <c r="KM42" s="1663"/>
      <c r="KN42" s="1663"/>
      <c r="KO42" s="1663"/>
      <c r="KP42" s="1663"/>
      <c r="KQ42" s="1663"/>
      <c r="KR42" s="1663"/>
      <c r="KS42" s="1663"/>
      <c r="KT42" s="1663"/>
      <c r="KU42" s="1663"/>
      <c r="KV42" s="1663"/>
      <c r="KW42" s="1663"/>
      <c r="KX42" s="1663"/>
      <c r="KY42" s="1663"/>
      <c r="KZ42" s="1663"/>
      <c r="LA42" s="1663"/>
      <c r="LB42" s="1663"/>
      <c r="LC42" s="101" t="s">
        <v>794</v>
      </c>
      <c r="LD42" s="83" t="e">
        <f>VLOOKUP(LD$1,'Existing Customers'!$A:$AA,26,FALSE)</f>
        <v>#N/A</v>
      </c>
      <c r="LE42" s="1663"/>
      <c r="LF42" s="1663"/>
      <c r="LG42" s="1663"/>
      <c r="LH42" s="1663"/>
      <c r="LI42" s="1663"/>
      <c r="LJ42" s="1663"/>
      <c r="LK42" s="1663"/>
      <c r="LL42" s="1663"/>
      <c r="LM42" s="1663"/>
      <c r="LN42" s="1663"/>
      <c r="LO42" s="1663"/>
      <c r="LP42" s="1663"/>
      <c r="LQ42" s="1663"/>
      <c r="LR42" s="1663"/>
      <c r="LS42" s="1663"/>
      <c r="LT42" s="1663"/>
      <c r="LU42" s="1663"/>
      <c r="LV42" s="1663"/>
      <c r="LW42" s="1663"/>
      <c r="LX42" s="1663"/>
      <c r="LY42" s="1663"/>
      <c r="LZ42" s="101" t="s">
        <v>794</v>
      </c>
      <c r="MA42" s="83" t="e">
        <f>VLOOKUP(MA$1,'Existing Customers'!$A:$AA,26,FALSE)</f>
        <v>#N/A</v>
      </c>
      <c r="MB42" s="1663"/>
      <c r="MC42" s="1663"/>
      <c r="MD42" s="1663"/>
      <c r="ME42" s="1663"/>
      <c r="MF42" s="1663"/>
      <c r="MG42" s="1663"/>
      <c r="MH42" s="1663"/>
      <c r="MI42" s="1663"/>
      <c r="MJ42" s="1663"/>
      <c r="MK42" s="1663"/>
      <c r="ML42" s="1663"/>
      <c r="MM42" s="1663"/>
      <c r="MN42" s="1663"/>
      <c r="MO42" s="1663"/>
      <c r="MP42" s="1663"/>
      <c r="MQ42" s="1663"/>
      <c r="MR42" s="1663"/>
      <c r="MS42" s="1663"/>
      <c r="MT42" s="1663"/>
      <c r="MU42" s="1663"/>
      <c r="MV42" s="1663"/>
      <c r="MW42" s="101" t="s">
        <v>794</v>
      </c>
      <c r="MX42" s="83" t="e">
        <f>VLOOKUP(MX$1,'Existing Customers'!$A:$AA,26,FALSE)</f>
        <v>#N/A</v>
      </c>
      <c r="MY42" s="1663"/>
      <c r="MZ42" s="1663"/>
      <c r="NA42" s="1663"/>
      <c r="NB42" s="1663"/>
      <c r="NC42" s="1663"/>
      <c r="ND42" s="1663"/>
      <c r="NE42" s="1663"/>
      <c r="NF42" s="1663"/>
      <c r="NG42" s="1663"/>
      <c r="NH42" s="1663"/>
      <c r="NI42" s="1663"/>
      <c r="NJ42" s="1663"/>
      <c r="NK42" s="1663"/>
      <c r="NL42" s="1663"/>
      <c r="NM42" s="1663"/>
      <c r="NN42" s="1663"/>
      <c r="NO42" s="1663"/>
      <c r="NP42" s="1663"/>
      <c r="NQ42" s="1663"/>
      <c r="NR42" s="1663"/>
      <c r="NS42" s="1663"/>
      <c r="NT42" s="101" t="s">
        <v>794</v>
      </c>
      <c r="NU42" s="83" t="e">
        <f>VLOOKUP(NU$1,'Existing Customers'!$A:$AA,26,FALSE)</f>
        <v>#N/A</v>
      </c>
      <c r="NV42" s="1663"/>
      <c r="NW42" s="1663"/>
      <c r="NX42" s="1663"/>
      <c r="NY42" s="1663"/>
      <c r="NZ42" s="1663"/>
      <c r="OA42" s="1663"/>
      <c r="OB42" s="1663"/>
      <c r="OC42" s="1663"/>
      <c r="OD42" s="1663"/>
      <c r="OE42" s="1663"/>
      <c r="OF42" s="1663"/>
      <c r="OG42" s="1663"/>
      <c r="OH42" s="1663"/>
      <c r="OI42" s="1663"/>
      <c r="OJ42" s="1663"/>
      <c r="OK42" s="1663"/>
      <c r="OL42" s="1663"/>
      <c r="OM42" s="1663"/>
      <c r="ON42" s="1663"/>
      <c r="OO42" s="1663"/>
      <c r="OP42" s="1663"/>
      <c r="OQ42" s="101" t="s">
        <v>794</v>
      </c>
      <c r="OR42" s="83" t="e">
        <f>VLOOKUP(OR$1,'Existing Customers'!$A:$AA,26,FALSE)</f>
        <v>#N/A</v>
      </c>
      <c r="OS42" s="1663"/>
      <c r="OT42" s="1663"/>
      <c r="OU42" s="1663"/>
      <c r="OV42" s="1663"/>
      <c r="OW42" s="1663"/>
      <c r="OX42" s="1663"/>
      <c r="OY42" s="1663"/>
      <c r="OZ42" s="1663"/>
      <c r="PA42" s="1663"/>
      <c r="PB42" s="1663"/>
      <c r="PC42" s="1663"/>
      <c r="PD42" s="1663"/>
      <c r="PE42" s="1663"/>
      <c r="PF42" s="1663"/>
      <c r="PG42" s="1663"/>
      <c r="PH42" s="1663"/>
      <c r="PI42" s="1663"/>
      <c r="PJ42" s="1663"/>
      <c r="PK42" s="1663"/>
      <c r="PL42" s="1663"/>
      <c r="PM42" s="1663"/>
      <c r="PN42" s="101" t="s">
        <v>794</v>
      </c>
      <c r="PO42" s="83" t="e">
        <f>VLOOKUP(PO$1,'Existing Customers'!$A:$AA,26,FALSE)</f>
        <v>#N/A</v>
      </c>
      <c r="PP42" s="1663"/>
      <c r="PQ42" s="1663"/>
      <c r="PR42" s="1663"/>
      <c r="PS42" s="1663"/>
      <c r="PT42" s="1663"/>
      <c r="PU42" s="1663"/>
      <c r="PV42" s="1663"/>
      <c r="PW42" s="1663"/>
      <c r="PX42" s="1663"/>
      <c r="PY42" s="1663"/>
      <c r="PZ42" s="1663"/>
      <c r="QA42" s="1663"/>
      <c r="QB42" s="1663"/>
      <c r="QC42" s="1663"/>
      <c r="QD42" s="1663"/>
      <c r="QE42" s="1663"/>
      <c r="QF42" s="1663"/>
      <c r="QG42" s="1663"/>
      <c r="QH42" s="1663"/>
      <c r="QI42" s="1663"/>
      <c r="QJ42" s="1663"/>
      <c r="QK42" s="101" t="s">
        <v>794</v>
      </c>
      <c r="QL42" s="83" t="e">
        <f>VLOOKUP(QL$1,'Existing Customers'!$A:$AA,26,FALSE)</f>
        <v>#N/A</v>
      </c>
      <c r="QM42" s="1663"/>
      <c r="QN42" s="1663"/>
      <c r="QO42" s="1663"/>
      <c r="QP42" s="1663"/>
      <c r="QQ42" s="1663"/>
      <c r="QR42" s="1663"/>
      <c r="QS42" s="1663"/>
      <c r="QT42" s="1663"/>
      <c r="QU42" s="1663"/>
      <c r="QV42" s="1663"/>
      <c r="QW42" s="1663"/>
      <c r="QX42" s="1663"/>
      <c r="QY42" s="1663"/>
      <c r="QZ42" s="1663"/>
      <c r="RA42" s="1663"/>
      <c r="RB42" s="1663"/>
      <c r="RC42" s="1663"/>
      <c r="RD42" s="1663"/>
      <c r="RE42" s="1663"/>
      <c r="RF42" s="1663"/>
      <c r="RG42" s="1663"/>
      <c r="RH42" s="101" t="s">
        <v>794</v>
      </c>
      <c r="RI42" s="83" t="e">
        <f>VLOOKUP(RI$1,'Existing Customers'!$A:$AA,26,FALSE)</f>
        <v>#N/A</v>
      </c>
      <c r="RJ42" s="1663"/>
      <c r="RK42" s="1663"/>
      <c r="RL42" s="1663"/>
      <c r="RM42" s="1663"/>
      <c r="RN42" s="1663"/>
      <c r="RO42" s="1663"/>
      <c r="RP42" s="1663"/>
      <c r="RQ42" s="1663"/>
      <c r="RR42" s="1663"/>
      <c r="RS42" s="1663"/>
      <c r="RT42" s="1663"/>
      <c r="RU42" s="1663"/>
      <c r="RV42" s="1663"/>
      <c r="RW42" s="1663"/>
      <c r="RX42" s="1663"/>
      <c r="RY42" s="1663"/>
      <c r="RZ42" s="1663"/>
      <c r="SA42" s="1663"/>
      <c r="SB42" s="1663"/>
      <c r="SC42" s="1663"/>
      <c r="SD42" s="1663"/>
      <c r="SE42" s="101" t="s">
        <v>794</v>
      </c>
      <c r="SF42" s="83" t="e">
        <f>VLOOKUP(SF$1,'Existing Customers'!$A:$AA,26,FALSE)</f>
        <v>#N/A</v>
      </c>
      <c r="SG42" s="1663"/>
      <c r="SH42" s="1663"/>
      <c r="SI42" s="1663"/>
      <c r="SJ42" s="1663"/>
      <c r="SK42" s="1663"/>
      <c r="SL42" s="1663"/>
      <c r="SM42" s="1663"/>
      <c r="SN42" s="1663"/>
      <c r="SO42" s="1663"/>
      <c r="SP42" s="1663"/>
      <c r="SQ42" s="1663"/>
      <c r="SR42" s="1663"/>
      <c r="SS42" s="1663"/>
      <c r="ST42" s="1663"/>
      <c r="SU42" s="1663"/>
      <c r="SV42" s="1663"/>
      <c r="SW42" s="1663"/>
      <c r="SX42" s="1663"/>
      <c r="SY42" s="1663"/>
      <c r="SZ42" s="1663"/>
      <c r="TA42" s="1663"/>
      <c r="TB42" s="1663"/>
      <c r="TC42" s="1663"/>
      <c r="TD42" s="1663"/>
      <c r="TE42" s="1663"/>
      <c r="TF42" s="1663"/>
      <c r="TG42" s="1663"/>
      <c r="TH42" s="1663"/>
      <c r="TI42" s="1663"/>
      <c r="TJ42" s="1663"/>
      <c r="TK42" s="1663"/>
      <c r="TL42" s="1663"/>
      <c r="TM42" s="1663"/>
      <c r="TN42" s="1663"/>
      <c r="TO42" s="1663"/>
      <c r="TP42" s="1663"/>
      <c r="TQ42" s="1663"/>
      <c r="TR42" s="1663"/>
    </row>
    <row r="43" spans="1:538" x14ac:dyDescent="0.25">
      <c r="Q43" s="1465"/>
      <c r="R43" s="1479">
        <f t="shared" si="94"/>
        <v>1</v>
      </c>
      <c r="S43" s="1480" t="s">
        <v>113</v>
      </c>
      <c r="T43" s="1481">
        <f>COUNTIF('Variable Costs (Back)'!$C$15:$C$34,S43)</f>
        <v>0</v>
      </c>
      <c r="U43" s="1466"/>
      <c r="V43" s="1466"/>
      <c r="W43" s="1466"/>
      <c r="X43" s="1466"/>
      <c r="Y43" s="1466"/>
      <c r="Z43" s="1479">
        <f t="shared" si="95"/>
        <v>2</v>
      </c>
      <c r="AA43" s="1480"/>
      <c r="AB43" s="1481">
        <f t="shared" si="96"/>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63"/>
      <c r="BH43" s="1663"/>
      <c r="BI43" s="1663"/>
      <c r="BJ43" s="1663" t="s">
        <v>795</v>
      </c>
      <c r="BK43" s="1663" t="e">
        <f>VLOOKUP(BK$1,'Existing Customers'!$A:$AA,23,FALSE)</f>
        <v>#N/A</v>
      </c>
      <c r="BL43" s="1663"/>
      <c r="BM43" s="1663"/>
      <c r="BN43" s="1663"/>
      <c r="BO43" s="1663"/>
      <c r="BP43" s="1663"/>
      <c r="BQ43" s="1663"/>
      <c r="BR43" s="1663"/>
      <c r="BS43" s="1663"/>
      <c r="BT43" s="1663"/>
      <c r="BU43" s="1663"/>
      <c r="BV43" s="1663"/>
      <c r="BW43" s="1663"/>
      <c r="BX43" s="1663"/>
      <c r="BY43" s="1663"/>
      <c r="BZ43" s="1663"/>
      <c r="CA43" s="1663"/>
      <c r="CB43" s="1663"/>
      <c r="CC43" s="1663"/>
      <c r="CD43" s="1663"/>
      <c r="CE43" s="1663"/>
      <c r="CF43" s="1663"/>
      <c r="CG43" s="101" t="s">
        <v>795</v>
      </c>
      <c r="CH43" s="83" t="e">
        <f>VLOOKUP(CH$1,'Existing Customers'!$A:$AA,23,FALSE)</f>
        <v>#N/A</v>
      </c>
      <c r="CI43" s="1663"/>
      <c r="CJ43" s="1663"/>
      <c r="CK43" s="1663"/>
      <c r="CL43" s="1663"/>
      <c r="CM43" s="1663"/>
      <c r="CN43" s="1663"/>
      <c r="CO43" s="1663"/>
      <c r="CP43" s="1663"/>
      <c r="CQ43" s="1663"/>
      <c r="CR43" s="1663"/>
      <c r="CS43" s="1663"/>
      <c r="CT43" s="1663"/>
      <c r="CU43" s="1663"/>
      <c r="CV43" s="1663"/>
      <c r="CW43" s="1663"/>
      <c r="CX43" s="1663"/>
      <c r="CY43" s="1663"/>
      <c r="CZ43" s="1663"/>
      <c r="DA43" s="1663"/>
      <c r="DB43" s="1663"/>
      <c r="DC43" s="1663"/>
      <c r="DD43" s="101" t="s">
        <v>795</v>
      </c>
      <c r="DE43" s="83" t="e">
        <f>VLOOKUP(DE$1,'Existing Customers'!$A:$AA,23,FALSE)</f>
        <v>#N/A</v>
      </c>
      <c r="DF43" s="1663"/>
      <c r="DG43" s="1663"/>
      <c r="DH43" s="1663"/>
      <c r="DI43" s="1663"/>
      <c r="DJ43" s="1663"/>
      <c r="DK43" s="1663"/>
      <c r="DL43" s="1663"/>
      <c r="DM43" s="1663"/>
      <c r="DN43" s="1663"/>
      <c r="DO43" s="1663"/>
      <c r="DP43" s="1663"/>
      <c r="DQ43" s="1663"/>
      <c r="DR43" s="1663"/>
      <c r="DS43" s="1663"/>
      <c r="DT43" s="1663"/>
      <c r="DU43" s="1663"/>
      <c r="DV43" s="1663"/>
      <c r="DW43" s="1663"/>
      <c r="DX43" s="1663"/>
      <c r="DY43" s="1663"/>
      <c r="DZ43" s="1663"/>
      <c r="EA43" s="101" t="s">
        <v>795</v>
      </c>
      <c r="EB43" s="83" t="e">
        <f>VLOOKUP(EB$1,'Existing Customers'!$A:$AA,23,FALSE)</f>
        <v>#N/A</v>
      </c>
      <c r="EC43" s="1663"/>
      <c r="ED43" s="1663"/>
      <c r="EE43" s="1663"/>
      <c r="EF43" s="1663"/>
      <c r="EG43" s="1663"/>
      <c r="EH43" s="1663"/>
      <c r="EI43" s="1663"/>
      <c r="EJ43" s="1663"/>
      <c r="EK43" s="1663"/>
      <c r="EL43" s="1663"/>
      <c r="EM43" s="1663"/>
      <c r="EN43" s="1663"/>
      <c r="EO43" s="1663"/>
      <c r="EP43" s="1663"/>
      <c r="EQ43" s="1663"/>
      <c r="ER43" s="1663"/>
      <c r="ES43" s="1663"/>
      <c r="ET43" s="1663"/>
      <c r="EU43" s="1663"/>
      <c r="EV43" s="1663"/>
      <c r="EW43" s="1663"/>
      <c r="EX43" s="101" t="s">
        <v>795</v>
      </c>
      <c r="EY43" s="83" t="e">
        <f>VLOOKUP(EY$1,'Existing Customers'!$A:$AA,23,FALSE)</f>
        <v>#N/A</v>
      </c>
      <c r="EZ43" s="1663"/>
      <c r="FA43" s="1663"/>
      <c r="FB43" s="1663"/>
      <c r="FC43" s="1663"/>
      <c r="FD43" s="1663"/>
      <c r="FE43" s="1663"/>
      <c r="FF43" s="1663"/>
      <c r="FG43" s="1663"/>
      <c r="FH43" s="1663"/>
      <c r="FI43" s="1663"/>
      <c r="FJ43" s="1663"/>
      <c r="FK43" s="1663"/>
      <c r="FL43" s="1663"/>
      <c r="FM43" s="1663"/>
      <c r="FN43" s="1663"/>
      <c r="FO43" s="1663"/>
      <c r="FP43" s="1663"/>
      <c r="FQ43" s="1663"/>
      <c r="FR43" s="1663"/>
      <c r="FS43" s="1663"/>
      <c r="FT43" s="1663"/>
      <c r="FU43" s="101" t="s">
        <v>795</v>
      </c>
      <c r="FV43" s="83" t="e">
        <f>VLOOKUP(FV$1,'Existing Customers'!$A:$AA,23,FALSE)</f>
        <v>#N/A</v>
      </c>
      <c r="FW43" s="1663"/>
      <c r="FX43" s="1663"/>
      <c r="FY43" s="1663"/>
      <c r="FZ43" s="1663"/>
      <c r="GA43" s="1663"/>
      <c r="GB43" s="1663"/>
      <c r="GC43" s="1663"/>
      <c r="GD43" s="1663"/>
      <c r="GE43" s="1663"/>
      <c r="GF43" s="1663"/>
      <c r="GG43" s="1663"/>
      <c r="GH43" s="1663"/>
      <c r="GI43" s="1663"/>
      <c r="GJ43" s="1663"/>
      <c r="GK43" s="1663"/>
      <c r="GL43" s="1663"/>
      <c r="GM43" s="1663"/>
      <c r="GN43" s="1663"/>
      <c r="GO43" s="1663"/>
      <c r="GP43" s="1663"/>
      <c r="GQ43" s="1663"/>
      <c r="GR43" s="101" t="s">
        <v>795</v>
      </c>
      <c r="GS43" s="83" t="e">
        <f>VLOOKUP(GS$1,'Existing Customers'!$A:$AA,23,FALSE)</f>
        <v>#N/A</v>
      </c>
      <c r="GT43" s="1663"/>
      <c r="GU43" s="1663"/>
      <c r="GV43" s="1663"/>
      <c r="GW43" s="1663"/>
      <c r="GX43" s="1663"/>
      <c r="GY43" s="1663"/>
      <c r="GZ43" s="1663"/>
      <c r="HA43" s="1663"/>
      <c r="HB43" s="1663"/>
      <c r="HC43" s="1663"/>
      <c r="HD43" s="1663"/>
      <c r="HE43" s="1663"/>
      <c r="HF43" s="1663"/>
      <c r="HG43" s="1663"/>
      <c r="HH43" s="1663"/>
      <c r="HI43" s="1663"/>
      <c r="HJ43" s="1663"/>
      <c r="HK43" s="1663"/>
      <c r="HL43" s="1663"/>
      <c r="HM43" s="1663"/>
      <c r="HN43" s="1663"/>
      <c r="HO43" s="101" t="s">
        <v>795</v>
      </c>
      <c r="HP43" s="83" t="e">
        <f>VLOOKUP(HP$1,'Existing Customers'!$A:$AA,23,FALSE)</f>
        <v>#N/A</v>
      </c>
      <c r="HQ43" s="1663"/>
      <c r="HR43" s="1663"/>
      <c r="HS43" s="1663"/>
      <c r="HT43" s="1663"/>
      <c r="HU43" s="1663"/>
      <c r="HV43" s="1663"/>
      <c r="HW43" s="1663"/>
      <c r="HX43" s="1663"/>
      <c r="HY43" s="1663"/>
      <c r="HZ43" s="1663"/>
      <c r="IA43" s="1663"/>
      <c r="IB43" s="1663"/>
      <c r="IC43" s="1663"/>
      <c r="ID43" s="1663"/>
      <c r="IE43" s="1663"/>
      <c r="IF43" s="1663"/>
      <c r="IG43" s="1663"/>
      <c r="IH43" s="1663"/>
      <c r="II43" s="1663"/>
      <c r="IJ43" s="1663"/>
      <c r="IK43" s="1663"/>
      <c r="IL43" s="101" t="s">
        <v>795</v>
      </c>
      <c r="IM43" s="83" t="e">
        <f>VLOOKUP(IM$1,'Existing Customers'!$A:$AA,23,FALSE)</f>
        <v>#N/A</v>
      </c>
      <c r="IN43" s="1663"/>
      <c r="IO43" s="1663"/>
      <c r="IP43" s="1663"/>
      <c r="IQ43" s="1663"/>
      <c r="IR43" s="1663"/>
      <c r="IS43" s="1663"/>
      <c r="IT43" s="1663"/>
      <c r="IU43" s="1663"/>
      <c r="IV43" s="1663"/>
      <c r="IW43" s="1663"/>
      <c r="IX43" s="1663"/>
      <c r="IY43" s="1663"/>
      <c r="IZ43" s="1663"/>
      <c r="JA43" s="1663"/>
      <c r="JB43" s="1663"/>
      <c r="JC43" s="1663"/>
      <c r="JD43" s="1663"/>
      <c r="JE43" s="1663"/>
      <c r="JF43" s="1663"/>
      <c r="JG43" s="1663"/>
      <c r="JH43" s="1663"/>
      <c r="JI43" s="101" t="s">
        <v>795</v>
      </c>
      <c r="JJ43" s="83" t="e">
        <f>VLOOKUP(JJ$1,'Existing Customers'!$A:$AA,23,FALSE)</f>
        <v>#N/A</v>
      </c>
      <c r="JK43" s="1663"/>
      <c r="JL43" s="1663"/>
      <c r="JM43" s="1663"/>
      <c r="JN43" s="1663"/>
      <c r="JO43" s="1663"/>
      <c r="JP43" s="1663"/>
      <c r="JQ43" s="1663"/>
      <c r="JR43" s="1663"/>
      <c r="JS43" s="1663"/>
      <c r="JT43" s="1663"/>
      <c r="JU43" s="1663"/>
      <c r="JV43" s="1663"/>
      <c r="JW43" s="1663"/>
      <c r="JX43" s="1663"/>
      <c r="JY43" s="1663"/>
      <c r="JZ43" s="1663"/>
      <c r="KA43" s="1663"/>
      <c r="KB43" s="1663"/>
      <c r="KC43" s="1663"/>
      <c r="KD43" s="1663"/>
      <c r="KE43" s="1663"/>
      <c r="KF43" s="101" t="s">
        <v>795</v>
      </c>
      <c r="KG43" s="83" t="e">
        <f>VLOOKUP(KG$1,'Existing Customers'!$A:$AA,23,FALSE)</f>
        <v>#N/A</v>
      </c>
      <c r="KH43" s="1663"/>
      <c r="KI43" s="1663"/>
      <c r="KJ43" s="1663"/>
      <c r="KK43" s="1663"/>
      <c r="KL43" s="1663"/>
      <c r="KM43" s="1663"/>
      <c r="KN43" s="1663"/>
      <c r="KO43" s="1663"/>
      <c r="KP43" s="1663"/>
      <c r="KQ43" s="1663"/>
      <c r="KR43" s="1663"/>
      <c r="KS43" s="1663"/>
      <c r="KT43" s="1663"/>
      <c r="KU43" s="1663"/>
      <c r="KV43" s="1663"/>
      <c r="KW43" s="1663"/>
      <c r="KX43" s="1663"/>
      <c r="KY43" s="1663"/>
      <c r="KZ43" s="1663"/>
      <c r="LA43" s="1663"/>
      <c r="LB43" s="1663"/>
      <c r="LC43" s="101" t="s">
        <v>795</v>
      </c>
      <c r="LD43" s="83" t="e">
        <f>VLOOKUP(LD$1,'Existing Customers'!$A:$AA,23,FALSE)</f>
        <v>#N/A</v>
      </c>
      <c r="LE43" s="1663"/>
      <c r="LF43" s="1663"/>
      <c r="LG43" s="1663"/>
      <c r="LH43" s="1663"/>
      <c r="LI43" s="1663"/>
      <c r="LJ43" s="1663"/>
      <c r="LK43" s="1663"/>
      <c r="LL43" s="1663"/>
      <c r="LM43" s="1663"/>
      <c r="LN43" s="1663"/>
      <c r="LO43" s="1663"/>
      <c r="LP43" s="1663"/>
      <c r="LQ43" s="1663"/>
      <c r="LR43" s="1663"/>
      <c r="LS43" s="1663"/>
      <c r="LT43" s="1663"/>
      <c r="LU43" s="1663"/>
      <c r="LV43" s="1663"/>
      <c r="LW43" s="1663"/>
      <c r="LX43" s="1663"/>
      <c r="LY43" s="1663"/>
      <c r="LZ43" s="101" t="s">
        <v>795</v>
      </c>
      <c r="MA43" s="83" t="e">
        <f>VLOOKUP(MA$1,'Existing Customers'!$A:$AA,23,FALSE)</f>
        <v>#N/A</v>
      </c>
      <c r="MB43" s="1663"/>
      <c r="MC43" s="1663"/>
      <c r="MD43" s="1663"/>
      <c r="ME43" s="1663"/>
      <c r="MF43" s="1663"/>
      <c r="MG43" s="1663"/>
      <c r="MH43" s="1663"/>
      <c r="MI43" s="1663"/>
      <c r="MJ43" s="1663"/>
      <c r="MK43" s="1663"/>
      <c r="ML43" s="1663"/>
      <c r="MM43" s="1663"/>
      <c r="MN43" s="1663"/>
      <c r="MO43" s="1663"/>
      <c r="MP43" s="1663"/>
      <c r="MQ43" s="1663"/>
      <c r="MR43" s="1663"/>
      <c r="MS43" s="1663"/>
      <c r="MT43" s="1663"/>
      <c r="MU43" s="1663"/>
      <c r="MV43" s="1663"/>
      <c r="MW43" s="101" t="s">
        <v>795</v>
      </c>
      <c r="MX43" s="83" t="e">
        <f>VLOOKUP(MX$1,'Existing Customers'!$A:$AA,23,FALSE)</f>
        <v>#N/A</v>
      </c>
      <c r="MY43" s="1663"/>
      <c r="MZ43" s="1663"/>
      <c r="NA43" s="1663"/>
      <c r="NB43" s="1663"/>
      <c r="NC43" s="1663"/>
      <c r="ND43" s="1663"/>
      <c r="NE43" s="1663"/>
      <c r="NF43" s="1663"/>
      <c r="NG43" s="1663"/>
      <c r="NH43" s="1663"/>
      <c r="NI43" s="1663"/>
      <c r="NJ43" s="1663"/>
      <c r="NK43" s="1663"/>
      <c r="NL43" s="1663"/>
      <c r="NM43" s="1663"/>
      <c r="NN43" s="1663"/>
      <c r="NO43" s="1663"/>
      <c r="NP43" s="1663"/>
      <c r="NQ43" s="1663"/>
      <c r="NR43" s="1663"/>
      <c r="NS43" s="1663"/>
      <c r="NT43" s="101" t="s">
        <v>795</v>
      </c>
      <c r="NU43" s="83" t="e">
        <f>VLOOKUP(NU$1,'Existing Customers'!$A:$AA,23,FALSE)</f>
        <v>#N/A</v>
      </c>
      <c r="NV43" s="1663"/>
      <c r="NW43" s="1663"/>
      <c r="NX43" s="1663"/>
      <c r="NY43" s="1663"/>
      <c r="NZ43" s="1663"/>
      <c r="OA43" s="1663"/>
      <c r="OB43" s="1663"/>
      <c r="OC43" s="1663"/>
      <c r="OD43" s="1663"/>
      <c r="OE43" s="1663"/>
      <c r="OF43" s="1663"/>
      <c r="OG43" s="1663"/>
      <c r="OH43" s="1663"/>
      <c r="OI43" s="1663"/>
      <c r="OJ43" s="1663"/>
      <c r="OK43" s="1663"/>
      <c r="OL43" s="1663"/>
      <c r="OM43" s="1663"/>
      <c r="ON43" s="1663"/>
      <c r="OO43" s="1663"/>
      <c r="OP43" s="1663"/>
      <c r="OQ43" s="101" t="s">
        <v>795</v>
      </c>
      <c r="OR43" s="83" t="e">
        <f>VLOOKUP(OR$1,'Existing Customers'!$A:$AA,23,FALSE)</f>
        <v>#N/A</v>
      </c>
      <c r="OS43" s="1663"/>
      <c r="OT43" s="1663"/>
      <c r="OU43" s="1663"/>
      <c r="OV43" s="1663"/>
      <c r="OW43" s="1663"/>
      <c r="OX43" s="1663"/>
      <c r="OY43" s="1663"/>
      <c r="OZ43" s="1663"/>
      <c r="PA43" s="1663"/>
      <c r="PB43" s="1663"/>
      <c r="PC43" s="1663"/>
      <c r="PD43" s="1663"/>
      <c r="PE43" s="1663"/>
      <c r="PF43" s="1663"/>
      <c r="PG43" s="1663"/>
      <c r="PH43" s="1663"/>
      <c r="PI43" s="1663"/>
      <c r="PJ43" s="1663"/>
      <c r="PK43" s="1663"/>
      <c r="PL43" s="1663"/>
      <c r="PM43" s="1663"/>
      <c r="PN43" s="101" t="s">
        <v>795</v>
      </c>
      <c r="PO43" s="83" t="e">
        <f>VLOOKUP(PO$1,'Existing Customers'!$A:$AA,23,FALSE)</f>
        <v>#N/A</v>
      </c>
      <c r="PP43" s="1663"/>
      <c r="PQ43" s="1663"/>
      <c r="PR43" s="1663"/>
      <c r="PS43" s="1663"/>
      <c r="PT43" s="1663"/>
      <c r="PU43" s="1663"/>
      <c r="PV43" s="1663"/>
      <c r="PW43" s="1663"/>
      <c r="PX43" s="1663"/>
      <c r="PY43" s="1663"/>
      <c r="PZ43" s="1663"/>
      <c r="QA43" s="1663"/>
      <c r="QB43" s="1663"/>
      <c r="QC43" s="1663"/>
      <c r="QD43" s="1663"/>
      <c r="QE43" s="1663"/>
      <c r="QF43" s="1663"/>
      <c r="QG43" s="1663"/>
      <c r="QH43" s="1663"/>
      <c r="QI43" s="1663"/>
      <c r="QJ43" s="1663"/>
      <c r="QK43" s="101" t="s">
        <v>795</v>
      </c>
      <c r="QL43" s="83" t="e">
        <f>VLOOKUP(QL$1,'Existing Customers'!$A:$AA,23,FALSE)</f>
        <v>#N/A</v>
      </c>
      <c r="QM43" s="1663"/>
      <c r="QN43" s="1663"/>
      <c r="QO43" s="1663"/>
      <c r="QP43" s="1663"/>
      <c r="QQ43" s="1663"/>
      <c r="QR43" s="1663"/>
      <c r="QS43" s="1663"/>
      <c r="QT43" s="1663"/>
      <c r="QU43" s="1663"/>
      <c r="QV43" s="1663"/>
      <c r="QW43" s="1663"/>
      <c r="QX43" s="1663"/>
      <c r="QY43" s="1663"/>
      <c r="QZ43" s="1663"/>
      <c r="RA43" s="1663"/>
      <c r="RB43" s="1663"/>
      <c r="RC43" s="1663"/>
      <c r="RD43" s="1663"/>
      <c r="RE43" s="1663"/>
      <c r="RF43" s="1663"/>
      <c r="RG43" s="1663"/>
      <c r="RH43" s="101" t="s">
        <v>795</v>
      </c>
      <c r="RI43" s="83" t="e">
        <f>VLOOKUP(RI$1,'Existing Customers'!$A:$AA,23,FALSE)</f>
        <v>#N/A</v>
      </c>
      <c r="RJ43" s="1663"/>
      <c r="RK43" s="1663"/>
      <c r="RL43" s="1663"/>
      <c r="RM43" s="1663"/>
      <c r="RN43" s="1663"/>
      <c r="RO43" s="1663"/>
      <c r="RP43" s="1663"/>
      <c r="RQ43" s="1663"/>
      <c r="RR43" s="1663"/>
      <c r="RS43" s="1663"/>
      <c r="RT43" s="1663"/>
      <c r="RU43" s="1663"/>
      <c r="RV43" s="1663"/>
      <c r="RW43" s="1663"/>
      <c r="RX43" s="1663"/>
      <c r="RY43" s="1663"/>
      <c r="RZ43" s="1663"/>
      <c r="SA43" s="1663"/>
      <c r="SB43" s="1663"/>
      <c r="SC43" s="1663"/>
      <c r="SD43" s="1663"/>
      <c r="SE43" s="101" t="s">
        <v>795</v>
      </c>
      <c r="SF43" s="83" t="e">
        <f>VLOOKUP(SF$1,'Existing Customers'!$A:$AA,23,FALSE)</f>
        <v>#N/A</v>
      </c>
      <c r="SG43" s="1663"/>
      <c r="SH43" s="1663"/>
      <c r="SI43" s="1663"/>
      <c r="SJ43" s="1663"/>
      <c r="SK43" s="1663"/>
      <c r="SL43" s="1663"/>
      <c r="SM43" s="1663"/>
      <c r="SN43" s="1663"/>
      <c r="SO43" s="1663"/>
      <c r="SP43" s="1663"/>
      <c r="SQ43" s="1663"/>
      <c r="SR43" s="1663"/>
      <c r="SS43" s="1663"/>
      <c r="ST43" s="1663"/>
      <c r="SU43" s="1663"/>
      <c r="SV43" s="1663"/>
      <c r="SW43" s="1663"/>
      <c r="SX43" s="1663"/>
      <c r="SY43" s="1663"/>
      <c r="SZ43" s="1663"/>
      <c r="TA43" s="1663"/>
      <c r="TB43" s="1663"/>
      <c r="TC43" s="1663"/>
      <c r="TD43" s="1663"/>
      <c r="TE43" s="1663"/>
      <c r="TF43" s="1663"/>
      <c r="TG43" s="1663"/>
      <c r="TH43" s="1663"/>
      <c r="TI43" s="1663"/>
      <c r="TJ43" s="1663"/>
      <c r="TK43" s="1663"/>
      <c r="TL43" s="1663"/>
      <c r="TM43" s="1663"/>
      <c r="TN43" s="1663"/>
      <c r="TO43" s="1663"/>
      <c r="TP43" s="1663"/>
      <c r="TQ43" s="1663"/>
      <c r="TR43" s="1663"/>
    </row>
    <row r="44" spans="1:538" x14ac:dyDescent="0.25">
      <c r="Q44" s="1465"/>
      <c r="R44" s="1479">
        <f t="shared" si="94"/>
        <v>1</v>
      </c>
      <c r="S44" s="1480" t="s">
        <v>111</v>
      </c>
      <c r="T44" s="1481">
        <f>COUNTIF('Variable Costs (Back)'!$C$15:$C$34,S44)</f>
        <v>0</v>
      </c>
      <c r="U44" s="1466"/>
      <c r="V44" s="1466"/>
      <c r="W44" s="1466"/>
      <c r="X44" s="1466"/>
      <c r="Y44" s="1466"/>
      <c r="Z44" s="1479">
        <f t="shared" si="95"/>
        <v>2</v>
      </c>
      <c r="AA44" s="1480"/>
      <c r="AB44" s="1481">
        <f t="shared" si="96"/>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63"/>
      <c r="BH44" s="1663"/>
      <c r="BI44" s="1663"/>
      <c r="BJ44" s="1663" t="s">
        <v>796</v>
      </c>
      <c r="BK44" s="1663" t="e">
        <f>VLOOKUP(BK$1,'Existing Customers'!$A:$AA,24,FALSE)</f>
        <v>#N/A</v>
      </c>
      <c r="BL44" s="1663"/>
      <c r="BM44" s="1663"/>
      <c r="BN44" s="1663"/>
      <c r="BO44" s="1663"/>
      <c r="BP44" s="1663"/>
      <c r="BQ44" s="1663"/>
      <c r="BR44" s="1663"/>
      <c r="BS44" s="1663"/>
      <c r="BT44" s="1663"/>
      <c r="BU44" s="1663"/>
      <c r="BV44" s="1663"/>
      <c r="BW44" s="1663"/>
      <c r="BX44" s="1663"/>
      <c r="BY44" s="1663"/>
      <c r="BZ44" s="1663"/>
      <c r="CA44" s="1663"/>
      <c r="CB44" s="1663"/>
      <c r="CC44" s="1663"/>
      <c r="CD44" s="1663"/>
      <c r="CE44" s="1663"/>
      <c r="CF44" s="1663"/>
      <c r="CG44" s="101" t="s">
        <v>796</v>
      </c>
      <c r="CH44" s="83" t="e">
        <f>VLOOKUP(CH$1,'Existing Customers'!$A:$AA,24,FALSE)</f>
        <v>#N/A</v>
      </c>
      <c r="CI44" s="1663"/>
      <c r="CJ44" s="1663"/>
      <c r="CK44" s="1663"/>
      <c r="CL44" s="1663"/>
      <c r="CM44" s="1663"/>
      <c r="CN44" s="1663"/>
      <c r="CO44" s="1663"/>
      <c r="CP44" s="1663"/>
      <c r="CQ44" s="1663"/>
      <c r="CR44" s="1663"/>
      <c r="CS44" s="1663"/>
      <c r="CT44" s="1663"/>
      <c r="CU44" s="1663"/>
      <c r="CV44" s="1663"/>
      <c r="CW44" s="1663"/>
      <c r="CX44" s="1663"/>
      <c r="CY44" s="1663"/>
      <c r="CZ44" s="1663"/>
      <c r="DA44" s="1663"/>
      <c r="DB44" s="1663"/>
      <c r="DC44" s="1663"/>
      <c r="DD44" s="101" t="s">
        <v>796</v>
      </c>
      <c r="DE44" s="83" t="e">
        <f>VLOOKUP(DE$1,'Existing Customers'!$A:$AA,24,FALSE)</f>
        <v>#N/A</v>
      </c>
      <c r="DF44" s="1663"/>
      <c r="DG44" s="1663"/>
      <c r="DH44" s="1663"/>
      <c r="DI44" s="1663"/>
      <c r="DJ44" s="1663"/>
      <c r="DK44" s="1663"/>
      <c r="DL44" s="1663"/>
      <c r="DM44" s="1663"/>
      <c r="DN44" s="1663"/>
      <c r="DO44" s="1663"/>
      <c r="DP44" s="1663"/>
      <c r="DQ44" s="1663"/>
      <c r="DR44" s="1663"/>
      <c r="DS44" s="1663"/>
      <c r="DT44" s="1663"/>
      <c r="DU44" s="1663"/>
      <c r="DV44" s="1663"/>
      <c r="DW44" s="1663"/>
      <c r="DX44" s="1663"/>
      <c r="DY44" s="1663"/>
      <c r="DZ44" s="1663"/>
      <c r="EA44" s="101" t="s">
        <v>796</v>
      </c>
      <c r="EB44" s="83" t="e">
        <f>VLOOKUP(EB$1,'Existing Customers'!$A:$AA,24,FALSE)</f>
        <v>#N/A</v>
      </c>
      <c r="EC44" s="1663"/>
      <c r="ED44" s="1663"/>
      <c r="EE44" s="1663"/>
      <c r="EF44" s="1663"/>
      <c r="EG44" s="1663"/>
      <c r="EH44" s="1663"/>
      <c r="EI44" s="1663"/>
      <c r="EJ44" s="1663"/>
      <c r="EK44" s="1663"/>
      <c r="EL44" s="1663"/>
      <c r="EM44" s="1663"/>
      <c r="EN44" s="1663"/>
      <c r="EO44" s="1663"/>
      <c r="EP44" s="1663"/>
      <c r="EQ44" s="1663"/>
      <c r="ER44" s="1663"/>
      <c r="ES44" s="1663"/>
      <c r="ET44" s="1663"/>
      <c r="EU44" s="1663"/>
      <c r="EV44" s="1663"/>
      <c r="EW44" s="1663"/>
      <c r="EX44" s="101" t="s">
        <v>796</v>
      </c>
      <c r="EY44" s="83" t="e">
        <f>VLOOKUP(EY$1,'Existing Customers'!$A:$AA,24,FALSE)</f>
        <v>#N/A</v>
      </c>
      <c r="EZ44" s="1663"/>
      <c r="FA44" s="1663"/>
      <c r="FB44" s="1663"/>
      <c r="FC44" s="1663"/>
      <c r="FD44" s="1663"/>
      <c r="FE44" s="1663"/>
      <c r="FF44" s="1663"/>
      <c r="FG44" s="1663"/>
      <c r="FH44" s="1663"/>
      <c r="FI44" s="1663"/>
      <c r="FJ44" s="1663"/>
      <c r="FK44" s="1663"/>
      <c r="FL44" s="1663"/>
      <c r="FM44" s="1663"/>
      <c r="FN44" s="1663"/>
      <c r="FO44" s="1663"/>
      <c r="FP44" s="1663"/>
      <c r="FQ44" s="1663"/>
      <c r="FR44" s="1663"/>
      <c r="FS44" s="1663"/>
      <c r="FT44" s="1663"/>
      <c r="FU44" s="101" t="s">
        <v>796</v>
      </c>
      <c r="FV44" s="83" t="e">
        <f>VLOOKUP(FV$1,'Existing Customers'!$A:$AA,24,FALSE)</f>
        <v>#N/A</v>
      </c>
      <c r="FW44" s="1663"/>
      <c r="FX44" s="1663"/>
      <c r="FY44" s="1663"/>
      <c r="FZ44" s="1663"/>
      <c r="GA44" s="1663"/>
      <c r="GB44" s="1663"/>
      <c r="GC44" s="1663"/>
      <c r="GD44" s="1663"/>
      <c r="GE44" s="1663"/>
      <c r="GF44" s="1663"/>
      <c r="GG44" s="1663"/>
      <c r="GH44" s="1663"/>
      <c r="GI44" s="1663"/>
      <c r="GJ44" s="1663"/>
      <c r="GK44" s="1663"/>
      <c r="GL44" s="1663"/>
      <c r="GM44" s="1663"/>
      <c r="GN44" s="1663"/>
      <c r="GO44" s="1663"/>
      <c r="GP44" s="1663"/>
      <c r="GQ44" s="1663"/>
      <c r="GR44" s="101" t="s">
        <v>796</v>
      </c>
      <c r="GS44" s="83" t="e">
        <f>VLOOKUP(GS$1,'Existing Customers'!$A:$AA,24,FALSE)</f>
        <v>#N/A</v>
      </c>
      <c r="GT44" s="1663"/>
      <c r="GU44" s="1663"/>
      <c r="GV44" s="1663"/>
      <c r="GW44" s="1663"/>
      <c r="GX44" s="1663"/>
      <c r="GY44" s="1663"/>
      <c r="GZ44" s="1663"/>
      <c r="HA44" s="1663"/>
      <c r="HB44" s="1663"/>
      <c r="HC44" s="1663"/>
      <c r="HD44" s="1663"/>
      <c r="HE44" s="1663"/>
      <c r="HF44" s="1663"/>
      <c r="HG44" s="1663"/>
      <c r="HH44" s="1663"/>
      <c r="HI44" s="1663"/>
      <c r="HJ44" s="1663"/>
      <c r="HK44" s="1663"/>
      <c r="HL44" s="1663"/>
      <c r="HM44" s="1663"/>
      <c r="HN44" s="1663"/>
      <c r="HO44" s="101" t="s">
        <v>796</v>
      </c>
      <c r="HP44" s="83" t="e">
        <f>VLOOKUP(HP$1,'Existing Customers'!$A:$AA,24,FALSE)</f>
        <v>#N/A</v>
      </c>
      <c r="HQ44" s="1663"/>
      <c r="HR44" s="1663"/>
      <c r="HS44" s="1663"/>
      <c r="HT44" s="1663"/>
      <c r="HU44" s="1663"/>
      <c r="HV44" s="1663"/>
      <c r="HW44" s="1663"/>
      <c r="HX44" s="1663"/>
      <c r="HY44" s="1663"/>
      <c r="HZ44" s="1663"/>
      <c r="IA44" s="1663"/>
      <c r="IB44" s="1663"/>
      <c r="IC44" s="1663"/>
      <c r="ID44" s="1663"/>
      <c r="IE44" s="1663"/>
      <c r="IF44" s="1663"/>
      <c r="IG44" s="1663"/>
      <c r="IH44" s="1663"/>
      <c r="II44" s="1663"/>
      <c r="IJ44" s="1663"/>
      <c r="IK44" s="1663"/>
      <c r="IL44" s="101" t="s">
        <v>796</v>
      </c>
      <c r="IM44" s="83" t="e">
        <f>VLOOKUP(IM$1,'Existing Customers'!$A:$AA,24,FALSE)</f>
        <v>#N/A</v>
      </c>
      <c r="IN44" s="1663"/>
      <c r="IO44" s="1663"/>
      <c r="IP44" s="1663"/>
      <c r="IQ44" s="1663"/>
      <c r="IR44" s="1663"/>
      <c r="IS44" s="1663"/>
      <c r="IT44" s="1663"/>
      <c r="IU44" s="1663"/>
      <c r="IV44" s="1663"/>
      <c r="IW44" s="1663"/>
      <c r="IX44" s="1663"/>
      <c r="IY44" s="1663"/>
      <c r="IZ44" s="1663"/>
      <c r="JA44" s="1663"/>
      <c r="JB44" s="1663"/>
      <c r="JC44" s="1663"/>
      <c r="JD44" s="1663"/>
      <c r="JE44" s="1663"/>
      <c r="JF44" s="1663"/>
      <c r="JG44" s="1663"/>
      <c r="JH44" s="1663"/>
      <c r="JI44" s="101" t="s">
        <v>796</v>
      </c>
      <c r="JJ44" s="83" t="e">
        <f>VLOOKUP(JJ$1,'Existing Customers'!$A:$AA,24,FALSE)</f>
        <v>#N/A</v>
      </c>
      <c r="JK44" s="1663"/>
      <c r="JL44" s="1663"/>
      <c r="JM44" s="1663"/>
      <c r="JN44" s="1663"/>
      <c r="JO44" s="1663"/>
      <c r="JP44" s="1663"/>
      <c r="JQ44" s="1663"/>
      <c r="JR44" s="1663"/>
      <c r="JS44" s="1663"/>
      <c r="JT44" s="1663"/>
      <c r="JU44" s="1663"/>
      <c r="JV44" s="1663"/>
      <c r="JW44" s="1663"/>
      <c r="JX44" s="1663"/>
      <c r="JY44" s="1663"/>
      <c r="JZ44" s="1663"/>
      <c r="KA44" s="1663"/>
      <c r="KB44" s="1663"/>
      <c r="KC44" s="1663"/>
      <c r="KD44" s="1663"/>
      <c r="KE44" s="1663"/>
      <c r="KF44" s="101" t="s">
        <v>796</v>
      </c>
      <c r="KG44" s="83" t="e">
        <f>VLOOKUP(KG$1,'Existing Customers'!$A:$AA,24,FALSE)</f>
        <v>#N/A</v>
      </c>
      <c r="KH44" s="1663"/>
      <c r="KI44" s="1663"/>
      <c r="KJ44" s="1663"/>
      <c r="KK44" s="1663"/>
      <c r="KL44" s="1663"/>
      <c r="KM44" s="1663"/>
      <c r="KN44" s="1663"/>
      <c r="KO44" s="1663"/>
      <c r="KP44" s="1663"/>
      <c r="KQ44" s="1663"/>
      <c r="KR44" s="1663"/>
      <c r="KS44" s="1663"/>
      <c r="KT44" s="1663"/>
      <c r="KU44" s="1663"/>
      <c r="KV44" s="1663"/>
      <c r="KW44" s="1663"/>
      <c r="KX44" s="1663"/>
      <c r="KY44" s="1663"/>
      <c r="KZ44" s="1663"/>
      <c r="LA44" s="1663"/>
      <c r="LB44" s="1663"/>
      <c r="LC44" s="101" t="s">
        <v>796</v>
      </c>
      <c r="LD44" s="83" t="e">
        <f>VLOOKUP(LD$1,'Existing Customers'!$A:$AA,24,FALSE)</f>
        <v>#N/A</v>
      </c>
      <c r="LE44" s="1663"/>
      <c r="LF44" s="1663"/>
      <c r="LG44" s="1663"/>
      <c r="LH44" s="1663"/>
      <c r="LI44" s="1663"/>
      <c r="LJ44" s="1663"/>
      <c r="LK44" s="1663"/>
      <c r="LL44" s="1663"/>
      <c r="LM44" s="1663"/>
      <c r="LN44" s="1663"/>
      <c r="LO44" s="1663"/>
      <c r="LP44" s="1663"/>
      <c r="LQ44" s="1663"/>
      <c r="LR44" s="1663"/>
      <c r="LS44" s="1663"/>
      <c r="LT44" s="1663"/>
      <c r="LU44" s="1663"/>
      <c r="LV44" s="1663"/>
      <c r="LW44" s="1663"/>
      <c r="LX44" s="1663"/>
      <c r="LY44" s="1663"/>
      <c r="LZ44" s="101" t="s">
        <v>796</v>
      </c>
      <c r="MA44" s="83" t="e">
        <f>VLOOKUP(MA$1,'Existing Customers'!$A:$AA,24,FALSE)</f>
        <v>#N/A</v>
      </c>
      <c r="MB44" s="1663"/>
      <c r="MC44" s="1663"/>
      <c r="MD44" s="1663"/>
      <c r="ME44" s="1663"/>
      <c r="MF44" s="1663"/>
      <c r="MG44" s="1663"/>
      <c r="MH44" s="1663"/>
      <c r="MI44" s="1663"/>
      <c r="MJ44" s="1663"/>
      <c r="MK44" s="1663"/>
      <c r="ML44" s="1663"/>
      <c r="MM44" s="1663"/>
      <c r="MN44" s="1663"/>
      <c r="MO44" s="1663"/>
      <c r="MP44" s="1663"/>
      <c r="MQ44" s="1663"/>
      <c r="MR44" s="1663"/>
      <c r="MS44" s="1663"/>
      <c r="MT44" s="1663"/>
      <c r="MU44" s="1663"/>
      <c r="MV44" s="1663"/>
      <c r="MW44" s="101" t="s">
        <v>796</v>
      </c>
      <c r="MX44" s="83" t="e">
        <f>VLOOKUP(MX$1,'Existing Customers'!$A:$AA,24,FALSE)</f>
        <v>#N/A</v>
      </c>
      <c r="MY44" s="1663"/>
      <c r="MZ44" s="1663"/>
      <c r="NA44" s="1663"/>
      <c r="NB44" s="1663"/>
      <c r="NC44" s="1663"/>
      <c r="ND44" s="1663"/>
      <c r="NE44" s="1663"/>
      <c r="NF44" s="1663"/>
      <c r="NG44" s="1663"/>
      <c r="NH44" s="1663"/>
      <c r="NI44" s="1663"/>
      <c r="NJ44" s="1663"/>
      <c r="NK44" s="1663"/>
      <c r="NL44" s="1663"/>
      <c r="NM44" s="1663"/>
      <c r="NN44" s="1663"/>
      <c r="NO44" s="1663"/>
      <c r="NP44" s="1663"/>
      <c r="NQ44" s="1663"/>
      <c r="NR44" s="1663"/>
      <c r="NS44" s="1663"/>
      <c r="NT44" s="101" t="s">
        <v>796</v>
      </c>
      <c r="NU44" s="83" t="e">
        <f>VLOOKUP(NU$1,'Existing Customers'!$A:$AA,24,FALSE)</f>
        <v>#N/A</v>
      </c>
      <c r="NV44" s="1663"/>
      <c r="NW44" s="1663"/>
      <c r="NX44" s="1663"/>
      <c r="NY44" s="1663"/>
      <c r="NZ44" s="1663"/>
      <c r="OA44" s="1663"/>
      <c r="OB44" s="1663"/>
      <c r="OC44" s="1663"/>
      <c r="OD44" s="1663"/>
      <c r="OE44" s="1663"/>
      <c r="OF44" s="1663"/>
      <c r="OG44" s="1663"/>
      <c r="OH44" s="1663"/>
      <c r="OI44" s="1663"/>
      <c r="OJ44" s="1663"/>
      <c r="OK44" s="1663"/>
      <c r="OL44" s="1663"/>
      <c r="OM44" s="1663"/>
      <c r="ON44" s="1663"/>
      <c r="OO44" s="1663"/>
      <c r="OP44" s="1663"/>
      <c r="OQ44" s="101" t="s">
        <v>796</v>
      </c>
      <c r="OR44" s="83" t="e">
        <f>VLOOKUP(OR$1,'Existing Customers'!$A:$AA,24,FALSE)</f>
        <v>#N/A</v>
      </c>
      <c r="OS44" s="1663"/>
      <c r="OT44" s="1663"/>
      <c r="OU44" s="1663"/>
      <c r="OV44" s="1663"/>
      <c r="OW44" s="1663"/>
      <c r="OX44" s="1663"/>
      <c r="OY44" s="1663"/>
      <c r="OZ44" s="1663"/>
      <c r="PA44" s="1663"/>
      <c r="PB44" s="1663"/>
      <c r="PC44" s="1663"/>
      <c r="PD44" s="1663"/>
      <c r="PE44" s="1663"/>
      <c r="PF44" s="1663"/>
      <c r="PG44" s="1663"/>
      <c r="PH44" s="1663"/>
      <c r="PI44" s="1663"/>
      <c r="PJ44" s="1663"/>
      <c r="PK44" s="1663"/>
      <c r="PL44" s="1663"/>
      <c r="PM44" s="1663"/>
      <c r="PN44" s="101" t="s">
        <v>796</v>
      </c>
      <c r="PO44" s="83" t="e">
        <f>VLOOKUP(PO$1,'Existing Customers'!$A:$AA,24,FALSE)</f>
        <v>#N/A</v>
      </c>
      <c r="PP44" s="1663"/>
      <c r="PQ44" s="1663"/>
      <c r="PR44" s="1663"/>
      <c r="PS44" s="1663"/>
      <c r="PT44" s="1663"/>
      <c r="PU44" s="1663"/>
      <c r="PV44" s="1663"/>
      <c r="PW44" s="1663"/>
      <c r="PX44" s="1663"/>
      <c r="PY44" s="1663"/>
      <c r="PZ44" s="1663"/>
      <c r="QA44" s="1663"/>
      <c r="QB44" s="1663"/>
      <c r="QC44" s="1663"/>
      <c r="QD44" s="1663"/>
      <c r="QE44" s="1663"/>
      <c r="QF44" s="1663"/>
      <c r="QG44" s="1663"/>
      <c r="QH44" s="1663"/>
      <c r="QI44" s="1663"/>
      <c r="QJ44" s="1663"/>
      <c r="QK44" s="101" t="s">
        <v>796</v>
      </c>
      <c r="QL44" s="83" t="e">
        <f>VLOOKUP(QL$1,'Existing Customers'!$A:$AA,24,FALSE)</f>
        <v>#N/A</v>
      </c>
      <c r="QM44" s="1663"/>
      <c r="QN44" s="1663"/>
      <c r="QO44" s="1663"/>
      <c r="QP44" s="1663"/>
      <c r="QQ44" s="1663"/>
      <c r="QR44" s="1663"/>
      <c r="QS44" s="1663"/>
      <c r="QT44" s="1663"/>
      <c r="QU44" s="1663"/>
      <c r="QV44" s="1663"/>
      <c r="QW44" s="1663"/>
      <c r="QX44" s="1663"/>
      <c r="QY44" s="1663"/>
      <c r="QZ44" s="1663"/>
      <c r="RA44" s="1663"/>
      <c r="RB44" s="1663"/>
      <c r="RC44" s="1663"/>
      <c r="RD44" s="1663"/>
      <c r="RE44" s="1663"/>
      <c r="RF44" s="1663"/>
      <c r="RG44" s="1663"/>
      <c r="RH44" s="101" t="s">
        <v>796</v>
      </c>
      <c r="RI44" s="83" t="e">
        <f>VLOOKUP(RI$1,'Existing Customers'!$A:$AA,24,FALSE)</f>
        <v>#N/A</v>
      </c>
      <c r="RJ44" s="1663"/>
      <c r="RK44" s="1663"/>
      <c r="RL44" s="1663"/>
      <c r="RM44" s="1663"/>
      <c r="RN44" s="1663"/>
      <c r="RO44" s="1663"/>
      <c r="RP44" s="1663"/>
      <c r="RQ44" s="1663"/>
      <c r="RR44" s="1663"/>
      <c r="RS44" s="1663"/>
      <c r="RT44" s="1663"/>
      <c r="RU44" s="1663"/>
      <c r="RV44" s="1663"/>
      <c r="RW44" s="1663"/>
      <c r="RX44" s="1663"/>
      <c r="RY44" s="1663"/>
      <c r="RZ44" s="1663"/>
      <c r="SA44" s="1663"/>
      <c r="SB44" s="1663"/>
      <c r="SC44" s="1663"/>
      <c r="SD44" s="1663"/>
      <c r="SE44" s="101" t="s">
        <v>796</v>
      </c>
      <c r="SF44" s="83" t="e">
        <f>VLOOKUP(SF$1,'Existing Customers'!$A:$AA,24,FALSE)</f>
        <v>#N/A</v>
      </c>
      <c r="SG44" s="1663"/>
      <c r="SH44" s="1663"/>
      <c r="SI44" s="1663"/>
      <c r="SJ44" s="1663"/>
      <c r="SK44" s="1663"/>
      <c r="SL44" s="1663"/>
      <c r="SM44" s="1663"/>
      <c r="SN44" s="1663"/>
      <c r="SO44" s="1663"/>
      <c r="SP44" s="1663"/>
      <c r="SQ44" s="1663"/>
      <c r="SR44" s="1663"/>
      <c r="SS44" s="1663"/>
      <c r="ST44" s="1663"/>
      <c r="SU44" s="1663"/>
      <c r="SV44" s="1663"/>
      <c r="SW44" s="1663"/>
      <c r="SX44" s="1663"/>
      <c r="SY44" s="1663"/>
      <c r="SZ44" s="1663"/>
      <c r="TA44" s="1663"/>
      <c r="TB44" s="1663"/>
      <c r="TC44" s="1663"/>
      <c r="TD44" s="1663"/>
      <c r="TE44" s="1663"/>
      <c r="TF44" s="1663"/>
      <c r="TG44" s="1663"/>
      <c r="TH44" s="1663"/>
      <c r="TI44" s="1663"/>
      <c r="TJ44" s="1663"/>
      <c r="TK44" s="1663"/>
      <c r="TL44" s="1663"/>
      <c r="TM44" s="1663"/>
      <c r="TN44" s="1663"/>
      <c r="TO44" s="1663"/>
      <c r="TP44" s="1663"/>
      <c r="TQ44" s="1663"/>
      <c r="TR44" s="1663"/>
    </row>
    <row r="45" spans="1:538" x14ac:dyDescent="0.25">
      <c r="Q45" s="1465"/>
      <c r="R45" s="1479">
        <f t="shared" si="94"/>
        <v>1</v>
      </c>
      <c r="S45" s="1480" t="s">
        <v>118</v>
      </c>
      <c r="T45" s="1481">
        <f>COUNTIF('Variable Costs (Back)'!$C$15:$C$34,S45)</f>
        <v>0</v>
      </c>
      <c r="U45" s="1466"/>
      <c r="V45" s="1466"/>
      <c r="W45" s="1466"/>
      <c r="X45" s="1466"/>
      <c r="Y45" s="1466"/>
      <c r="Z45" s="1479">
        <f t="shared" si="95"/>
        <v>2</v>
      </c>
      <c r="AA45" s="1480"/>
      <c r="AB45" s="1481">
        <f t="shared" si="96"/>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63"/>
      <c r="BH45" s="1663"/>
      <c r="BI45" s="1663"/>
      <c r="BJ45" s="1663" t="s">
        <v>797</v>
      </c>
      <c r="BK45" s="1663" t="e">
        <f>VLOOKUP(BK$1,'Existing Customers'!$A:$AA,9,FALSE)</f>
        <v>#N/A</v>
      </c>
      <c r="BL45" s="1663"/>
      <c r="BM45" s="1663"/>
      <c r="BN45" s="1663"/>
      <c r="BO45" s="1663"/>
      <c r="BP45" s="1663"/>
      <c r="BQ45" s="1663"/>
      <c r="BR45" s="1663"/>
      <c r="BS45" s="1663"/>
      <c r="BT45" s="1663"/>
      <c r="BU45" s="1663"/>
      <c r="BV45" s="1663"/>
      <c r="BW45" s="1663"/>
      <c r="BX45" s="1663"/>
      <c r="BY45" s="1663"/>
      <c r="BZ45" s="1663"/>
      <c r="CA45" s="1663"/>
      <c r="CB45" s="1663"/>
      <c r="CC45" s="1663"/>
      <c r="CD45" s="1663"/>
      <c r="CE45" s="1663"/>
      <c r="CF45" s="1663"/>
      <c r="CG45" s="101" t="s">
        <v>797</v>
      </c>
      <c r="CH45" s="83" t="e">
        <f>VLOOKUP(CH$1,'Existing Customers'!$A:$AA,9,FALSE)</f>
        <v>#N/A</v>
      </c>
      <c r="CI45" s="1663"/>
      <c r="CJ45" s="1663"/>
      <c r="CK45" s="1663"/>
      <c r="CL45" s="1663"/>
      <c r="CM45" s="1663"/>
      <c r="CN45" s="1663"/>
      <c r="CO45" s="1663"/>
      <c r="CP45" s="1663"/>
      <c r="CQ45" s="1663"/>
      <c r="CR45" s="1663"/>
      <c r="CS45" s="1663"/>
      <c r="CT45" s="1663"/>
      <c r="CU45" s="1663"/>
      <c r="CV45" s="1663"/>
      <c r="CW45" s="1663"/>
      <c r="CX45" s="1663"/>
      <c r="CY45" s="1663"/>
      <c r="CZ45" s="1663"/>
      <c r="DA45" s="1663"/>
      <c r="DB45" s="1663"/>
      <c r="DC45" s="1663"/>
      <c r="DD45" s="101" t="s">
        <v>797</v>
      </c>
      <c r="DE45" s="83" t="e">
        <f>VLOOKUP(DE$1,'Existing Customers'!$A:$AA,9,FALSE)</f>
        <v>#N/A</v>
      </c>
      <c r="DF45" s="1663"/>
      <c r="DG45" s="1663"/>
      <c r="DH45" s="1663"/>
      <c r="DI45" s="1663"/>
      <c r="DJ45" s="1663"/>
      <c r="DK45" s="1663"/>
      <c r="DL45" s="1663"/>
      <c r="DM45" s="1663"/>
      <c r="DN45" s="1663"/>
      <c r="DO45" s="1663"/>
      <c r="DP45" s="1663"/>
      <c r="DQ45" s="1663"/>
      <c r="DR45" s="1663"/>
      <c r="DS45" s="1663"/>
      <c r="DT45" s="1663"/>
      <c r="DU45" s="1663"/>
      <c r="DV45" s="1663"/>
      <c r="DW45" s="1663"/>
      <c r="DX45" s="1663"/>
      <c r="DY45" s="1663"/>
      <c r="DZ45" s="1663"/>
      <c r="EA45" s="101" t="s">
        <v>797</v>
      </c>
      <c r="EB45" s="83" t="e">
        <f>VLOOKUP(EB$1,'Existing Customers'!$A:$AA,9,FALSE)</f>
        <v>#N/A</v>
      </c>
      <c r="EC45" s="1663"/>
      <c r="ED45" s="1663"/>
      <c r="EE45" s="1663"/>
      <c r="EF45" s="1663"/>
      <c r="EG45" s="1663"/>
      <c r="EH45" s="1663"/>
      <c r="EI45" s="1663"/>
      <c r="EJ45" s="1663"/>
      <c r="EK45" s="1663"/>
      <c r="EL45" s="1663"/>
      <c r="EM45" s="1663"/>
      <c r="EN45" s="1663"/>
      <c r="EO45" s="1663"/>
      <c r="EP45" s="1663"/>
      <c r="EQ45" s="1663"/>
      <c r="ER45" s="1663"/>
      <c r="ES45" s="1663"/>
      <c r="ET45" s="1663"/>
      <c r="EU45" s="1663"/>
      <c r="EV45" s="1663"/>
      <c r="EW45" s="1663"/>
      <c r="EX45" s="101" t="s">
        <v>797</v>
      </c>
      <c r="EY45" s="83" t="e">
        <f>VLOOKUP(EY$1,'Existing Customers'!$A:$AA,9,FALSE)</f>
        <v>#N/A</v>
      </c>
      <c r="EZ45" s="1663"/>
      <c r="FA45" s="1663"/>
      <c r="FB45" s="1663"/>
      <c r="FC45" s="1663"/>
      <c r="FD45" s="1663"/>
      <c r="FE45" s="1663"/>
      <c r="FF45" s="1663"/>
      <c r="FG45" s="1663"/>
      <c r="FH45" s="1663"/>
      <c r="FI45" s="1663"/>
      <c r="FJ45" s="1663"/>
      <c r="FK45" s="1663"/>
      <c r="FL45" s="1663"/>
      <c r="FM45" s="1663"/>
      <c r="FN45" s="1663"/>
      <c r="FO45" s="1663"/>
      <c r="FP45" s="1663"/>
      <c r="FQ45" s="1663"/>
      <c r="FR45" s="1663"/>
      <c r="FS45" s="1663"/>
      <c r="FT45" s="1663"/>
      <c r="FU45" s="101" t="s">
        <v>797</v>
      </c>
      <c r="FV45" s="83" t="e">
        <f>VLOOKUP(FV$1,'Existing Customers'!$A:$AA,9,FALSE)</f>
        <v>#N/A</v>
      </c>
      <c r="FW45" s="1663"/>
      <c r="FX45" s="1663"/>
      <c r="FY45" s="1663"/>
      <c r="FZ45" s="1663"/>
      <c r="GA45" s="1663"/>
      <c r="GB45" s="1663"/>
      <c r="GC45" s="1663"/>
      <c r="GD45" s="1663"/>
      <c r="GE45" s="1663"/>
      <c r="GF45" s="1663"/>
      <c r="GG45" s="1663"/>
      <c r="GH45" s="1663"/>
      <c r="GI45" s="1663"/>
      <c r="GJ45" s="1663"/>
      <c r="GK45" s="1663"/>
      <c r="GL45" s="1663"/>
      <c r="GM45" s="1663"/>
      <c r="GN45" s="1663"/>
      <c r="GO45" s="1663"/>
      <c r="GP45" s="1663"/>
      <c r="GQ45" s="1663"/>
      <c r="GR45" s="101" t="s">
        <v>797</v>
      </c>
      <c r="GS45" s="83" t="e">
        <f>VLOOKUP(GS$1,'Existing Customers'!$A:$AA,9,FALSE)</f>
        <v>#N/A</v>
      </c>
      <c r="GT45" s="1663"/>
      <c r="GU45" s="1663"/>
      <c r="GV45" s="1663"/>
      <c r="GW45" s="1663"/>
      <c r="GX45" s="1663"/>
      <c r="GY45" s="1663"/>
      <c r="GZ45" s="1663"/>
      <c r="HA45" s="1663"/>
      <c r="HB45" s="1663"/>
      <c r="HC45" s="1663"/>
      <c r="HD45" s="1663"/>
      <c r="HE45" s="1663"/>
      <c r="HF45" s="1663"/>
      <c r="HG45" s="1663"/>
      <c r="HH45" s="1663"/>
      <c r="HI45" s="1663"/>
      <c r="HJ45" s="1663"/>
      <c r="HK45" s="1663"/>
      <c r="HL45" s="1663"/>
      <c r="HM45" s="1663"/>
      <c r="HN45" s="1663"/>
      <c r="HO45" s="101" t="s">
        <v>797</v>
      </c>
      <c r="HP45" s="83" t="e">
        <f>VLOOKUP(HP$1,'Existing Customers'!$A:$AA,9,FALSE)</f>
        <v>#N/A</v>
      </c>
      <c r="HQ45" s="1663"/>
      <c r="HR45" s="1663"/>
      <c r="HS45" s="1663"/>
      <c r="HT45" s="1663"/>
      <c r="HU45" s="1663"/>
      <c r="HV45" s="1663"/>
      <c r="HW45" s="1663"/>
      <c r="HX45" s="1663"/>
      <c r="HY45" s="1663"/>
      <c r="HZ45" s="1663"/>
      <c r="IA45" s="1663"/>
      <c r="IB45" s="1663"/>
      <c r="IC45" s="1663"/>
      <c r="ID45" s="1663"/>
      <c r="IE45" s="1663"/>
      <c r="IF45" s="1663"/>
      <c r="IG45" s="1663"/>
      <c r="IH45" s="1663"/>
      <c r="II45" s="1663"/>
      <c r="IJ45" s="1663"/>
      <c r="IK45" s="1663"/>
      <c r="IL45" s="101" t="s">
        <v>797</v>
      </c>
      <c r="IM45" s="83" t="e">
        <f>VLOOKUP(IM$1,'Existing Customers'!$A:$AA,9,FALSE)</f>
        <v>#N/A</v>
      </c>
      <c r="IN45" s="1663"/>
      <c r="IO45" s="1663"/>
      <c r="IP45" s="1663"/>
      <c r="IQ45" s="1663"/>
      <c r="IR45" s="1663"/>
      <c r="IS45" s="1663"/>
      <c r="IT45" s="1663"/>
      <c r="IU45" s="1663"/>
      <c r="IV45" s="1663"/>
      <c r="IW45" s="1663"/>
      <c r="IX45" s="1663"/>
      <c r="IY45" s="1663"/>
      <c r="IZ45" s="1663"/>
      <c r="JA45" s="1663"/>
      <c r="JB45" s="1663"/>
      <c r="JC45" s="1663"/>
      <c r="JD45" s="1663"/>
      <c r="JE45" s="1663"/>
      <c r="JF45" s="1663"/>
      <c r="JG45" s="1663"/>
      <c r="JH45" s="1663"/>
      <c r="JI45" s="101" t="s">
        <v>797</v>
      </c>
      <c r="JJ45" s="83" t="e">
        <f>VLOOKUP(JJ$1,'Existing Customers'!$A:$AA,9,FALSE)</f>
        <v>#N/A</v>
      </c>
      <c r="JK45" s="1663"/>
      <c r="JL45" s="1663"/>
      <c r="JM45" s="1663"/>
      <c r="JN45" s="1663"/>
      <c r="JO45" s="1663"/>
      <c r="JP45" s="1663"/>
      <c r="JQ45" s="1663"/>
      <c r="JR45" s="1663"/>
      <c r="JS45" s="1663"/>
      <c r="JT45" s="1663"/>
      <c r="JU45" s="1663"/>
      <c r="JV45" s="1663"/>
      <c r="JW45" s="1663"/>
      <c r="JX45" s="1663"/>
      <c r="JY45" s="1663"/>
      <c r="JZ45" s="1663"/>
      <c r="KA45" s="1663"/>
      <c r="KB45" s="1663"/>
      <c r="KC45" s="1663"/>
      <c r="KD45" s="1663"/>
      <c r="KE45" s="1663"/>
      <c r="KF45" s="101" t="s">
        <v>797</v>
      </c>
      <c r="KG45" s="83" t="e">
        <f>VLOOKUP(KG$1,'Existing Customers'!$A:$AA,9,FALSE)</f>
        <v>#N/A</v>
      </c>
      <c r="KH45" s="1663"/>
      <c r="KI45" s="1663"/>
      <c r="KJ45" s="1663"/>
      <c r="KK45" s="1663"/>
      <c r="KL45" s="1663"/>
      <c r="KM45" s="1663"/>
      <c r="KN45" s="1663"/>
      <c r="KO45" s="1663"/>
      <c r="KP45" s="1663"/>
      <c r="KQ45" s="1663"/>
      <c r="KR45" s="1663"/>
      <c r="KS45" s="1663"/>
      <c r="KT45" s="1663"/>
      <c r="KU45" s="1663"/>
      <c r="KV45" s="1663"/>
      <c r="KW45" s="1663"/>
      <c r="KX45" s="1663"/>
      <c r="KY45" s="1663"/>
      <c r="KZ45" s="1663"/>
      <c r="LA45" s="1663"/>
      <c r="LB45" s="1663"/>
      <c r="LC45" s="101" t="s">
        <v>797</v>
      </c>
      <c r="LD45" s="83" t="e">
        <f>VLOOKUP(LD$1,'Existing Customers'!$A:$AA,9,FALSE)</f>
        <v>#N/A</v>
      </c>
      <c r="LE45" s="1663"/>
      <c r="LF45" s="1663"/>
      <c r="LG45" s="1663"/>
      <c r="LH45" s="1663"/>
      <c r="LI45" s="1663"/>
      <c r="LJ45" s="1663"/>
      <c r="LK45" s="1663"/>
      <c r="LL45" s="1663"/>
      <c r="LM45" s="1663"/>
      <c r="LN45" s="1663"/>
      <c r="LO45" s="1663"/>
      <c r="LP45" s="1663"/>
      <c r="LQ45" s="1663"/>
      <c r="LR45" s="1663"/>
      <c r="LS45" s="1663"/>
      <c r="LT45" s="1663"/>
      <c r="LU45" s="1663"/>
      <c r="LV45" s="1663"/>
      <c r="LW45" s="1663"/>
      <c r="LX45" s="1663"/>
      <c r="LY45" s="1663"/>
      <c r="LZ45" s="101" t="s">
        <v>797</v>
      </c>
      <c r="MA45" s="83" t="e">
        <f>VLOOKUP(MA$1,'Existing Customers'!$A:$AA,9,FALSE)</f>
        <v>#N/A</v>
      </c>
      <c r="MB45" s="1663"/>
      <c r="MC45" s="1663"/>
      <c r="MD45" s="1663"/>
      <c r="ME45" s="1663"/>
      <c r="MF45" s="1663"/>
      <c r="MG45" s="1663"/>
      <c r="MH45" s="1663"/>
      <c r="MI45" s="1663"/>
      <c r="MJ45" s="1663"/>
      <c r="MK45" s="1663"/>
      <c r="ML45" s="1663"/>
      <c r="MM45" s="1663"/>
      <c r="MN45" s="1663"/>
      <c r="MO45" s="1663"/>
      <c r="MP45" s="1663"/>
      <c r="MQ45" s="1663"/>
      <c r="MR45" s="1663"/>
      <c r="MS45" s="1663"/>
      <c r="MT45" s="1663"/>
      <c r="MU45" s="1663"/>
      <c r="MV45" s="1663"/>
      <c r="MW45" s="101" t="s">
        <v>797</v>
      </c>
      <c r="MX45" s="83" t="e">
        <f>VLOOKUP(MX$1,'Existing Customers'!$A:$AA,9,FALSE)</f>
        <v>#N/A</v>
      </c>
      <c r="MY45" s="1663"/>
      <c r="MZ45" s="1663"/>
      <c r="NA45" s="1663"/>
      <c r="NB45" s="1663"/>
      <c r="NC45" s="1663"/>
      <c r="ND45" s="1663"/>
      <c r="NE45" s="1663"/>
      <c r="NF45" s="1663"/>
      <c r="NG45" s="1663"/>
      <c r="NH45" s="1663"/>
      <c r="NI45" s="1663"/>
      <c r="NJ45" s="1663"/>
      <c r="NK45" s="1663"/>
      <c r="NL45" s="1663"/>
      <c r="NM45" s="1663"/>
      <c r="NN45" s="1663"/>
      <c r="NO45" s="1663"/>
      <c r="NP45" s="1663"/>
      <c r="NQ45" s="1663"/>
      <c r="NR45" s="1663"/>
      <c r="NS45" s="1663"/>
      <c r="NT45" s="101" t="s">
        <v>797</v>
      </c>
      <c r="NU45" s="83" t="e">
        <f>VLOOKUP(NU$1,'Existing Customers'!$A:$AA,9,FALSE)</f>
        <v>#N/A</v>
      </c>
      <c r="NV45" s="1663"/>
      <c r="NW45" s="1663"/>
      <c r="NX45" s="1663"/>
      <c r="NY45" s="1663"/>
      <c r="NZ45" s="1663"/>
      <c r="OA45" s="1663"/>
      <c r="OB45" s="1663"/>
      <c r="OC45" s="1663"/>
      <c r="OD45" s="1663"/>
      <c r="OE45" s="1663"/>
      <c r="OF45" s="1663"/>
      <c r="OG45" s="1663"/>
      <c r="OH45" s="1663"/>
      <c r="OI45" s="1663"/>
      <c r="OJ45" s="1663"/>
      <c r="OK45" s="1663"/>
      <c r="OL45" s="1663"/>
      <c r="OM45" s="1663"/>
      <c r="ON45" s="1663"/>
      <c r="OO45" s="1663"/>
      <c r="OP45" s="1663"/>
      <c r="OQ45" s="101" t="s">
        <v>797</v>
      </c>
      <c r="OR45" s="83" t="e">
        <f>VLOOKUP(OR$1,'Existing Customers'!$A:$AA,9,FALSE)</f>
        <v>#N/A</v>
      </c>
      <c r="OS45" s="1663"/>
      <c r="OT45" s="1663"/>
      <c r="OU45" s="1663"/>
      <c r="OV45" s="1663"/>
      <c r="OW45" s="1663"/>
      <c r="OX45" s="1663"/>
      <c r="OY45" s="1663"/>
      <c r="OZ45" s="1663"/>
      <c r="PA45" s="1663"/>
      <c r="PB45" s="1663"/>
      <c r="PC45" s="1663"/>
      <c r="PD45" s="1663"/>
      <c r="PE45" s="1663"/>
      <c r="PF45" s="1663"/>
      <c r="PG45" s="1663"/>
      <c r="PH45" s="1663"/>
      <c r="PI45" s="1663"/>
      <c r="PJ45" s="1663"/>
      <c r="PK45" s="1663"/>
      <c r="PL45" s="1663"/>
      <c r="PM45" s="1663"/>
      <c r="PN45" s="101" t="s">
        <v>797</v>
      </c>
      <c r="PO45" s="83" t="e">
        <f>VLOOKUP(PO$1,'Existing Customers'!$A:$AA,9,FALSE)</f>
        <v>#N/A</v>
      </c>
      <c r="PP45" s="1663"/>
      <c r="PQ45" s="1663"/>
      <c r="PR45" s="1663"/>
      <c r="PS45" s="1663"/>
      <c r="PT45" s="1663"/>
      <c r="PU45" s="1663"/>
      <c r="PV45" s="1663"/>
      <c r="PW45" s="1663"/>
      <c r="PX45" s="1663"/>
      <c r="PY45" s="1663"/>
      <c r="PZ45" s="1663"/>
      <c r="QA45" s="1663"/>
      <c r="QB45" s="1663"/>
      <c r="QC45" s="1663"/>
      <c r="QD45" s="1663"/>
      <c r="QE45" s="1663"/>
      <c r="QF45" s="1663"/>
      <c r="QG45" s="1663"/>
      <c r="QH45" s="1663"/>
      <c r="QI45" s="1663"/>
      <c r="QJ45" s="1663"/>
      <c r="QK45" s="101" t="s">
        <v>797</v>
      </c>
      <c r="QL45" s="83" t="e">
        <f>VLOOKUP(QL$1,'Existing Customers'!$A:$AA,9,FALSE)</f>
        <v>#N/A</v>
      </c>
      <c r="QM45" s="1663"/>
      <c r="QN45" s="1663"/>
      <c r="QO45" s="1663"/>
      <c r="QP45" s="1663"/>
      <c r="QQ45" s="1663"/>
      <c r="QR45" s="1663"/>
      <c r="QS45" s="1663"/>
      <c r="QT45" s="1663"/>
      <c r="QU45" s="1663"/>
      <c r="QV45" s="1663"/>
      <c r="QW45" s="1663"/>
      <c r="QX45" s="1663"/>
      <c r="QY45" s="1663"/>
      <c r="QZ45" s="1663"/>
      <c r="RA45" s="1663"/>
      <c r="RB45" s="1663"/>
      <c r="RC45" s="1663"/>
      <c r="RD45" s="1663"/>
      <c r="RE45" s="1663"/>
      <c r="RF45" s="1663"/>
      <c r="RG45" s="1663"/>
      <c r="RH45" s="101" t="s">
        <v>797</v>
      </c>
      <c r="RI45" s="83" t="e">
        <f>VLOOKUP(RI$1,'Existing Customers'!$A:$AA,9,FALSE)</f>
        <v>#N/A</v>
      </c>
      <c r="RJ45" s="1663"/>
      <c r="RK45" s="1663"/>
      <c r="RL45" s="1663"/>
      <c r="RM45" s="1663"/>
      <c r="RN45" s="1663"/>
      <c r="RO45" s="1663"/>
      <c r="RP45" s="1663"/>
      <c r="RQ45" s="1663"/>
      <c r="RR45" s="1663"/>
      <c r="RS45" s="1663"/>
      <c r="RT45" s="1663"/>
      <c r="RU45" s="1663"/>
      <c r="RV45" s="1663"/>
      <c r="RW45" s="1663"/>
      <c r="RX45" s="1663"/>
      <c r="RY45" s="1663"/>
      <c r="RZ45" s="1663"/>
      <c r="SA45" s="1663"/>
      <c r="SB45" s="1663"/>
      <c r="SC45" s="1663"/>
      <c r="SD45" s="1663"/>
      <c r="SE45" s="101" t="s">
        <v>797</v>
      </c>
      <c r="SF45" s="83" t="e">
        <f>VLOOKUP(SF$1,'Existing Customers'!$A:$AA,9,FALSE)</f>
        <v>#N/A</v>
      </c>
      <c r="SG45" s="1663"/>
      <c r="SH45" s="1663"/>
      <c r="SI45" s="1663"/>
      <c r="SJ45" s="1663"/>
      <c r="SK45" s="1663"/>
      <c r="SL45" s="1663"/>
      <c r="SM45" s="1663"/>
      <c r="SN45" s="1663"/>
      <c r="SO45" s="1663"/>
      <c r="SP45" s="1663"/>
      <c r="SQ45" s="1663"/>
      <c r="SR45" s="1663"/>
      <c r="SS45" s="1663"/>
      <c r="ST45" s="1663"/>
      <c r="SU45" s="1663"/>
      <c r="SV45" s="1663"/>
      <c r="SW45" s="1663"/>
      <c r="SX45" s="1663"/>
      <c r="SY45" s="1663"/>
      <c r="SZ45" s="1663"/>
      <c r="TA45" s="1663"/>
      <c r="TB45" s="1663"/>
      <c r="TC45" s="1663"/>
      <c r="TD45" s="1663"/>
      <c r="TE45" s="1663"/>
      <c r="TF45" s="1663"/>
      <c r="TG45" s="1663"/>
      <c r="TH45" s="1663"/>
      <c r="TI45" s="1663"/>
      <c r="TJ45" s="1663"/>
      <c r="TK45" s="1663"/>
      <c r="TL45" s="1663"/>
      <c r="TM45" s="1663"/>
      <c r="TN45" s="1663"/>
      <c r="TO45" s="1663"/>
      <c r="TP45" s="1663"/>
      <c r="TQ45" s="1663"/>
      <c r="TR45" s="1663"/>
    </row>
    <row r="46" spans="1:538" x14ac:dyDescent="0.25">
      <c r="Q46" s="1465"/>
      <c r="R46" s="1479">
        <f t="shared" si="94"/>
        <v>1</v>
      </c>
      <c r="S46" s="1480" t="s">
        <v>115</v>
      </c>
      <c r="T46" s="1481">
        <f>COUNTIF('Variable Costs (Back)'!$C$15:$C$34,S46)</f>
        <v>0</v>
      </c>
      <c r="U46" s="1466"/>
      <c r="V46" s="1466"/>
      <c r="W46" s="1466"/>
      <c r="X46" s="1466"/>
      <c r="Y46" s="1466"/>
      <c r="Z46" s="1479">
        <f t="shared" si="95"/>
        <v>2</v>
      </c>
      <c r="AA46" s="1480"/>
      <c r="AB46" s="1481">
        <f t="shared" si="96"/>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63"/>
      <c r="BH46" s="1663"/>
      <c r="BI46" s="1663"/>
      <c r="BJ46" s="1663" t="s">
        <v>798</v>
      </c>
      <c r="BK46" s="1663" t="e">
        <f>VLOOKUP(BK$1,'Existing Customers'!$A:$AA,27,FALSE)</f>
        <v>#N/A</v>
      </c>
      <c r="BL46" s="1663"/>
      <c r="BM46" s="1663"/>
      <c r="BN46" s="1663"/>
      <c r="BO46" s="1663"/>
      <c r="BP46" s="1663"/>
      <c r="BQ46" s="1663"/>
      <c r="BR46" s="1663"/>
      <c r="BS46" s="1663"/>
      <c r="BT46" s="1663"/>
      <c r="BU46" s="1663"/>
      <c r="BV46" s="1663"/>
      <c r="BW46" s="1663"/>
      <c r="BX46" s="1663"/>
      <c r="BY46" s="1663"/>
      <c r="BZ46" s="1663"/>
      <c r="CA46" s="1663"/>
      <c r="CB46" s="1663"/>
      <c r="CC46" s="1663"/>
      <c r="CD46" s="1663"/>
      <c r="CE46" s="1663"/>
      <c r="CF46" s="1663"/>
      <c r="CG46" s="101" t="s">
        <v>798</v>
      </c>
      <c r="CH46" s="83" t="e">
        <f>VLOOKUP(CH$1,'Existing Customers'!$A:$AA,27,FALSE)</f>
        <v>#N/A</v>
      </c>
      <c r="CI46" s="1663"/>
      <c r="CJ46" s="1663"/>
      <c r="CK46" s="1663"/>
      <c r="CL46" s="1663"/>
      <c r="CM46" s="1663"/>
      <c r="CN46" s="1663"/>
      <c r="CO46" s="1663"/>
      <c r="CP46" s="1663"/>
      <c r="CQ46" s="1663"/>
      <c r="CR46" s="1663"/>
      <c r="CS46" s="1663"/>
      <c r="CT46" s="1663"/>
      <c r="CU46" s="1663"/>
      <c r="CV46" s="1663"/>
      <c r="CW46" s="1663"/>
      <c r="CX46" s="1663"/>
      <c r="CY46" s="1663"/>
      <c r="CZ46" s="1663"/>
      <c r="DA46" s="1663"/>
      <c r="DB46" s="1663"/>
      <c r="DC46" s="1663"/>
      <c r="DD46" s="101" t="s">
        <v>798</v>
      </c>
      <c r="DE46" s="83" t="e">
        <f>VLOOKUP(DE$1,'Existing Customers'!$A:$AA,27,FALSE)</f>
        <v>#N/A</v>
      </c>
      <c r="DF46" s="1663"/>
      <c r="DG46" s="1663"/>
      <c r="DH46" s="1663"/>
      <c r="DI46" s="1663"/>
      <c r="DJ46" s="1663"/>
      <c r="DK46" s="1663"/>
      <c r="DL46" s="1663"/>
      <c r="DM46" s="1663"/>
      <c r="DN46" s="1663"/>
      <c r="DO46" s="1663"/>
      <c r="DP46" s="1663"/>
      <c r="DQ46" s="1663"/>
      <c r="DR46" s="1663"/>
      <c r="DS46" s="1663"/>
      <c r="DT46" s="1663"/>
      <c r="DU46" s="1663"/>
      <c r="DV46" s="1663"/>
      <c r="DW46" s="1663"/>
      <c r="DX46" s="1663"/>
      <c r="DY46" s="1663"/>
      <c r="DZ46" s="1663"/>
      <c r="EA46" s="101" t="s">
        <v>798</v>
      </c>
      <c r="EB46" s="83" t="e">
        <f>VLOOKUP(EB$1,'Existing Customers'!$A:$AA,27,FALSE)</f>
        <v>#N/A</v>
      </c>
      <c r="EC46" s="1663"/>
      <c r="ED46" s="1663"/>
      <c r="EE46" s="1663"/>
      <c r="EF46" s="1663"/>
      <c r="EG46" s="1663"/>
      <c r="EH46" s="1663"/>
      <c r="EI46" s="1663"/>
      <c r="EJ46" s="1663"/>
      <c r="EK46" s="1663"/>
      <c r="EL46" s="1663"/>
      <c r="EM46" s="1663"/>
      <c r="EN46" s="1663"/>
      <c r="EO46" s="1663"/>
      <c r="EP46" s="1663"/>
      <c r="EQ46" s="1663"/>
      <c r="ER46" s="1663"/>
      <c r="ES46" s="1663"/>
      <c r="ET46" s="1663"/>
      <c r="EU46" s="1663"/>
      <c r="EV46" s="1663"/>
      <c r="EW46" s="1663"/>
      <c r="EX46" s="101" t="s">
        <v>798</v>
      </c>
      <c r="EY46" s="83" t="e">
        <f>VLOOKUP(EY$1,'Existing Customers'!$A:$AA,27,FALSE)</f>
        <v>#N/A</v>
      </c>
      <c r="EZ46" s="1663"/>
      <c r="FA46" s="1663"/>
      <c r="FB46" s="1663"/>
      <c r="FC46" s="1663"/>
      <c r="FD46" s="1663"/>
      <c r="FE46" s="1663"/>
      <c r="FF46" s="1663"/>
      <c r="FG46" s="1663"/>
      <c r="FH46" s="1663"/>
      <c r="FI46" s="1663"/>
      <c r="FJ46" s="1663"/>
      <c r="FK46" s="1663"/>
      <c r="FL46" s="1663"/>
      <c r="FM46" s="1663"/>
      <c r="FN46" s="1663"/>
      <c r="FO46" s="1663"/>
      <c r="FP46" s="1663"/>
      <c r="FQ46" s="1663"/>
      <c r="FR46" s="1663"/>
      <c r="FS46" s="1663"/>
      <c r="FT46" s="1663"/>
      <c r="FU46" s="101" t="s">
        <v>798</v>
      </c>
      <c r="FV46" s="83" t="e">
        <f>VLOOKUP(FV$1,'Existing Customers'!$A:$AA,27,FALSE)</f>
        <v>#N/A</v>
      </c>
      <c r="FW46" s="1663"/>
      <c r="FX46" s="1663"/>
      <c r="FY46" s="1663"/>
      <c r="FZ46" s="1663"/>
      <c r="GA46" s="1663"/>
      <c r="GB46" s="1663"/>
      <c r="GC46" s="1663"/>
      <c r="GD46" s="1663"/>
      <c r="GE46" s="1663"/>
      <c r="GF46" s="1663"/>
      <c r="GG46" s="1663"/>
      <c r="GH46" s="1663"/>
      <c r="GI46" s="1663"/>
      <c r="GJ46" s="1663"/>
      <c r="GK46" s="1663"/>
      <c r="GL46" s="1663"/>
      <c r="GM46" s="1663"/>
      <c r="GN46" s="1663"/>
      <c r="GO46" s="1663"/>
      <c r="GP46" s="1663"/>
      <c r="GQ46" s="1663"/>
      <c r="GR46" s="101" t="s">
        <v>798</v>
      </c>
      <c r="GS46" s="83" t="e">
        <f>VLOOKUP(GS$1,'Existing Customers'!$A:$AA,27,FALSE)</f>
        <v>#N/A</v>
      </c>
      <c r="GT46" s="1663"/>
      <c r="GU46" s="1663"/>
      <c r="GV46" s="1663"/>
      <c r="GW46" s="1663"/>
      <c r="GX46" s="1663"/>
      <c r="GY46" s="1663"/>
      <c r="GZ46" s="1663"/>
      <c r="HA46" s="1663"/>
      <c r="HB46" s="1663"/>
      <c r="HC46" s="1663"/>
      <c r="HD46" s="1663"/>
      <c r="HE46" s="1663"/>
      <c r="HF46" s="1663"/>
      <c r="HG46" s="1663"/>
      <c r="HH46" s="1663"/>
      <c r="HI46" s="1663"/>
      <c r="HJ46" s="1663"/>
      <c r="HK46" s="1663"/>
      <c r="HL46" s="1663"/>
      <c r="HM46" s="1663"/>
      <c r="HN46" s="1663"/>
      <c r="HO46" s="101" t="s">
        <v>798</v>
      </c>
      <c r="HP46" s="83" t="e">
        <f>VLOOKUP(HP$1,'Existing Customers'!$A:$AA,27,FALSE)</f>
        <v>#N/A</v>
      </c>
      <c r="HQ46" s="1663"/>
      <c r="HR46" s="1663"/>
      <c r="HS46" s="1663"/>
      <c r="HT46" s="1663"/>
      <c r="HU46" s="1663"/>
      <c r="HV46" s="1663"/>
      <c r="HW46" s="1663"/>
      <c r="HX46" s="1663"/>
      <c r="HY46" s="1663"/>
      <c r="HZ46" s="1663"/>
      <c r="IA46" s="1663"/>
      <c r="IB46" s="1663"/>
      <c r="IC46" s="1663"/>
      <c r="ID46" s="1663"/>
      <c r="IE46" s="1663"/>
      <c r="IF46" s="1663"/>
      <c r="IG46" s="1663"/>
      <c r="IH46" s="1663"/>
      <c r="II46" s="1663"/>
      <c r="IJ46" s="1663"/>
      <c r="IK46" s="1663"/>
      <c r="IL46" s="101" t="s">
        <v>798</v>
      </c>
      <c r="IM46" s="83" t="e">
        <f>VLOOKUP(IM$1,'Existing Customers'!$A:$AA,27,FALSE)</f>
        <v>#N/A</v>
      </c>
      <c r="IN46" s="1663"/>
      <c r="IO46" s="1663"/>
      <c r="IP46" s="1663"/>
      <c r="IQ46" s="1663"/>
      <c r="IR46" s="1663"/>
      <c r="IS46" s="1663"/>
      <c r="IT46" s="1663"/>
      <c r="IU46" s="1663"/>
      <c r="IV46" s="1663"/>
      <c r="IW46" s="1663"/>
      <c r="IX46" s="1663"/>
      <c r="IY46" s="1663"/>
      <c r="IZ46" s="1663"/>
      <c r="JA46" s="1663"/>
      <c r="JB46" s="1663"/>
      <c r="JC46" s="1663"/>
      <c r="JD46" s="1663"/>
      <c r="JE46" s="1663"/>
      <c r="JF46" s="1663"/>
      <c r="JG46" s="1663"/>
      <c r="JH46" s="1663"/>
      <c r="JI46" s="101" t="s">
        <v>798</v>
      </c>
      <c r="JJ46" s="83" t="e">
        <f>VLOOKUP(JJ$1,'Existing Customers'!$A:$AA,27,FALSE)</f>
        <v>#N/A</v>
      </c>
      <c r="JK46" s="1663"/>
      <c r="JL46" s="1663"/>
      <c r="JM46" s="1663"/>
      <c r="JN46" s="1663"/>
      <c r="JO46" s="1663"/>
      <c r="JP46" s="1663"/>
      <c r="JQ46" s="1663"/>
      <c r="JR46" s="1663"/>
      <c r="JS46" s="1663"/>
      <c r="JT46" s="1663"/>
      <c r="JU46" s="1663"/>
      <c r="JV46" s="1663"/>
      <c r="JW46" s="1663"/>
      <c r="JX46" s="1663"/>
      <c r="JY46" s="1663"/>
      <c r="JZ46" s="1663"/>
      <c r="KA46" s="1663"/>
      <c r="KB46" s="1663"/>
      <c r="KC46" s="1663"/>
      <c r="KD46" s="1663"/>
      <c r="KE46" s="1663"/>
      <c r="KF46" s="101" t="s">
        <v>798</v>
      </c>
      <c r="KG46" s="83" t="e">
        <f>VLOOKUP(KG$1,'Existing Customers'!$A:$AA,27,FALSE)</f>
        <v>#N/A</v>
      </c>
      <c r="KH46" s="1663"/>
      <c r="KI46" s="1663"/>
      <c r="KJ46" s="1663"/>
      <c r="KK46" s="1663"/>
      <c r="KL46" s="1663"/>
      <c r="KM46" s="1663"/>
      <c r="KN46" s="1663"/>
      <c r="KO46" s="1663"/>
      <c r="KP46" s="1663"/>
      <c r="KQ46" s="1663"/>
      <c r="KR46" s="1663"/>
      <c r="KS46" s="1663"/>
      <c r="KT46" s="1663"/>
      <c r="KU46" s="1663"/>
      <c r="KV46" s="1663"/>
      <c r="KW46" s="1663"/>
      <c r="KX46" s="1663"/>
      <c r="KY46" s="1663"/>
      <c r="KZ46" s="1663"/>
      <c r="LA46" s="1663"/>
      <c r="LB46" s="1663"/>
      <c r="LC46" s="101" t="s">
        <v>798</v>
      </c>
      <c r="LD46" s="83" t="e">
        <f>VLOOKUP(LD$1,'Existing Customers'!$A:$AA,27,FALSE)</f>
        <v>#N/A</v>
      </c>
      <c r="LE46" s="1663"/>
      <c r="LF46" s="1663"/>
      <c r="LG46" s="1663"/>
      <c r="LH46" s="1663"/>
      <c r="LI46" s="1663"/>
      <c r="LJ46" s="1663"/>
      <c r="LK46" s="1663"/>
      <c r="LL46" s="1663"/>
      <c r="LM46" s="1663"/>
      <c r="LN46" s="1663"/>
      <c r="LO46" s="1663"/>
      <c r="LP46" s="1663"/>
      <c r="LQ46" s="1663"/>
      <c r="LR46" s="1663"/>
      <c r="LS46" s="1663"/>
      <c r="LT46" s="1663"/>
      <c r="LU46" s="1663"/>
      <c r="LV46" s="1663"/>
      <c r="LW46" s="1663"/>
      <c r="LX46" s="1663"/>
      <c r="LY46" s="1663"/>
      <c r="LZ46" s="101" t="s">
        <v>798</v>
      </c>
      <c r="MA46" s="83" t="e">
        <f>VLOOKUP(MA$1,'Existing Customers'!$A:$AA,27,FALSE)</f>
        <v>#N/A</v>
      </c>
      <c r="MB46" s="1663"/>
      <c r="MC46" s="1663"/>
      <c r="MD46" s="1663"/>
      <c r="ME46" s="1663"/>
      <c r="MF46" s="1663"/>
      <c r="MG46" s="1663"/>
      <c r="MH46" s="1663"/>
      <c r="MI46" s="1663"/>
      <c r="MJ46" s="1663"/>
      <c r="MK46" s="1663"/>
      <c r="ML46" s="1663"/>
      <c r="MM46" s="1663"/>
      <c r="MN46" s="1663"/>
      <c r="MO46" s="1663"/>
      <c r="MP46" s="1663"/>
      <c r="MQ46" s="1663"/>
      <c r="MR46" s="1663"/>
      <c r="MS46" s="1663"/>
      <c r="MT46" s="1663"/>
      <c r="MU46" s="1663"/>
      <c r="MV46" s="1663"/>
      <c r="MW46" s="101" t="s">
        <v>798</v>
      </c>
      <c r="MX46" s="83" t="e">
        <f>VLOOKUP(MX$1,'Existing Customers'!$A:$AA,27,FALSE)</f>
        <v>#N/A</v>
      </c>
      <c r="MY46" s="1663"/>
      <c r="MZ46" s="1663"/>
      <c r="NA46" s="1663"/>
      <c r="NB46" s="1663"/>
      <c r="NC46" s="1663"/>
      <c r="ND46" s="1663"/>
      <c r="NE46" s="1663"/>
      <c r="NF46" s="1663"/>
      <c r="NG46" s="1663"/>
      <c r="NH46" s="1663"/>
      <c r="NI46" s="1663"/>
      <c r="NJ46" s="1663"/>
      <c r="NK46" s="1663"/>
      <c r="NL46" s="1663"/>
      <c r="NM46" s="1663"/>
      <c r="NN46" s="1663"/>
      <c r="NO46" s="1663"/>
      <c r="NP46" s="1663"/>
      <c r="NQ46" s="1663"/>
      <c r="NR46" s="1663"/>
      <c r="NS46" s="1663"/>
      <c r="NT46" s="101" t="s">
        <v>798</v>
      </c>
      <c r="NU46" s="83" t="e">
        <f>VLOOKUP(NU$1,'Existing Customers'!$A:$AA,27,FALSE)</f>
        <v>#N/A</v>
      </c>
      <c r="NV46" s="1663"/>
      <c r="NW46" s="1663"/>
      <c r="NX46" s="1663"/>
      <c r="NY46" s="1663"/>
      <c r="NZ46" s="1663"/>
      <c r="OA46" s="1663"/>
      <c r="OB46" s="1663"/>
      <c r="OC46" s="1663"/>
      <c r="OD46" s="1663"/>
      <c r="OE46" s="1663"/>
      <c r="OF46" s="1663"/>
      <c r="OG46" s="1663"/>
      <c r="OH46" s="1663"/>
      <c r="OI46" s="1663"/>
      <c r="OJ46" s="1663"/>
      <c r="OK46" s="1663"/>
      <c r="OL46" s="1663"/>
      <c r="OM46" s="1663"/>
      <c r="ON46" s="1663"/>
      <c r="OO46" s="1663"/>
      <c r="OP46" s="1663"/>
      <c r="OQ46" s="101" t="s">
        <v>798</v>
      </c>
      <c r="OR46" s="83" t="e">
        <f>VLOOKUP(OR$1,'Existing Customers'!$A:$AA,27,FALSE)</f>
        <v>#N/A</v>
      </c>
      <c r="OS46" s="1663"/>
      <c r="OT46" s="1663"/>
      <c r="OU46" s="1663"/>
      <c r="OV46" s="1663"/>
      <c r="OW46" s="1663"/>
      <c r="OX46" s="1663"/>
      <c r="OY46" s="1663"/>
      <c r="OZ46" s="1663"/>
      <c r="PA46" s="1663"/>
      <c r="PB46" s="1663"/>
      <c r="PC46" s="1663"/>
      <c r="PD46" s="1663"/>
      <c r="PE46" s="1663"/>
      <c r="PF46" s="1663"/>
      <c r="PG46" s="1663"/>
      <c r="PH46" s="1663"/>
      <c r="PI46" s="1663"/>
      <c r="PJ46" s="1663"/>
      <c r="PK46" s="1663"/>
      <c r="PL46" s="1663"/>
      <c r="PM46" s="1663"/>
      <c r="PN46" s="101" t="s">
        <v>798</v>
      </c>
      <c r="PO46" s="83" t="e">
        <f>VLOOKUP(PO$1,'Existing Customers'!$A:$AA,27,FALSE)</f>
        <v>#N/A</v>
      </c>
      <c r="PP46" s="1663"/>
      <c r="PQ46" s="1663"/>
      <c r="PR46" s="1663"/>
      <c r="PS46" s="1663"/>
      <c r="PT46" s="1663"/>
      <c r="PU46" s="1663"/>
      <c r="PV46" s="1663"/>
      <c r="PW46" s="1663"/>
      <c r="PX46" s="1663"/>
      <c r="PY46" s="1663"/>
      <c r="PZ46" s="1663"/>
      <c r="QA46" s="1663"/>
      <c r="QB46" s="1663"/>
      <c r="QC46" s="1663"/>
      <c r="QD46" s="1663"/>
      <c r="QE46" s="1663"/>
      <c r="QF46" s="1663"/>
      <c r="QG46" s="1663"/>
      <c r="QH46" s="1663"/>
      <c r="QI46" s="1663"/>
      <c r="QJ46" s="1663"/>
      <c r="QK46" s="101" t="s">
        <v>798</v>
      </c>
      <c r="QL46" s="83" t="e">
        <f>VLOOKUP(QL$1,'Existing Customers'!$A:$AA,27,FALSE)</f>
        <v>#N/A</v>
      </c>
      <c r="QM46" s="1663"/>
      <c r="QN46" s="1663"/>
      <c r="QO46" s="1663"/>
      <c r="QP46" s="1663"/>
      <c r="QQ46" s="1663"/>
      <c r="QR46" s="1663"/>
      <c r="QS46" s="1663"/>
      <c r="QT46" s="1663"/>
      <c r="QU46" s="1663"/>
      <c r="QV46" s="1663"/>
      <c r="QW46" s="1663"/>
      <c r="QX46" s="1663"/>
      <c r="QY46" s="1663"/>
      <c r="QZ46" s="1663"/>
      <c r="RA46" s="1663"/>
      <c r="RB46" s="1663"/>
      <c r="RC46" s="1663"/>
      <c r="RD46" s="1663"/>
      <c r="RE46" s="1663"/>
      <c r="RF46" s="1663"/>
      <c r="RG46" s="1663"/>
      <c r="RH46" s="101" t="s">
        <v>798</v>
      </c>
      <c r="RI46" s="83" t="e">
        <f>VLOOKUP(RI$1,'Existing Customers'!$A:$AA,27,FALSE)</f>
        <v>#N/A</v>
      </c>
      <c r="RJ46" s="1663"/>
      <c r="RK46" s="1663"/>
      <c r="RL46" s="1663"/>
      <c r="RM46" s="1663"/>
      <c r="RN46" s="1663"/>
      <c r="RO46" s="1663"/>
      <c r="RP46" s="1663"/>
      <c r="RQ46" s="1663"/>
      <c r="RR46" s="1663"/>
      <c r="RS46" s="1663"/>
      <c r="RT46" s="1663"/>
      <c r="RU46" s="1663"/>
      <c r="RV46" s="1663"/>
      <c r="RW46" s="1663"/>
      <c r="RX46" s="1663"/>
      <c r="RY46" s="1663"/>
      <c r="RZ46" s="1663"/>
      <c r="SA46" s="1663"/>
      <c r="SB46" s="1663"/>
      <c r="SC46" s="1663"/>
      <c r="SD46" s="1663"/>
      <c r="SE46" s="101" t="s">
        <v>798</v>
      </c>
      <c r="SF46" s="83" t="e">
        <f>VLOOKUP(SF$1,'Existing Customers'!$A:$AA,27,FALSE)</f>
        <v>#N/A</v>
      </c>
      <c r="SG46" s="1663"/>
      <c r="SH46" s="1663"/>
      <c r="SI46" s="1663"/>
      <c r="SJ46" s="1663"/>
      <c r="SK46" s="1663"/>
      <c r="SL46" s="1663"/>
      <c r="SM46" s="1663"/>
      <c r="SN46" s="1663"/>
      <c r="SO46" s="1663"/>
      <c r="SP46" s="1663"/>
      <c r="SQ46" s="1663"/>
      <c r="SR46" s="1663"/>
      <c r="SS46" s="1663"/>
      <c r="ST46" s="1663"/>
      <c r="SU46" s="1663"/>
      <c r="SV46" s="1663"/>
      <c r="SW46" s="1663"/>
      <c r="SX46" s="1663"/>
      <c r="SY46" s="1663"/>
      <c r="SZ46" s="1663"/>
      <c r="TA46" s="1663"/>
      <c r="TB46" s="1663"/>
      <c r="TC46" s="1663"/>
      <c r="TD46" s="1663"/>
      <c r="TE46" s="1663"/>
      <c r="TF46" s="1663"/>
      <c r="TG46" s="1663"/>
      <c r="TH46" s="1663"/>
      <c r="TI46" s="1663"/>
      <c r="TJ46" s="1663"/>
      <c r="TK46" s="1663"/>
      <c r="TL46" s="1663"/>
      <c r="TM46" s="1663"/>
      <c r="TN46" s="1663"/>
      <c r="TO46" s="1663"/>
      <c r="TP46" s="1663"/>
      <c r="TQ46" s="1663"/>
      <c r="TR46" s="1663"/>
    </row>
    <row r="47" spans="1:538" x14ac:dyDescent="0.25">
      <c r="Q47" s="1465"/>
      <c r="R47" s="1479">
        <f t="shared" si="94"/>
        <v>1</v>
      </c>
      <c r="S47" s="1480" t="s">
        <v>117</v>
      </c>
      <c r="T47" s="1481">
        <f>COUNTIF('Variable Costs (Back)'!$C$15:$C$34,S47)</f>
        <v>0</v>
      </c>
      <c r="U47" s="1466"/>
      <c r="V47" s="1466"/>
      <c r="W47" s="1466"/>
      <c r="X47" s="1466"/>
      <c r="Y47" s="1466"/>
      <c r="Z47" s="1479">
        <f t="shared" si="95"/>
        <v>2</v>
      </c>
      <c r="AA47" s="1480"/>
      <c r="AB47" s="1481">
        <f t="shared" si="96"/>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63"/>
      <c r="BH47" s="1663"/>
      <c r="BI47" s="1663"/>
      <c r="BJ47" s="1663" t="s">
        <v>918</v>
      </c>
      <c r="BK47" s="1663" t="e">
        <f>VLOOKUP(BK$1,'Existing Customers'!$A:$AA,4,FALSE)</f>
        <v>#N/A</v>
      </c>
      <c r="BL47" s="1663"/>
      <c r="BM47" s="1663"/>
      <c r="BN47" s="1663"/>
      <c r="BO47" s="1663"/>
      <c r="BP47" s="1663"/>
      <c r="BQ47" s="1663"/>
      <c r="BR47" s="1663"/>
      <c r="BS47" s="1663"/>
      <c r="BT47" s="1663"/>
      <c r="BU47" s="1663"/>
      <c r="BV47" s="1663"/>
      <c r="BW47" s="1663"/>
      <c r="BX47" s="1663"/>
      <c r="BY47" s="1663"/>
      <c r="BZ47" s="1663"/>
      <c r="CA47" s="1663"/>
      <c r="CB47" s="1663"/>
      <c r="CC47" s="1663"/>
      <c r="CD47" s="1663"/>
      <c r="CE47" s="1663"/>
      <c r="CF47" s="1663"/>
      <c r="CG47" s="101" t="s">
        <v>107</v>
      </c>
      <c r="CH47" s="83" t="e">
        <f>VLOOKUP(CH$1,'Existing Customers'!$A:$AA,4,FALSE)</f>
        <v>#N/A</v>
      </c>
      <c r="CI47" s="1663"/>
      <c r="CJ47" s="1663"/>
      <c r="CK47" s="1663"/>
      <c r="CL47" s="1663"/>
      <c r="CM47" s="1663"/>
      <c r="CN47" s="1663"/>
      <c r="CO47" s="1663"/>
      <c r="CP47" s="1663"/>
      <c r="CQ47" s="1663"/>
      <c r="CR47" s="1663"/>
      <c r="CS47" s="1663"/>
      <c r="CT47" s="1663"/>
      <c r="CU47" s="1663"/>
      <c r="CV47" s="1663"/>
      <c r="CW47" s="1663"/>
      <c r="CX47" s="1663"/>
      <c r="CY47" s="1663"/>
      <c r="CZ47" s="1663"/>
      <c r="DA47" s="1663"/>
      <c r="DB47" s="1663"/>
      <c r="DC47" s="1663"/>
      <c r="DD47" s="101" t="s">
        <v>107</v>
      </c>
      <c r="DE47" s="83" t="e">
        <f>VLOOKUP(DE$1,'Existing Customers'!$A:$AA,4,FALSE)</f>
        <v>#N/A</v>
      </c>
      <c r="DF47" s="1663"/>
      <c r="DG47" s="1663"/>
      <c r="DH47" s="1663"/>
      <c r="DI47" s="1663"/>
      <c r="DJ47" s="1663"/>
      <c r="DK47" s="1663"/>
      <c r="DL47" s="1663"/>
      <c r="DM47" s="1663"/>
      <c r="DN47" s="1663"/>
      <c r="DO47" s="1663"/>
      <c r="DP47" s="1663"/>
      <c r="DQ47" s="1663"/>
      <c r="DR47" s="1663"/>
      <c r="DS47" s="1663"/>
      <c r="DT47" s="1663"/>
      <c r="DU47" s="1663"/>
      <c r="DV47" s="1663"/>
      <c r="DW47" s="1663"/>
      <c r="DX47" s="1663"/>
      <c r="DY47" s="1663"/>
      <c r="DZ47" s="1663"/>
      <c r="EA47" s="101" t="s">
        <v>107</v>
      </c>
      <c r="EB47" s="83" t="e">
        <f>VLOOKUP(EB$1,'Existing Customers'!$A:$AA,4,FALSE)</f>
        <v>#N/A</v>
      </c>
      <c r="EC47" s="1663"/>
      <c r="ED47" s="1663"/>
      <c r="EE47" s="1663"/>
      <c r="EF47" s="1663"/>
      <c r="EG47" s="1663"/>
      <c r="EH47" s="1663"/>
      <c r="EI47" s="1663"/>
      <c r="EJ47" s="1663"/>
      <c r="EK47" s="1663"/>
      <c r="EL47" s="1663"/>
      <c r="EM47" s="1663"/>
      <c r="EN47" s="1663"/>
      <c r="EO47" s="1663"/>
      <c r="EP47" s="1663"/>
      <c r="EQ47" s="1663"/>
      <c r="ER47" s="1663"/>
      <c r="ES47" s="1663"/>
      <c r="ET47" s="1663"/>
      <c r="EU47" s="1663"/>
      <c r="EV47" s="1663"/>
      <c r="EW47" s="1663"/>
      <c r="EX47" s="101" t="s">
        <v>107</v>
      </c>
      <c r="EY47" s="83" t="e">
        <f>VLOOKUP(EY$1,'Existing Customers'!$A:$AA,4,FALSE)</f>
        <v>#N/A</v>
      </c>
      <c r="EZ47" s="1663"/>
      <c r="FA47" s="1663"/>
      <c r="FB47" s="1663"/>
      <c r="FC47" s="1663"/>
      <c r="FD47" s="1663"/>
      <c r="FE47" s="1663"/>
      <c r="FF47" s="1663"/>
      <c r="FG47" s="1663"/>
      <c r="FH47" s="1663"/>
      <c r="FI47" s="1663"/>
      <c r="FJ47" s="1663"/>
      <c r="FK47" s="1663"/>
      <c r="FL47" s="1663"/>
      <c r="FM47" s="1663"/>
      <c r="FN47" s="1663"/>
      <c r="FO47" s="1663"/>
      <c r="FP47" s="1663"/>
      <c r="FQ47" s="1663"/>
      <c r="FR47" s="1663"/>
      <c r="FS47" s="1663"/>
      <c r="FT47" s="1663"/>
      <c r="FU47" s="101" t="s">
        <v>107</v>
      </c>
      <c r="FV47" s="83" t="e">
        <f>VLOOKUP(FV$1,'Existing Customers'!$A:$AA,4,FALSE)</f>
        <v>#N/A</v>
      </c>
      <c r="FW47" s="1663"/>
      <c r="FX47" s="1663"/>
      <c r="FY47" s="1663"/>
      <c r="FZ47" s="1663"/>
      <c r="GA47" s="1663"/>
      <c r="GB47" s="1663"/>
      <c r="GC47" s="1663"/>
      <c r="GD47" s="1663"/>
      <c r="GE47" s="1663"/>
      <c r="GF47" s="1663"/>
      <c r="GG47" s="1663"/>
      <c r="GH47" s="1663"/>
      <c r="GI47" s="1663"/>
      <c r="GJ47" s="1663"/>
      <c r="GK47" s="1663"/>
      <c r="GL47" s="1663"/>
      <c r="GM47" s="1663"/>
      <c r="GN47" s="1663"/>
      <c r="GO47" s="1663"/>
      <c r="GP47" s="1663"/>
      <c r="GQ47" s="1663"/>
      <c r="GR47" s="101" t="s">
        <v>107</v>
      </c>
      <c r="GS47" s="83" t="e">
        <f>VLOOKUP(GS$1,'Existing Customers'!$A:$AA,4,FALSE)</f>
        <v>#N/A</v>
      </c>
      <c r="GT47" s="1663"/>
      <c r="GU47" s="1663"/>
      <c r="GV47" s="1663"/>
      <c r="GW47" s="1663"/>
      <c r="GX47" s="1663"/>
      <c r="GY47" s="1663"/>
      <c r="GZ47" s="1663"/>
      <c r="HA47" s="1663"/>
      <c r="HB47" s="1663"/>
      <c r="HC47" s="1663"/>
      <c r="HD47" s="1663"/>
      <c r="HE47" s="1663"/>
      <c r="HF47" s="1663"/>
      <c r="HG47" s="1663"/>
      <c r="HH47" s="1663"/>
      <c r="HI47" s="1663"/>
      <c r="HJ47" s="1663"/>
      <c r="HK47" s="1663"/>
      <c r="HL47" s="1663"/>
      <c r="HM47" s="1663"/>
      <c r="HN47" s="1663"/>
      <c r="HO47" s="101" t="s">
        <v>107</v>
      </c>
      <c r="HP47" s="83" t="e">
        <f>VLOOKUP(HP$1,'Existing Customers'!$A:$AA,4,FALSE)</f>
        <v>#N/A</v>
      </c>
      <c r="HQ47" s="1663"/>
      <c r="HR47" s="1663"/>
      <c r="HS47" s="1663"/>
      <c r="HT47" s="1663"/>
      <c r="HU47" s="1663"/>
      <c r="HV47" s="1663"/>
      <c r="HW47" s="1663"/>
      <c r="HX47" s="1663"/>
      <c r="HY47" s="1663"/>
      <c r="HZ47" s="1663"/>
      <c r="IA47" s="1663"/>
      <c r="IB47" s="1663"/>
      <c r="IC47" s="1663"/>
      <c r="ID47" s="1663"/>
      <c r="IE47" s="1663"/>
      <c r="IF47" s="1663"/>
      <c r="IG47" s="1663"/>
      <c r="IH47" s="1663"/>
      <c r="II47" s="1663"/>
      <c r="IJ47" s="1663"/>
      <c r="IK47" s="1663"/>
      <c r="IL47" s="101" t="s">
        <v>107</v>
      </c>
      <c r="IM47" s="83" t="e">
        <f>VLOOKUP(IM$1,'Existing Customers'!$A:$AA,4,FALSE)</f>
        <v>#N/A</v>
      </c>
      <c r="IN47" s="1663"/>
      <c r="IO47" s="1663"/>
      <c r="IP47" s="1663"/>
      <c r="IQ47" s="1663"/>
      <c r="IR47" s="1663"/>
      <c r="IS47" s="1663"/>
      <c r="IT47" s="1663"/>
      <c r="IU47" s="1663"/>
      <c r="IV47" s="1663"/>
      <c r="IW47" s="1663"/>
      <c r="IX47" s="1663"/>
      <c r="IY47" s="1663"/>
      <c r="IZ47" s="1663"/>
      <c r="JA47" s="1663"/>
      <c r="JB47" s="1663"/>
      <c r="JC47" s="1663"/>
      <c r="JD47" s="1663"/>
      <c r="JE47" s="1663"/>
      <c r="JF47" s="1663"/>
      <c r="JG47" s="1663"/>
      <c r="JH47" s="1663"/>
      <c r="JI47" s="101" t="s">
        <v>107</v>
      </c>
      <c r="JJ47" s="83" t="e">
        <f>VLOOKUP(JJ$1,'Existing Customers'!$A:$AA,4,FALSE)</f>
        <v>#N/A</v>
      </c>
      <c r="JK47" s="1663"/>
      <c r="JL47" s="1663"/>
      <c r="JM47" s="1663"/>
      <c r="JN47" s="1663"/>
      <c r="JO47" s="1663"/>
      <c r="JP47" s="1663"/>
      <c r="JQ47" s="1663"/>
      <c r="JR47" s="1663"/>
      <c r="JS47" s="1663"/>
      <c r="JT47" s="1663"/>
      <c r="JU47" s="1663"/>
      <c r="JV47" s="1663"/>
      <c r="JW47" s="1663"/>
      <c r="JX47" s="1663"/>
      <c r="JY47" s="1663"/>
      <c r="JZ47" s="1663"/>
      <c r="KA47" s="1663"/>
      <c r="KB47" s="1663"/>
      <c r="KC47" s="1663"/>
      <c r="KD47" s="1663"/>
      <c r="KE47" s="1663"/>
      <c r="KF47" s="101" t="s">
        <v>107</v>
      </c>
      <c r="KG47" s="83" t="e">
        <f>VLOOKUP(KG$1,'Existing Customers'!$A:$AA,4,FALSE)</f>
        <v>#N/A</v>
      </c>
      <c r="KH47" s="1663"/>
      <c r="KI47" s="1663"/>
      <c r="KJ47" s="1663"/>
      <c r="KK47" s="1663"/>
      <c r="KL47" s="1663"/>
      <c r="KM47" s="1663"/>
      <c r="KN47" s="1663"/>
      <c r="KO47" s="1663"/>
      <c r="KP47" s="1663"/>
      <c r="KQ47" s="1663"/>
      <c r="KR47" s="1663"/>
      <c r="KS47" s="1663"/>
      <c r="KT47" s="1663"/>
      <c r="KU47" s="1663"/>
      <c r="KV47" s="1663"/>
      <c r="KW47" s="1663"/>
      <c r="KX47" s="1663"/>
      <c r="KY47" s="1663"/>
      <c r="KZ47" s="1663"/>
      <c r="LA47" s="1663"/>
      <c r="LB47" s="1663"/>
      <c r="LC47" s="101" t="s">
        <v>107</v>
      </c>
      <c r="LD47" s="83" t="e">
        <f>VLOOKUP(LD$1,'Existing Customers'!$A:$AA,4,FALSE)</f>
        <v>#N/A</v>
      </c>
      <c r="LE47" s="1663"/>
      <c r="LF47" s="1663"/>
      <c r="LG47" s="1663"/>
      <c r="LH47" s="1663"/>
      <c r="LI47" s="1663"/>
      <c r="LJ47" s="1663"/>
      <c r="LK47" s="1663"/>
      <c r="LL47" s="1663"/>
      <c r="LM47" s="1663"/>
      <c r="LN47" s="1663"/>
      <c r="LO47" s="1663"/>
      <c r="LP47" s="1663"/>
      <c r="LQ47" s="1663"/>
      <c r="LR47" s="1663"/>
      <c r="LS47" s="1663"/>
      <c r="LT47" s="1663"/>
      <c r="LU47" s="1663"/>
      <c r="LV47" s="1663"/>
      <c r="LW47" s="1663"/>
      <c r="LX47" s="1663"/>
      <c r="LY47" s="1663"/>
      <c r="LZ47" s="101" t="s">
        <v>107</v>
      </c>
      <c r="MA47" s="83" t="e">
        <f>VLOOKUP(MA$1,'Existing Customers'!$A:$AA,4,FALSE)</f>
        <v>#N/A</v>
      </c>
      <c r="MB47" s="1663"/>
      <c r="MC47" s="1663"/>
      <c r="MD47" s="1663"/>
      <c r="ME47" s="1663"/>
      <c r="MF47" s="1663"/>
      <c r="MG47" s="1663"/>
      <c r="MH47" s="1663"/>
      <c r="MI47" s="1663"/>
      <c r="MJ47" s="1663"/>
      <c r="MK47" s="1663"/>
      <c r="ML47" s="1663"/>
      <c r="MM47" s="1663"/>
      <c r="MN47" s="1663"/>
      <c r="MO47" s="1663"/>
      <c r="MP47" s="1663"/>
      <c r="MQ47" s="1663"/>
      <c r="MR47" s="1663"/>
      <c r="MS47" s="1663"/>
      <c r="MT47" s="1663"/>
      <c r="MU47" s="1663"/>
      <c r="MV47" s="1663"/>
      <c r="MW47" s="101" t="s">
        <v>107</v>
      </c>
      <c r="MX47" s="83" t="e">
        <f>VLOOKUP(MX$1,'Existing Customers'!$A:$AA,4,FALSE)</f>
        <v>#N/A</v>
      </c>
      <c r="MY47" s="1663"/>
      <c r="MZ47" s="1663"/>
      <c r="NA47" s="1663"/>
      <c r="NB47" s="1663"/>
      <c r="NC47" s="1663"/>
      <c r="ND47" s="1663"/>
      <c r="NE47" s="1663"/>
      <c r="NF47" s="1663"/>
      <c r="NG47" s="1663"/>
      <c r="NH47" s="1663"/>
      <c r="NI47" s="1663"/>
      <c r="NJ47" s="1663"/>
      <c r="NK47" s="1663"/>
      <c r="NL47" s="1663"/>
      <c r="NM47" s="1663"/>
      <c r="NN47" s="1663"/>
      <c r="NO47" s="1663"/>
      <c r="NP47" s="1663"/>
      <c r="NQ47" s="1663"/>
      <c r="NR47" s="1663"/>
      <c r="NS47" s="1663"/>
      <c r="NT47" s="101" t="s">
        <v>107</v>
      </c>
      <c r="NU47" s="83" t="e">
        <f>VLOOKUP(NU$1,'Existing Customers'!$A:$AA,4,FALSE)</f>
        <v>#N/A</v>
      </c>
      <c r="NV47" s="1663"/>
      <c r="NW47" s="1663"/>
      <c r="NX47" s="1663"/>
      <c r="NY47" s="1663"/>
      <c r="NZ47" s="1663"/>
      <c r="OA47" s="1663"/>
      <c r="OB47" s="1663"/>
      <c r="OC47" s="1663"/>
      <c r="OD47" s="1663"/>
      <c r="OE47" s="1663"/>
      <c r="OF47" s="1663"/>
      <c r="OG47" s="1663"/>
      <c r="OH47" s="1663"/>
      <c r="OI47" s="1663"/>
      <c r="OJ47" s="1663"/>
      <c r="OK47" s="1663"/>
      <c r="OL47" s="1663"/>
      <c r="OM47" s="1663"/>
      <c r="ON47" s="1663"/>
      <c r="OO47" s="1663"/>
      <c r="OP47" s="1663"/>
      <c r="OQ47" s="101" t="s">
        <v>107</v>
      </c>
      <c r="OR47" s="83" t="e">
        <f>VLOOKUP(OR$1,'Existing Customers'!$A:$AA,4,FALSE)</f>
        <v>#N/A</v>
      </c>
      <c r="OS47" s="1663"/>
      <c r="OT47" s="1663"/>
      <c r="OU47" s="1663"/>
      <c r="OV47" s="1663"/>
      <c r="OW47" s="1663"/>
      <c r="OX47" s="1663"/>
      <c r="OY47" s="1663"/>
      <c r="OZ47" s="1663"/>
      <c r="PA47" s="1663"/>
      <c r="PB47" s="1663"/>
      <c r="PC47" s="1663"/>
      <c r="PD47" s="1663"/>
      <c r="PE47" s="1663"/>
      <c r="PF47" s="1663"/>
      <c r="PG47" s="1663"/>
      <c r="PH47" s="1663"/>
      <c r="PI47" s="1663"/>
      <c r="PJ47" s="1663"/>
      <c r="PK47" s="1663"/>
      <c r="PL47" s="1663"/>
      <c r="PM47" s="1663"/>
      <c r="PN47" s="101" t="s">
        <v>107</v>
      </c>
      <c r="PO47" s="83" t="e">
        <f>VLOOKUP(PO$1,'Existing Customers'!$A:$AA,4,FALSE)</f>
        <v>#N/A</v>
      </c>
      <c r="PP47" s="1663"/>
      <c r="PQ47" s="1663"/>
      <c r="PR47" s="1663"/>
      <c r="PS47" s="1663"/>
      <c r="PT47" s="1663"/>
      <c r="PU47" s="1663"/>
      <c r="PV47" s="1663"/>
      <c r="PW47" s="1663"/>
      <c r="PX47" s="1663"/>
      <c r="PY47" s="1663"/>
      <c r="PZ47" s="1663"/>
      <c r="QA47" s="1663"/>
      <c r="QB47" s="1663"/>
      <c r="QC47" s="1663"/>
      <c r="QD47" s="1663"/>
      <c r="QE47" s="1663"/>
      <c r="QF47" s="1663"/>
      <c r="QG47" s="1663"/>
      <c r="QH47" s="1663"/>
      <c r="QI47" s="1663"/>
      <c r="QJ47" s="1663"/>
      <c r="QK47" s="101" t="s">
        <v>107</v>
      </c>
      <c r="QL47" s="83" t="e">
        <f>VLOOKUP(QL$1,'Existing Customers'!$A:$AA,4,FALSE)</f>
        <v>#N/A</v>
      </c>
      <c r="QM47" s="1663"/>
      <c r="QN47" s="1663"/>
      <c r="QO47" s="1663"/>
      <c r="QP47" s="1663"/>
      <c r="QQ47" s="1663"/>
      <c r="QR47" s="1663"/>
      <c r="QS47" s="1663"/>
      <c r="QT47" s="1663"/>
      <c r="QU47" s="1663"/>
      <c r="QV47" s="1663"/>
      <c r="QW47" s="1663"/>
      <c r="QX47" s="1663"/>
      <c r="QY47" s="1663"/>
      <c r="QZ47" s="1663"/>
      <c r="RA47" s="1663"/>
      <c r="RB47" s="1663"/>
      <c r="RC47" s="1663"/>
      <c r="RD47" s="1663"/>
      <c r="RE47" s="1663"/>
      <c r="RF47" s="1663"/>
      <c r="RG47" s="1663"/>
      <c r="RH47" s="101" t="s">
        <v>107</v>
      </c>
      <c r="RI47" s="83" t="e">
        <f>VLOOKUP(RI$1,'Existing Customers'!$A:$AA,4,FALSE)</f>
        <v>#N/A</v>
      </c>
      <c r="RJ47" s="1663"/>
      <c r="RK47" s="1663"/>
      <c r="RL47" s="1663"/>
      <c r="RM47" s="1663"/>
      <c r="RN47" s="1663"/>
      <c r="RO47" s="1663"/>
      <c r="RP47" s="1663"/>
      <c r="RQ47" s="1663"/>
      <c r="RR47" s="1663"/>
      <c r="RS47" s="1663"/>
      <c r="RT47" s="1663"/>
      <c r="RU47" s="1663"/>
      <c r="RV47" s="1663"/>
      <c r="RW47" s="1663"/>
      <c r="RX47" s="1663"/>
      <c r="RY47" s="1663"/>
      <c r="RZ47" s="1663"/>
      <c r="SA47" s="1663"/>
      <c r="SB47" s="1663"/>
      <c r="SC47" s="1663"/>
      <c r="SD47" s="1663"/>
      <c r="SE47" s="101" t="s">
        <v>107</v>
      </c>
      <c r="SF47" s="83" t="e">
        <f>VLOOKUP(SF$1,'Existing Customers'!$A:$AA,4,FALSE)</f>
        <v>#N/A</v>
      </c>
      <c r="SG47" s="1663"/>
      <c r="SH47" s="1663"/>
      <c r="SI47" s="1663"/>
      <c r="SJ47" s="1663"/>
      <c r="SK47" s="1663"/>
      <c r="SL47" s="1663"/>
      <c r="SM47" s="1663"/>
      <c r="SN47" s="1663"/>
      <c r="SO47" s="1663"/>
      <c r="SP47" s="1663"/>
      <c r="SQ47" s="1663"/>
      <c r="SR47" s="1663"/>
      <c r="SS47" s="1663"/>
      <c r="ST47" s="1663"/>
      <c r="SU47" s="1663"/>
      <c r="SV47" s="1663"/>
      <c r="SW47" s="1663"/>
      <c r="SX47" s="1663"/>
      <c r="SY47" s="1663"/>
      <c r="SZ47" s="1663"/>
      <c r="TA47" s="1663"/>
      <c r="TB47" s="1663"/>
      <c r="TC47" s="1663"/>
      <c r="TD47" s="1663"/>
      <c r="TE47" s="1663"/>
      <c r="TF47" s="1663"/>
      <c r="TG47" s="1663"/>
      <c r="TH47" s="1663"/>
      <c r="TI47" s="1663"/>
      <c r="TJ47" s="1663"/>
      <c r="TK47" s="1663"/>
      <c r="TL47" s="1663"/>
      <c r="TM47" s="1663"/>
      <c r="TN47" s="1663"/>
      <c r="TO47" s="1663"/>
      <c r="TP47" s="1663"/>
      <c r="TQ47" s="1663"/>
      <c r="TR47" s="1663"/>
    </row>
    <row r="48" spans="1:538" x14ac:dyDescent="0.25">
      <c r="Q48" s="1465"/>
      <c r="R48" s="137"/>
      <c r="S48" s="1466"/>
      <c r="T48" s="138"/>
      <c r="U48" s="1466"/>
      <c r="V48" s="1466"/>
      <c r="W48" s="1466"/>
      <c r="X48" s="1466"/>
      <c r="Y48" s="1466"/>
      <c r="Z48" s="1479">
        <f t="shared" si="95"/>
        <v>2</v>
      </c>
      <c r="AA48" s="1480"/>
      <c r="AB48" s="1481">
        <f t="shared" si="96"/>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63"/>
      <c r="BH48" s="1663"/>
      <c r="BI48" s="1663"/>
      <c r="BJ48" s="1663" t="s">
        <v>803</v>
      </c>
      <c r="BK48" s="1663">
        <f>IFERROR(VLOOKUP(BK$1,'Existing Customers'!$A:$AA,6,FALSE),BK6)</f>
        <v>0</v>
      </c>
      <c r="BL48" s="1663"/>
      <c r="BM48" s="1663"/>
      <c r="BN48" s="1663"/>
      <c r="BO48" s="1663"/>
      <c r="BP48" s="1663"/>
      <c r="BQ48" s="1663"/>
      <c r="BR48" s="1663"/>
      <c r="BS48" s="1663"/>
      <c r="BT48" s="1663"/>
      <c r="BU48" s="1663"/>
      <c r="BV48" s="1663"/>
      <c r="BW48" s="1663"/>
      <c r="BX48" s="1663"/>
      <c r="BY48" s="1663"/>
      <c r="BZ48" s="1663"/>
      <c r="CA48" s="1663"/>
      <c r="CB48" s="1663"/>
      <c r="CC48" s="1663"/>
      <c r="CD48" s="1663"/>
      <c r="CE48" s="1663"/>
      <c r="CF48" s="1663"/>
      <c r="CG48" s="101" t="s">
        <v>803</v>
      </c>
      <c r="CH48" s="83">
        <f>IFERROR(VLOOKUP(CH$1,'Existing Customers'!$A:$AA,6,FALSE),CH5)</f>
        <v>0</v>
      </c>
      <c r="CI48" s="1663"/>
      <c r="CJ48" s="1663"/>
      <c r="CK48" s="1663"/>
      <c r="CL48" s="1663"/>
      <c r="CM48" s="1663"/>
      <c r="CN48" s="1663"/>
      <c r="CO48" s="1663"/>
      <c r="CP48" s="1663"/>
      <c r="CQ48" s="1663"/>
      <c r="CR48" s="1663"/>
      <c r="CS48" s="1663"/>
      <c r="CT48" s="1663"/>
      <c r="CU48" s="1663"/>
      <c r="CV48" s="1663"/>
      <c r="CW48" s="1663"/>
      <c r="CX48" s="1663"/>
      <c r="CY48" s="1663"/>
      <c r="CZ48" s="1663"/>
      <c r="DA48" s="1663"/>
      <c r="DB48" s="1663"/>
      <c r="DC48" s="1663"/>
      <c r="DD48" s="101" t="s">
        <v>803</v>
      </c>
      <c r="DE48" s="83">
        <f>IFERROR(VLOOKUP(DE$1,'Existing Customers'!$A:$AA,6,FALSE),DE6)</f>
        <v>0</v>
      </c>
      <c r="DF48" s="1663"/>
      <c r="DG48" s="1663"/>
      <c r="DH48" s="1663"/>
      <c r="DI48" s="1663"/>
      <c r="DJ48" s="1663"/>
      <c r="DK48" s="1663"/>
      <c r="DL48" s="1663"/>
      <c r="DM48" s="1663"/>
      <c r="DN48" s="1663"/>
      <c r="DO48" s="1663"/>
      <c r="DP48" s="1663"/>
      <c r="DQ48" s="1663"/>
      <c r="DR48" s="1663"/>
      <c r="DS48" s="1663"/>
      <c r="DT48" s="1663"/>
      <c r="DU48" s="1663"/>
      <c r="DV48" s="1663"/>
      <c r="DW48" s="1663"/>
      <c r="DX48" s="1663"/>
      <c r="DY48" s="1663"/>
      <c r="DZ48" s="1663"/>
      <c r="EA48" s="101" t="s">
        <v>803</v>
      </c>
      <c r="EB48" s="83">
        <f>IFERROR(VLOOKUP(EB$1,'Existing Customers'!$A:$AA,6,FALSE),EB6)</f>
        <v>0</v>
      </c>
      <c r="EC48" s="1663"/>
      <c r="ED48" s="1663"/>
      <c r="EE48" s="1663"/>
      <c r="EF48" s="1663"/>
      <c r="EG48" s="1663"/>
      <c r="EH48" s="1663"/>
      <c r="EI48" s="1663"/>
      <c r="EJ48" s="1663"/>
      <c r="EK48" s="1663"/>
      <c r="EL48" s="1663"/>
      <c r="EM48" s="1663"/>
      <c r="EN48" s="1663"/>
      <c r="EO48" s="1663"/>
      <c r="EP48" s="1663"/>
      <c r="EQ48" s="1663"/>
      <c r="ER48" s="1663"/>
      <c r="ES48" s="1663"/>
      <c r="ET48" s="1663"/>
      <c r="EU48" s="1663"/>
      <c r="EV48" s="1663"/>
      <c r="EW48" s="1663"/>
      <c r="EX48" s="101" t="s">
        <v>803</v>
      </c>
      <c r="EY48" s="83">
        <f>IFERROR(VLOOKUP(EY$1,'Existing Customers'!$A:$AA,6,FALSE),EY6)</f>
        <v>0</v>
      </c>
      <c r="EZ48" s="1663"/>
      <c r="FA48" s="1663"/>
      <c r="FB48" s="1663"/>
      <c r="FC48" s="1663"/>
      <c r="FD48" s="1663"/>
      <c r="FE48" s="1663"/>
      <c r="FF48" s="1663"/>
      <c r="FG48" s="1663"/>
      <c r="FH48" s="1663"/>
      <c r="FI48" s="1663"/>
      <c r="FJ48" s="1663"/>
      <c r="FK48" s="1663"/>
      <c r="FL48" s="1663"/>
      <c r="FM48" s="1663"/>
      <c r="FN48" s="1663"/>
      <c r="FO48" s="1663"/>
      <c r="FP48" s="1663"/>
      <c r="FQ48" s="1663"/>
      <c r="FR48" s="1663"/>
      <c r="FS48" s="1663"/>
      <c r="FT48" s="1663"/>
      <c r="FU48" s="101" t="s">
        <v>803</v>
      </c>
      <c r="FV48" s="83">
        <f>IFERROR(VLOOKUP(FV$1,'Existing Customers'!$A:$AA,6,FALSE),FV6)</f>
        <v>0</v>
      </c>
      <c r="FW48" s="1663"/>
      <c r="FX48" s="1663"/>
      <c r="FY48" s="1663"/>
      <c r="FZ48" s="1663"/>
      <c r="GA48" s="1663"/>
      <c r="GB48" s="1663"/>
      <c r="GC48" s="1663"/>
      <c r="GD48" s="1663"/>
      <c r="GE48" s="1663"/>
      <c r="GF48" s="1663"/>
      <c r="GG48" s="1663"/>
      <c r="GH48" s="1663"/>
      <c r="GI48" s="1663"/>
      <c r="GJ48" s="1663"/>
      <c r="GK48" s="1663"/>
      <c r="GL48" s="1663"/>
      <c r="GM48" s="1663"/>
      <c r="GN48" s="1663"/>
      <c r="GO48" s="1663"/>
      <c r="GP48" s="1663"/>
      <c r="GQ48" s="1663"/>
      <c r="GR48" s="101" t="s">
        <v>803</v>
      </c>
      <c r="GS48" s="83">
        <f>IFERROR(VLOOKUP(GS$1,'Existing Customers'!$A:$AA,6,FALSE),GS6)</f>
        <v>0</v>
      </c>
      <c r="GT48" s="1663"/>
      <c r="GU48" s="1663"/>
      <c r="GV48" s="1663"/>
      <c r="GW48" s="1663"/>
      <c r="GX48" s="1663"/>
      <c r="GY48" s="1663"/>
      <c r="GZ48" s="1663"/>
      <c r="HA48" s="1663"/>
      <c r="HB48" s="1663"/>
      <c r="HC48" s="1663"/>
      <c r="HD48" s="1663"/>
      <c r="HE48" s="1663"/>
      <c r="HF48" s="1663"/>
      <c r="HG48" s="1663"/>
      <c r="HH48" s="1663"/>
      <c r="HI48" s="1663"/>
      <c r="HJ48" s="1663"/>
      <c r="HK48" s="1663"/>
      <c r="HL48" s="1663"/>
      <c r="HM48" s="1663"/>
      <c r="HN48" s="1663"/>
      <c r="HO48" s="101" t="s">
        <v>803</v>
      </c>
      <c r="HP48" s="83">
        <f>IFERROR(VLOOKUP(HP$1,'Existing Customers'!$A:$AA,6,FALSE),HP6)</f>
        <v>0</v>
      </c>
      <c r="HQ48" s="1663"/>
      <c r="HR48" s="1663"/>
      <c r="HS48" s="1663"/>
      <c r="HT48" s="1663"/>
      <c r="HU48" s="1663"/>
      <c r="HV48" s="1663"/>
      <c r="HW48" s="1663"/>
      <c r="HX48" s="1663"/>
      <c r="HY48" s="1663"/>
      <c r="HZ48" s="1663"/>
      <c r="IA48" s="1663"/>
      <c r="IB48" s="1663"/>
      <c r="IC48" s="1663"/>
      <c r="ID48" s="1663"/>
      <c r="IE48" s="1663"/>
      <c r="IF48" s="1663"/>
      <c r="IG48" s="1663"/>
      <c r="IH48" s="1663"/>
      <c r="II48" s="1663"/>
      <c r="IJ48" s="1663"/>
      <c r="IK48" s="1663"/>
      <c r="IL48" s="101" t="s">
        <v>803</v>
      </c>
      <c r="IM48" s="83">
        <f>IFERROR(VLOOKUP(IM$1,'Existing Customers'!$A:$AA,6,FALSE),IM6)</f>
        <v>0</v>
      </c>
      <c r="IN48" s="1663"/>
      <c r="IO48" s="1663"/>
      <c r="IP48" s="1663"/>
      <c r="IQ48" s="1663"/>
      <c r="IR48" s="1663"/>
      <c r="IS48" s="1663"/>
      <c r="IT48" s="1663"/>
      <c r="IU48" s="1663"/>
      <c r="IV48" s="1663"/>
      <c r="IW48" s="1663"/>
      <c r="IX48" s="1663"/>
      <c r="IY48" s="1663"/>
      <c r="IZ48" s="1663"/>
      <c r="JA48" s="1663"/>
      <c r="JB48" s="1663"/>
      <c r="JC48" s="1663"/>
      <c r="JD48" s="1663"/>
      <c r="JE48" s="1663"/>
      <c r="JF48" s="1663"/>
      <c r="JG48" s="1663"/>
      <c r="JH48" s="1663"/>
      <c r="JI48" s="101" t="s">
        <v>803</v>
      </c>
      <c r="JJ48" s="83">
        <f>IFERROR(VLOOKUP(JJ$1,'Existing Customers'!$A:$AA,6,FALSE),JJ6)</f>
        <v>0</v>
      </c>
      <c r="JK48" s="1663"/>
      <c r="JL48" s="1663"/>
      <c r="JM48" s="1663"/>
      <c r="JN48" s="1663"/>
      <c r="JO48" s="1663"/>
      <c r="JP48" s="1663"/>
      <c r="JQ48" s="1663"/>
      <c r="JR48" s="1663"/>
      <c r="JS48" s="1663"/>
      <c r="JT48" s="1663"/>
      <c r="JU48" s="1663"/>
      <c r="JV48" s="1663"/>
      <c r="JW48" s="1663"/>
      <c r="JX48" s="1663"/>
      <c r="JY48" s="1663"/>
      <c r="JZ48" s="1663"/>
      <c r="KA48" s="1663"/>
      <c r="KB48" s="1663"/>
      <c r="KC48" s="1663"/>
      <c r="KD48" s="1663"/>
      <c r="KE48" s="1663"/>
      <c r="KF48" s="101" t="s">
        <v>803</v>
      </c>
      <c r="KG48" s="83">
        <f>IFERROR(VLOOKUP(KG$1,'Existing Customers'!$A:$AA,6,FALSE),KG6)</f>
        <v>0</v>
      </c>
      <c r="KH48" s="1663"/>
      <c r="KI48" s="1663"/>
      <c r="KJ48" s="1663"/>
      <c r="KK48" s="1663"/>
      <c r="KL48" s="1663"/>
      <c r="KM48" s="1663"/>
      <c r="KN48" s="1663"/>
      <c r="KO48" s="1663"/>
      <c r="KP48" s="1663"/>
      <c r="KQ48" s="1663"/>
      <c r="KR48" s="1663"/>
      <c r="KS48" s="1663"/>
      <c r="KT48" s="1663"/>
      <c r="KU48" s="1663"/>
      <c r="KV48" s="1663"/>
      <c r="KW48" s="1663"/>
      <c r="KX48" s="1663"/>
      <c r="KY48" s="1663"/>
      <c r="KZ48" s="1663"/>
      <c r="LA48" s="1663"/>
      <c r="LB48" s="1663"/>
      <c r="LC48" s="101" t="s">
        <v>803</v>
      </c>
      <c r="LD48" s="83">
        <f>IFERROR(VLOOKUP(LD$1,'Existing Customers'!$A:$AA,6,FALSE),LD6)</f>
        <v>0</v>
      </c>
      <c r="LE48" s="1663"/>
      <c r="LF48" s="1663"/>
      <c r="LG48" s="1663"/>
      <c r="LH48" s="1663"/>
      <c r="LI48" s="1663"/>
      <c r="LJ48" s="1663"/>
      <c r="LK48" s="1663"/>
      <c r="LL48" s="1663"/>
      <c r="LM48" s="1663"/>
      <c r="LN48" s="1663"/>
      <c r="LO48" s="1663"/>
      <c r="LP48" s="1663"/>
      <c r="LQ48" s="1663"/>
      <c r="LR48" s="1663"/>
      <c r="LS48" s="1663"/>
      <c r="LT48" s="1663"/>
      <c r="LU48" s="1663"/>
      <c r="LV48" s="1663"/>
      <c r="LW48" s="1663"/>
      <c r="LX48" s="1663"/>
      <c r="LY48" s="1663"/>
      <c r="LZ48" s="101" t="s">
        <v>803</v>
      </c>
      <c r="MA48" s="83">
        <f>IFERROR(VLOOKUP(MA$1,'Existing Customers'!$A:$AA,6,FALSE),MA6)</f>
        <v>0</v>
      </c>
      <c r="MB48" s="1663"/>
      <c r="MC48" s="1663"/>
      <c r="MD48" s="1663"/>
      <c r="ME48" s="1663"/>
      <c r="MF48" s="1663"/>
      <c r="MG48" s="1663"/>
      <c r="MH48" s="1663"/>
      <c r="MI48" s="1663"/>
      <c r="MJ48" s="1663"/>
      <c r="MK48" s="1663"/>
      <c r="ML48" s="1663"/>
      <c r="MM48" s="1663"/>
      <c r="MN48" s="1663"/>
      <c r="MO48" s="1663"/>
      <c r="MP48" s="1663"/>
      <c r="MQ48" s="1663"/>
      <c r="MR48" s="1663"/>
      <c r="MS48" s="1663"/>
      <c r="MT48" s="1663"/>
      <c r="MU48" s="1663"/>
      <c r="MV48" s="1663"/>
      <c r="MW48" s="101" t="s">
        <v>803</v>
      </c>
      <c r="MX48" s="83">
        <f>IFERROR(VLOOKUP(MX$1,'Existing Customers'!$A:$AA,6,FALSE),MX6)</f>
        <v>0</v>
      </c>
      <c r="MY48" s="1663"/>
      <c r="MZ48" s="1663"/>
      <c r="NA48" s="1663"/>
      <c r="NB48" s="1663"/>
      <c r="NC48" s="1663"/>
      <c r="ND48" s="1663"/>
      <c r="NE48" s="1663"/>
      <c r="NF48" s="1663"/>
      <c r="NG48" s="1663"/>
      <c r="NH48" s="1663"/>
      <c r="NI48" s="1663"/>
      <c r="NJ48" s="1663"/>
      <c r="NK48" s="1663"/>
      <c r="NL48" s="1663"/>
      <c r="NM48" s="1663"/>
      <c r="NN48" s="1663"/>
      <c r="NO48" s="1663"/>
      <c r="NP48" s="1663"/>
      <c r="NQ48" s="1663"/>
      <c r="NR48" s="1663"/>
      <c r="NS48" s="1663"/>
      <c r="NT48" s="101" t="s">
        <v>803</v>
      </c>
      <c r="NU48" s="83">
        <f>IFERROR(VLOOKUP(NU$1,'Existing Customers'!$A:$AA,6,FALSE),NU6)</f>
        <v>0</v>
      </c>
      <c r="NV48" s="1663"/>
      <c r="NW48" s="1663"/>
      <c r="NX48" s="1663"/>
      <c r="NY48" s="1663"/>
      <c r="NZ48" s="1663"/>
      <c r="OA48" s="1663"/>
      <c r="OB48" s="1663"/>
      <c r="OC48" s="1663"/>
      <c r="OD48" s="1663"/>
      <c r="OE48" s="1663"/>
      <c r="OF48" s="1663"/>
      <c r="OG48" s="1663"/>
      <c r="OH48" s="1663"/>
      <c r="OI48" s="1663"/>
      <c r="OJ48" s="1663"/>
      <c r="OK48" s="1663"/>
      <c r="OL48" s="1663"/>
      <c r="OM48" s="1663"/>
      <c r="ON48" s="1663"/>
      <c r="OO48" s="1663"/>
      <c r="OP48" s="1663"/>
      <c r="OQ48" s="101" t="s">
        <v>803</v>
      </c>
      <c r="OR48" s="83">
        <f>IFERROR(VLOOKUP(OR$1,'Existing Customers'!$A:$AA,6,FALSE),OR6)</f>
        <v>0</v>
      </c>
      <c r="OS48" s="1663"/>
      <c r="OT48" s="1663"/>
      <c r="OU48" s="1663"/>
      <c r="OV48" s="1663"/>
      <c r="OW48" s="1663"/>
      <c r="OX48" s="1663"/>
      <c r="OY48" s="1663"/>
      <c r="OZ48" s="1663"/>
      <c r="PA48" s="1663"/>
      <c r="PB48" s="1663"/>
      <c r="PC48" s="1663"/>
      <c r="PD48" s="1663"/>
      <c r="PE48" s="1663"/>
      <c r="PF48" s="1663"/>
      <c r="PG48" s="1663"/>
      <c r="PH48" s="1663"/>
      <c r="PI48" s="1663"/>
      <c r="PJ48" s="1663"/>
      <c r="PK48" s="1663"/>
      <c r="PL48" s="1663"/>
      <c r="PM48" s="1663"/>
      <c r="PN48" s="101" t="s">
        <v>803</v>
      </c>
      <c r="PO48" s="83">
        <f>IFERROR(VLOOKUP(PO$1,'Existing Customers'!$A:$AA,6,FALSE),PO6)</f>
        <v>0</v>
      </c>
      <c r="PP48" s="1663"/>
      <c r="PQ48" s="1663"/>
      <c r="PR48" s="1663"/>
      <c r="PS48" s="1663"/>
      <c r="PT48" s="1663"/>
      <c r="PU48" s="1663"/>
      <c r="PV48" s="1663"/>
      <c r="PW48" s="1663"/>
      <c r="PX48" s="1663"/>
      <c r="PY48" s="1663"/>
      <c r="PZ48" s="1663"/>
      <c r="QA48" s="1663"/>
      <c r="QB48" s="1663"/>
      <c r="QC48" s="1663"/>
      <c r="QD48" s="1663"/>
      <c r="QE48" s="1663"/>
      <c r="QF48" s="1663"/>
      <c r="QG48" s="1663"/>
      <c r="QH48" s="1663"/>
      <c r="QI48" s="1663"/>
      <c r="QJ48" s="1663"/>
      <c r="QK48" s="101" t="s">
        <v>803</v>
      </c>
      <c r="QL48" s="83">
        <f>IFERROR(VLOOKUP(QL$1,'Existing Customers'!$A:$AA,6,FALSE),QL6)</f>
        <v>0</v>
      </c>
      <c r="QM48" s="1663"/>
      <c r="QN48" s="1663"/>
      <c r="QO48" s="1663"/>
      <c r="QP48" s="1663"/>
      <c r="QQ48" s="1663"/>
      <c r="QR48" s="1663"/>
      <c r="QS48" s="1663"/>
      <c r="QT48" s="1663"/>
      <c r="QU48" s="1663"/>
      <c r="QV48" s="1663"/>
      <c r="QW48" s="1663"/>
      <c r="QX48" s="1663"/>
      <c r="QY48" s="1663"/>
      <c r="QZ48" s="1663"/>
      <c r="RA48" s="1663"/>
      <c r="RB48" s="1663"/>
      <c r="RC48" s="1663"/>
      <c r="RD48" s="1663"/>
      <c r="RE48" s="1663"/>
      <c r="RF48" s="1663"/>
      <c r="RG48" s="1663"/>
      <c r="RH48" s="101" t="s">
        <v>803</v>
      </c>
      <c r="RI48" s="83">
        <f>IFERROR(VLOOKUP(RI$1,'Existing Customers'!$A:$AA,6,FALSE),RI6)</f>
        <v>0</v>
      </c>
      <c r="RJ48" s="1663"/>
      <c r="RK48" s="1663"/>
      <c r="RL48" s="1663"/>
      <c r="RM48" s="1663"/>
      <c r="RN48" s="1663"/>
      <c r="RO48" s="1663"/>
      <c r="RP48" s="1663"/>
      <c r="RQ48" s="1663"/>
      <c r="RR48" s="1663"/>
      <c r="RS48" s="1663"/>
      <c r="RT48" s="1663"/>
      <c r="RU48" s="1663"/>
      <c r="RV48" s="1663"/>
      <c r="RW48" s="1663"/>
      <c r="RX48" s="1663"/>
      <c r="RY48" s="1663"/>
      <c r="RZ48" s="1663"/>
      <c r="SA48" s="1663"/>
      <c r="SB48" s="1663"/>
      <c r="SC48" s="1663"/>
      <c r="SD48" s="1663"/>
      <c r="SE48" s="101" t="s">
        <v>803</v>
      </c>
      <c r="SF48" s="83">
        <f>IFERROR(VLOOKUP(SF$1,'Existing Customers'!$A:$AA,6,FALSE),SF6)</f>
        <v>0</v>
      </c>
      <c r="SG48" s="1663"/>
      <c r="SH48" s="1663"/>
      <c r="SI48" s="1663"/>
      <c r="SJ48" s="1663"/>
      <c r="SK48" s="1663"/>
      <c r="SL48" s="1663"/>
      <c r="SM48" s="1663"/>
      <c r="SN48" s="1663"/>
      <c r="SO48" s="1663"/>
      <c r="SP48" s="1663"/>
      <c r="SQ48" s="1663"/>
      <c r="SR48" s="1663"/>
      <c r="SS48" s="1663"/>
      <c r="ST48" s="1663"/>
      <c r="SU48" s="1663"/>
      <c r="SV48" s="1663"/>
      <c r="SW48" s="1663"/>
      <c r="SX48" s="1663"/>
      <c r="SY48" s="1663"/>
      <c r="SZ48" s="1663"/>
      <c r="TA48" s="1663"/>
      <c r="TB48" s="1663"/>
      <c r="TC48" s="1663"/>
      <c r="TD48" s="1663"/>
      <c r="TE48" s="1663"/>
      <c r="TF48" s="1663"/>
      <c r="TG48" s="1663"/>
      <c r="TH48" s="1663"/>
      <c r="TI48" s="1663"/>
      <c r="TJ48" s="1663"/>
      <c r="TK48" s="1663"/>
      <c r="TL48" s="1663"/>
      <c r="TM48" s="1663"/>
      <c r="TN48" s="1663"/>
      <c r="TO48" s="1663"/>
      <c r="TP48" s="1663"/>
      <c r="TQ48" s="1663"/>
      <c r="TR48" s="1663"/>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5"/>
        <v>2</v>
      </c>
      <c r="AA49" s="1480"/>
      <c r="AB49" s="1481">
        <f t="shared" si="96"/>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63"/>
      <c r="BH49" s="1663"/>
      <c r="BI49" s="1663"/>
      <c r="BJ49" s="1663" t="s">
        <v>917</v>
      </c>
      <c r="BK49" s="1663" t="str">
        <f>IFERROR(ROUND(VLOOKUP(BK38,'Existing Customer Variable Exp'!$B:$F,5,FALSE)/52,1),"Enter Drops &gt;")</f>
        <v>Enter Drops &gt;</v>
      </c>
      <c r="BL49" s="1663"/>
      <c r="BM49" s="1663"/>
      <c r="BN49" s="1663"/>
      <c r="BO49" s="1663"/>
      <c r="BP49" s="1663"/>
      <c r="BQ49" s="1663"/>
      <c r="BR49" s="1663"/>
      <c r="BS49" s="1663"/>
      <c r="BT49" s="1663"/>
      <c r="BU49" s="1663"/>
      <c r="BV49" s="1663"/>
      <c r="BW49" s="1663"/>
      <c r="BX49" s="1663"/>
      <c r="BY49" s="1663"/>
      <c r="BZ49" s="1663"/>
      <c r="CA49" s="1663"/>
      <c r="CB49" s="1663"/>
      <c r="CC49" s="1663"/>
      <c r="CD49" s="1663"/>
      <c r="CE49" s="1663"/>
      <c r="CF49" s="1663"/>
      <c r="CG49" s="101" t="s">
        <v>806</v>
      </c>
      <c r="CH49" s="83" t="str">
        <f>IFERROR(ROUND(VLOOKUP(CH38,'Existing Customer Variable Exp'!$B:$F,5,FALSE)/52,1),"Enter Drops &gt;")</f>
        <v>Enter Drops &gt;</v>
      </c>
      <c r="CI49" s="1663"/>
      <c r="CJ49" s="1663"/>
      <c r="CK49" s="1663"/>
      <c r="CL49" s="1663"/>
      <c r="CM49" s="1663"/>
      <c r="CN49" s="1663"/>
      <c r="CO49" s="1663"/>
      <c r="CP49" s="1663"/>
      <c r="CQ49" s="1663"/>
      <c r="CR49" s="1663"/>
      <c r="CS49" s="1663"/>
      <c r="CT49" s="1663"/>
      <c r="CU49" s="1663"/>
      <c r="CV49" s="1663"/>
      <c r="CW49" s="1663"/>
      <c r="CX49" s="1663"/>
      <c r="CY49" s="1663"/>
      <c r="CZ49" s="1663"/>
      <c r="DA49" s="1663"/>
      <c r="DB49" s="1663"/>
      <c r="DC49" s="1663"/>
      <c r="DD49" s="101" t="s">
        <v>806</v>
      </c>
      <c r="DE49" s="83" t="str">
        <f>IFERROR(ROUND(VLOOKUP(DE38,'Existing Customer Variable Exp'!$B:$F,5,FALSE)/52,1),"Enter Drops &gt;")</f>
        <v>Enter Drops &gt;</v>
      </c>
      <c r="DF49" s="1663"/>
      <c r="DG49" s="1663"/>
      <c r="DH49" s="1663"/>
      <c r="DI49" s="1663"/>
      <c r="DJ49" s="1663"/>
      <c r="DK49" s="1663"/>
      <c r="DL49" s="1663"/>
      <c r="DM49" s="1663"/>
      <c r="DN49" s="1663"/>
      <c r="DO49" s="1663"/>
      <c r="DP49" s="1663"/>
      <c r="DQ49" s="1663"/>
      <c r="DR49" s="1663"/>
      <c r="DS49" s="1663"/>
      <c r="DT49" s="1663"/>
      <c r="DU49" s="1663"/>
      <c r="DV49" s="1663"/>
      <c r="DW49" s="1663"/>
      <c r="DX49" s="1663"/>
      <c r="DY49" s="1663"/>
      <c r="DZ49" s="1663"/>
      <c r="EA49" s="101" t="s">
        <v>806</v>
      </c>
      <c r="EB49" s="83" t="str">
        <f>IFERROR(ROUND(VLOOKUP(EB38,'Existing Customer Variable Exp'!$B:$F,5,FALSE)/52,1),"Enter Drops &gt;")</f>
        <v>Enter Drops &gt;</v>
      </c>
      <c r="EC49" s="1663"/>
      <c r="ED49" s="1663"/>
      <c r="EE49" s="1663"/>
      <c r="EF49" s="1663"/>
      <c r="EG49" s="1663"/>
      <c r="EH49" s="1663"/>
      <c r="EI49" s="1663"/>
      <c r="EJ49" s="1663"/>
      <c r="EK49" s="1663"/>
      <c r="EL49" s="1663"/>
      <c r="EM49" s="1663"/>
      <c r="EN49" s="1663"/>
      <c r="EO49" s="1663"/>
      <c r="EP49" s="1663"/>
      <c r="EQ49" s="1663"/>
      <c r="ER49" s="1663"/>
      <c r="ES49" s="1663"/>
      <c r="ET49" s="1663"/>
      <c r="EU49" s="1663"/>
      <c r="EV49" s="1663"/>
      <c r="EW49" s="1663"/>
      <c r="EX49" s="101" t="s">
        <v>806</v>
      </c>
      <c r="EY49" s="83" t="str">
        <f>IFERROR(ROUND(VLOOKUP(EY38,'Existing Customer Variable Exp'!$B:$F,5,FALSE)/52,1),"Enter Drops &gt;")</f>
        <v>Enter Drops &gt;</v>
      </c>
      <c r="EZ49" s="1663"/>
      <c r="FA49" s="1663"/>
      <c r="FB49" s="1663"/>
      <c r="FC49" s="1663"/>
      <c r="FD49" s="1663"/>
      <c r="FE49" s="1663"/>
      <c r="FF49" s="1663"/>
      <c r="FG49" s="1663"/>
      <c r="FH49" s="1663"/>
      <c r="FI49" s="1663"/>
      <c r="FJ49" s="1663"/>
      <c r="FK49" s="1663"/>
      <c r="FL49" s="1663"/>
      <c r="FM49" s="1663"/>
      <c r="FN49" s="1663"/>
      <c r="FO49" s="1663"/>
      <c r="FP49" s="1663"/>
      <c r="FQ49" s="1663"/>
      <c r="FR49" s="1663"/>
      <c r="FS49" s="1663"/>
      <c r="FT49" s="1663"/>
      <c r="FU49" s="101" t="s">
        <v>806</v>
      </c>
      <c r="FV49" s="83" t="str">
        <f>IFERROR(ROUND(VLOOKUP(FV38,'Existing Customer Variable Exp'!$B:$F,5,FALSE)/52,1),"Enter Drops &gt;")</f>
        <v>Enter Drops &gt;</v>
      </c>
      <c r="FW49" s="1663"/>
      <c r="FX49" s="1663"/>
      <c r="FY49" s="1663"/>
      <c r="FZ49" s="1663"/>
      <c r="GA49" s="1663"/>
      <c r="GB49" s="1663"/>
      <c r="GC49" s="1663"/>
      <c r="GD49" s="1663"/>
      <c r="GE49" s="1663"/>
      <c r="GF49" s="1663"/>
      <c r="GG49" s="1663"/>
      <c r="GH49" s="1663"/>
      <c r="GI49" s="1663"/>
      <c r="GJ49" s="1663"/>
      <c r="GK49" s="1663"/>
      <c r="GL49" s="1663"/>
      <c r="GM49" s="1663"/>
      <c r="GN49" s="1663"/>
      <c r="GO49" s="1663"/>
      <c r="GP49" s="1663"/>
      <c r="GQ49" s="1663"/>
      <c r="GR49" s="101" t="s">
        <v>806</v>
      </c>
      <c r="GS49" s="83" t="str">
        <f>IFERROR(ROUND(VLOOKUP(GS38,'Existing Customer Variable Exp'!$B:$F,5,FALSE)/52,1),"Enter Drops &gt;")</f>
        <v>Enter Drops &gt;</v>
      </c>
      <c r="GT49" s="1663"/>
      <c r="GU49" s="1663"/>
      <c r="GV49" s="1663"/>
      <c r="GW49" s="1663"/>
      <c r="GX49" s="1663"/>
      <c r="GY49" s="1663"/>
      <c r="GZ49" s="1663"/>
      <c r="HA49" s="1663"/>
      <c r="HB49" s="1663"/>
      <c r="HC49" s="1663"/>
      <c r="HD49" s="1663"/>
      <c r="HE49" s="1663"/>
      <c r="HF49" s="1663"/>
      <c r="HG49" s="1663"/>
      <c r="HH49" s="1663"/>
      <c r="HI49" s="1663"/>
      <c r="HJ49" s="1663"/>
      <c r="HK49" s="1663"/>
      <c r="HL49" s="1663"/>
      <c r="HM49" s="1663"/>
      <c r="HN49" s="1663"/>
      <c r="HO49" s="101" t="s">
        <v>806</v>
      </c>
      <c r="HP49" s="83" t="str">
        <f>IFERROR(ROUND(VLOOKUP(HP38,'Existing Customer Variable Exp'!$B:$F,5,FALSE)/52,1),"Enter Drops &gt;")</f>
        <v>Enter Drops &gt;</v>
      </c>
      <c r="HQ49" s="1663"/>
      <c r="HR49" s="1663"/>
      <c r="HS49" s="1663"/>
      <c r="HT49" s="1663"/>
      <c r="HU49" s="1663"/>
      <c r="HV49" s="1663"/>
      <c r="HW49" s="1663"/>
      <c r="HX49" s="1663"/>
      <c r="HY49" s="1663"/>
      <c r="HZ49" s="1663"/>
      <c r="IA49" s="1663"/>
      <c r="IB49" s="1663"/>
      <c r="IC49" s="1663"/>
      <c r="ID49" s="1663"/>
      <c r="IE49" s="1663"/>
      <c r="IF49" s="1663"/>
      <c r="IG49" s="1663"/>
      <c r="IH49" s="1663"/>
      <c r="II49" s="1663"/>
      <c r="IJ49" s="1663"/>
      <c r="IK49" s="1663"/>
      <c r="IL49" s="101" t="s">
        <v>806</v>
      </c>
      <c r="IM49" s="83" t="str">
        <f>IFERROR(ROUND(VLOOKUP(IM38,'Existing Customer Variable Exp'!$B:$F,5,FALSE)/52,1),"Enter Drops &gt;")</f>
        <v>Enter Drops &gt;</v>
      </c>
      <c r="IN49" s="1663"/>
      <c r="IO49" s="1663"/>
      <c r="IP49" s="1663"/>
      <c r="IQ49" s="1663"/>
      <c r="IR49" s="1663"/>
      <c r="IS49" s="1663"/>
      <c r="IT49" s="1663"/>
      <c r="IU49" s="1663"/>
      <c r="IV49" s="1663"/>
      <c r="IW49" s="1663"/>
      <c r="IX49" s="1663"/>
      <c r="IY49" s="1663"/>
      <c r="IZ49" s="1663"/>
      <c r="JA49" s="1663"/>
      <c r="JB49" s="1663"/>
      <c r="JC49" s="1663"/>
      <c r="JD49" s="1663"/>
      <c r="JE49" s="1663"/>
      <c r="JF49" s="1663"/>
      <c r="JG49" s="1663"/>
      <c r="JH49" s="1663"/>
      <c r="JI49" s="101" t="s">
        <v>806</v>
      </c>
      <c r="JJ49" s="83" t="str">
        <f>IFERROR(ROUND(VLOOKUP(JJ38,'Existing Customer Variable Exp'!$B:$F,5,FALSE)/52,1),"Enter Drops &gt;")</f>
        <v>Enter Drops &gt;</v>
      </c>
      <c r="JK49" s="1663"/>
      <c r="JL49" s="1663"/>
      <c r="JM49" s="1663"/>
      <c r="JN49" s="1663"/>
      <c r="JO49" s="1663"/>
      <c r="JP49" s="1663"/>
      <c r="JQ49" s="1663"/>
      <c r="JR49" s="1663"/>
      <c r="JS49" s="1663"/>
      <c r="JT49" s="1663"/>
      <c r="JU49" s="1663"/>
      <c r="JV49" s="1663"/>
      <c r="JW49" s="1663"/>
      <c r="JX49" s="1663"/>
      <c r="JY49" s="1663"/>
      <c r="JZ49" s="1663"/>
      <c r="KA49" s="1663"/>
      <c r="KB49" s="1663"/>
      <c r="KC49" s="1663"/>
      <c r="KD49" s="1663"/>
      <c r="KE49" s="1663"/>
      <c r="KF49" s="101" t="s">
        <v>806</v>
      </c>
      <c r="KG49" s="83" t="str">
        <f>IFERROR(ROUND(VLOOKUP(KG38,'Existing Customer Variable Exp'!$B:$F,5,FALSE)/52,1),"Enter Drops &gt;")</f>
        <v>Enter Drops &gt;</v>
      </c>
      <c r="KH49" s="1663"/>
      <c r="KI49" s="1663"/>
      <c r="KJ49" s="1663"/>
      <c r="KK49" s="1663"/>
      <c r="KL49" s="1663"/>
      <c r="KM49" s="1663"/>
      <c r="KN49" s="1663"/>
      <c r="KO49" s="1663"/>
      <c r="KP49" s="1663"/>
      <c r="KQ49" s="1663"/>
      <c r="KR49" s="1663"/>
      <c r="KS49" s="1663"/>
      <c r="KT49" s="1663"/>
      <c r="KU49" s="1663"/>
      <c r="KV49" s="1663"/>
      <c r="KW49" s="1663"/>
      <c r="KX49" s="1663"/>
      <c r="KY49" s="1663"/>
      <c r="KZ49" s="1663"/>
      <c r="LA49" s="1663"/>
      <c r="LB49" s="1663"/>
      <c r="LC49" s="101" t="s">
        <v>806</v>
      </c>
      <c r="LD49" s="83" t="str">
        <f>IFERROR(ROUND(VLOOKUP(LD38,'Existing Customer Variable Exp'!$B:$F,5,FALSE)/52,1),"Enter Drops &gt;")</f>
        <v>Enter Drops &gt;</v>
      </c>
      <c r="LE49" s="1663"/>
      <c r="LF49" s="1663"/>
      <c r="LG49" s="1663"/>
      <c r="LH49" s="1663"/>
      <c r="LI49" s="1663"/>
      <c r="LJ49" s="1663"/>
      <c r="LK49" s="1663"/>
      <c r="LL49" s="1663"/>
      <c r="LM49" s="1663"/>
      <c r="LN49" s="1663"/>
      <c r="LO49" s="1663"/>
      <c r="LP49" s="1663"/>
      <c r="LQ49" s="1663"/>
      <c r="LR49" s="1663"/>
      <c r="LS49" s="1663"/>
      <c r="LT49" s="1663"/>
      <c r="LU49" s="1663"/>
      <c r="LV49" s="1663"/>
      <c r="LW49" s="1663"/>
      <c r="LX49" s="1663"/>
      <c r="LY49" s="1663"/>
      <c r="LZ49" s="101" t="s">
        <v>806</v>
      </c>
      <c r="MA49" s="83" t="str">
        <f>IFERROR(ROUND(VLOOKUP(MA38,'Existing Customer Variable Exp'!$B:$F,5,FALSE)/52,1),"Enter Drops &gt;")</f>
        <v>Enter Drops &gt;</v>
      </c>
      <c r="MB49" s="1663"/>
      <c r="MC49" s="1663"/>
      <c r="MD49" s="1663"/>
      <c r="ME49" s="1663"/>
      <c r="MF49" s="1663"/>
      <c r="MG49" s="1663"/>
      <c r="MH49" s="1663"/>
      <c r="MI49" s="1663"/>
      <c r="MJ49" s="1663"/>
      <c r="MK49" s="1663"/>
      <c r="ML49" s="1663"/>
      <c r="MM49" s="1663"/>
      <c r="MN49" s="1663"/>
      <c r="MO49" s="1663"/>
      <c r="MP49" s="1663"/>
      <c r="MQ49" s="1663"/>
      <c r="MR49" s="1663"/>
      <c r="MS49" s="1663"/>
      <c r="MT49" s="1663"/>
      <c r="MU49" s="1663"/>
      <c r="MV49" s="1663"/>
      <c r="MW49" s="101" t="s">
        <v>806</v>
      </c>
      <c r="MX49" s="83" t="str">
        <f>IFERROR(ROUND(VLOOKUP(MX38,'Existing Customer Variable Exp'!$B:$F,5,FALSE)/52,1),"Enter Drops &gt;")</f>
        <v>Enter Drops &gt;</v>
      </c>
      <c r="MY49" s="1663"/>
      <c r="MZ49" s="1663"/>
      <c r="NA49" s="1663"/>
      <c r="NB49" s="1663"/>
      <c r="NC49" s="1663"/>
      <c r="ND49" s="1663"/>
      <c r="NE49" s="1663"/>
      <c r="NF49" s="1663"/>
      <c r="NG49" s="1663"/>
      <c r="NH49" s="1663"/>
      <c r="NI49" s="1663"/>
      <c r="NJ49" s="1663"/>
      <c r="NK49" s="1663"/>
      <c r="NL49" s="1663"/>
      <c r="NM49" s="1663"/>
      <c r="NN49" s="1663"/>
      <c r="NO49" s="1663"/>
      <c r="NP49" s="1663"/>
      <c r="NQ49" s="1663"/>
      <c r="NR49" s="1663"/>
      <c r="NS49" s="1663"/>
      <c r="NT49" s="101" t="s">
        <v>806</v>
      </c>
      <c r="NU49" s="83" t="str">
        <f>IFERROR(ROUND(VLOOKUP(NU38,'Existing Customer Variable Exp'!$B:$F,5,FALSE)/52,1),"Enter Drops &gt;")</f>
        <v>Enter Drops &gt;</v>
      </c>
      <c r="NV49" s="1663"/>
      <c r="NW49" s="1663"/>
      <c r="NX49" s="1663"/>
      <c r="NY49" s="1663"/>
      <c r="NZ49" s="1663"/>
      <c r="OA49" s="1663"/>
      <c r="OB49" s="1663"/>
      <c r="OC49" s="1663"/>
      <c r="OD49" s="1663"/>
      <c r="OE49" s="1663"/>
      <c r="OF49" s="1663"/>
      <c r="OG49" s="1663"/>
      <c r="OH49" s="1663"/>
      <c r="OI49" s="1663"/>
      <c r="OJ49" s="1663"/>
      <c r="OK49" s="1663"/>
      <c r="OL49" s="1663"/>
      <c r="OM49" s="1663"/>
      <c r="ON49" s="1663"/>
      <c r="OO49" s="1663"/>
      <c r="OP49" s="1663"/>
      <c r="OQ49" s="101" t="s">
        <v>806</v>
      </c>
      <c r="OR49" s="83" t="str">
        <f>IFERROR(ROUND(VLOOKUP(OR38,'Existing Customer Variable Exp'!$B:$F,5,FALSE)/52,1),"Enter Drops &gt;")</f>
        <v>Enter Drops &gt;</v>
      </c>
      <c r="OS49" s="1663"/>
      <c r="OT49" s="1663"/>
      <c r="OU49" s="1663"/>
      <c r="OV49" s="1663"/>
      <c r="OW49" s="1663"/>
      <c r="OX49" s="1663"/>
      <c r="OY49" s="1663"/>
      <c r="OZ49" s="1663"/>
      <c r="PA49" s="1663"/>
      <c r="PB49" s="1663"/>
      <c r="PC49" s="1663"/>
      <c r="PD49" s="1663"/>
      <c r="PE49" s="1663"/>
      <c r="PF49" s="1663"/>
      <c r="PG49" s="1663"/>
      <c r="PH49" s="1663"/>
      <c r="PI49" s="1663"/>
      <c r="PJ49" s="1663"/>
      <c r="PK49" s="1663"/>
      <c r="PL49" s="1663"/>
      <c r="PM49" s="1663"/>
      <c r="PN49" s="101" t="s">
        <v>806</v>
      </c>
      <c r="PO49" s="83" t="str">
        <f>IFERROR(ROUND(VLOOKUP(PO38,'Existing Customer Variable Exp'!$B:$F,5,FALSE)/52,1),"Enter Drops &gt;")</f>
        <v>Enter Drops &gt;</v>
      </c>
      <c r="PP49" s="1663"/>
      <c r="PQ49" s="1663"/>
      <c r="PR49" s="1663"/>
      <c r="PS49" s="1663"/>
      <c r="PT49" s="1663"/>
      <c r="PU49" s="1663"/>
      <c r="PV49" s="1663"/>
      <c r="PW49" s="1663"/>
      <c r="PX49" s="1663"/>
      <c r="PY49" s="1663"/>
      <c r="PZ49" s="1663"/>
      <c r="QA49" s="1663"/>
      <c r="QB49" s="1663"/>
      <c r="QC49" s="1663"/>
      <c r="QD49" s="1663"/>
      <c r="QE49" s="1663"/>
      <c r="QF49" s="1663"/>
      <c r="QG49" s="1663"/>
      <c r="QH49" s="1663"/>
      <c r="QI49" s="1663"/>
      <c r="QJ49" s="1663"/>
      <c r="QK49" s="101" t="s">
        <v>806</v>
      </c>
      <c r="QL49" s="83" t="str">
        <f>IFERROR(ROUND(VLOOKUP(QL38,'Existing Customer Variable Exp'!$B:$F,5,FALSE)/52,1),"Enter Drops &gt;")</f>
        <v>Enter Drops &gt;</v>
      </c>
      <c r="QM49" s="1663"/>
      <c r="QN49" s="1663"/>
      <c r="QO49" s="1663"/>
      <c r="QP49" s="1663"/>
      <c r="QQ49" s="1663"/>
      <c r="QR49" s="1663"/>
      <c r="QS49" s="1663"/>
      <c r="QT49" s="1663"/>
      <c r="QU49" s="1663"/>
      <c r="QV49" s="1663"/>
      <c r="QW49" s="1663"/>
      <c r="QX49" s="1663"/>
      <c r="QY49" s="1663"/>
      <c r="QZ49" s="1663"/>
      <c r="RA49" s="1663"/>
      <c r="RB49" s="1663"/>
      <c r="RC49" s="1663"/>
      <c r="RD49" s="1663"/>
      <c r="RE49" s="1663"/>
      <c r="RF49" s="1663"/>
      <c r="RG49" s="1663"/>
      <c r="RH49" s="101" t="s">
        <v>806</v>
      </c>
      <c r="RI49" s="83" t="str">
        <f>IFERROR(ROUND(VLOOKUP(RI38,'Existing Customer Variable Exp'!$B:$F,5,FALSE)/52,1),"Enter Drops &gt;")</f>
        <v>Enter Drops &gt;</v>
      </c>
      <c r="RJ49" s="1663"/>
      <c r="RK49" s="1663"/>
      <c r="RL49" s="1663"/>
      <c r="RM49" s="1663"/>
      <c r="RN49" s="1663"/>
      <c r="RO49" s="1663"/>
      <c r="RP49" s="1663"/>
      <c r="RQ49" s="1663"/>
      <c r="RR49" s="1663"/>
      <c r="RS49" s="1663"/>
      <c r="RT49" s="1663"/>
      <c r="RU49" s="1663"/>
      <c r="RV49" s="1663"/>
      <c r="RW49" s="1663"/>
      <c r="RX49" s="1663"/>
      <c r="RY49" s="1663"/>
      <c r="RZ49" s="1663"/>
      <c r="SA49" s="1663"/>
      <c r="SB49" s="1663"/>
      <c r="SC49" s="1663"/>
      <c r="SD49" s="1663"/>
      <c r="SE49" s="101" t="s">
        <v>806</v>
      </c>
      <c r="SF49" s="83" t="str">
        <f>IFERROR(ROUND(VLOOKUP(SF38,'Existing Customer Variable Exp'!$B:$F,5,FALSE)/52,1),"Enter Drops &gt;")</f>
        <v>Enter Drops &gt;</v>
      </c>
      <c r="SG49" s="1663"/>
      <c r="SH49" s="1663"/>
      <c r="SI49" s="1663"/>
      <c r="SJ49" s="1663"/>
      <c r="SK49" s="1663"/>
      <c r="SL49" s="1663"/>
      <c r="SM49" s="1663"/>
      <c r="SN49" s="1663"/>
      <c r="SO49" s="1663"/>
      <c r="SP49" s="1663"/>
      <c r="SQ49" s="1663"/>
      <c r="SR49" s="1663"/>
      <c r="SS49" s="1663"/>
      <c r="ST49" s="1663"/>
      <c r="SU49" s="1663"/>
      <c r="SV49" s="1663"/>
      <c r="SW49" s="1663"/>
      <c r="SX49" s="1663"/>
      <c r="SY49" s="1663"/>
      <c r="SZ49" s="1663"/>
      <c r="TA49" s="1663"/>
      <c r="TB49" s="1663"/>
      <c r="TC49" s="1663"/>
      <c r="TD49" s="1663"/>
      <c r="TE49" s="1663"/>
      <c r="TF49" s="1663"/>
      <c r="TG49" s="1663"/>
      <c r="TH49" s="1663"/>
      <c r="TI49" s="1663"/>
      <c r="TJ49" s="1663"/>
      <c r="TK49" s="1663"/>
      <c r="TL49" s="1663"/>
      <c r="TM49" s="1663"/>
      <c r="TN49" s="1663"/>
      <c r="TO49" s="1663"/>
      <c r="TP49" s="1663"/>
      <c r="TQ49" s="1663"/>
      <c r="TR49" s="1663"/>
    </row>
    <row r="50" spans="17:538" x14ac:dyDescent="0.25">
      <c r="Q50" s="1465"/>
      <c r="R50" s="1466"/>
      <c r="S50" s="1466"/>
      <c r="T50" s="1466"/>
      <c r="U50" s="1466"/>
      <c r="V50" s="1466"/>
      <c r="W50" s="1466"/>
      <c r="X50" s="1466"/>
      <c r="Y50" s="1466"/>
      <c r="Z50" s="1479">
        <f t="shared" si="95"/>
        <v>2</v>
      </c>
      <c r="AA50" s="1480"/>
      <c r="AB50" s="1481">
        <f t="shared" si="96"/>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63"/>
      <c r="BH50" s="1663"/>
      <c r="BI50" s="1663"/>
      <c r="BJ50" s="1663" t="s">
        <v>461</v>
      </c>
      <c r="BK50" s="1663">
        <f>IF(BK2="Enter Spend&gt;&gt;&gt;","Enter EB % &gt;",BK$7)</f>
        <v>0</v>
      </c>
      <c r="BL50" s="1663"/>
      <c r="BM50" s="1663"/>
      <c r="BN50" s="1663"/>
      <c r="BO50" s="1663"/>
      <c r="BP50" s="1663"/>
      <c r="BQ50" s="1663"/>
      <c r="BR50" s="1663"/>
      <c r="BS50" s="1663"/>
      <c r="BT50" s="1663"/>
      <c r="BU50" s="1663"/>
      <c r="BV50" s="1663"/>
      <c r="BW50" s="1663"/>
      <c r="BX50" s="1663"/>
      <c r="BY50" s="1663"/>
      <c r="BZ50" s="1663"/>
      <c r="CA50" s="1663"/>
      <c r="CB50" s="1663"/>
      <c r="CC50" s="1663"/>
      <c r="CD50" s="1663"/>
      <c r="CE50" s="1663"/>
      <c r="CF50" s="1663"/>
      <c r="CG50" s="101" t="s">
        <v>461</v>
      </c>
      <c r="CH50" s="127">
        <f>IF(CH2="Enter Spend&gt;&gt;&gt;","Enter EB % &gt;",CH$7)</f>
        <v>0</v>
      </c>
      <c r="CI50" s="1663"/>
      <c r="CJ50" s="1663"/>
      <c r="CK50" s="1663"/>
      <c r="CL50" s="1663"/>
      <c r="CM50" s="1663"/>
      <c r="CN50" s="1663"/>
      <c r="CO50" s="1663"/>
      <c r="CP50" s="1663"/>
      <c r="CQ50" s="1663"/>
      <c r="CR50" s="1663"/>
      <c r="CS50" s="1663"/>
      <c r="CT50" s="1663"/>
      <c r="CU50" s="1663"/>
      <c r="CV50" s="1663"/>
      <c r="CW50" s="1663"/>
      <c r="CX50" s="1663"/>
      <c r="CY50" s="1663"/>
      <c r="CZ50" s="1663"/>
      <c r="DA50" s="1663"/>
      <c r="DB50" s="1663"/>
      <c r="DC50" s="1663"/>
      <c r="DD50" s="101" t="s">
        <v>461</v>
      </c>
      <c r="DE50" s="127">
        <f>IF(DE2="Enter Spend&gt;&gt;&gt;","Enter EB % &gt;",DE$7)</f>
        <v>0</v>
      </c>
      <c r="DF50" s="1663"/>
      <c r="DG50" s="1663"/>
      <c r="DH50" s="1663"/>
      <c r="DI50" s="1663"/>
      <c r="DJ50" s="1663"/>
      <c r="DK50" s="1663"/>
      <c r="DL50" s="1663"/>
      <c r="DM50" s="1663"/>
      <c r="DN50" s="1663"/>
      <c r="DO50" s="1663"/>
      <c r="DP50" s="1663"/>
      <c r="DQ50" s="1663"/>
      <c r="DR50" s="1663"/>
      <c r="DS50" s="1663"/>
      <c r="DT50" s="1663"/>
      <c r="DU50" s="1663"/>
      <c r="DV50" s="1663"/>
      <c r="DW50" s="1663"/>
      <c r="DX50" s="1663"/>
      <c r="DY50" s="1663"/>
      <c r="DZ50" s="1663"/>
      <c r="EA50" s="101" t="s">
        <v>461</v>
      </c>
      <c r="EB50" s="127">
        <f>IF(EB2="Enter Spend&gt;&gt;&gt;","Enter EB % &gt;",EB$7)</f>
        <v>0</v>
      </c>
      <c r="EC50" s="1663"/>
      <c r="ED50" s="1663"/>
      <c r="EE50" s="1663"/>
      <c r="EF50" s="1663"/>
      <c r="EG50" s="1663"/>
      <c r="EH50" s="1663"/>
      <c r="EI50" s="1663"/>
      <c r="EJ50" s="1663"/>
      <c r="EK50" s="1663"/>
      <c r="EL50" s="1663"/>
      <c r="EM50" s="1663"/>
      <c r="EN50" s="1663"/>
      <c r="EO50" s="1663"/>
      <c r="EP50" s="1663"/>
      <c r="EQ50" s="1663"/>
      <c r="ER50" s="1663"/>
      <c r="ES50" s="1663"/>
      <c r="ET50" s="1663"/>
      <c r="EU50" s="1663"/>
      <c r="EV50" s="1663"/>
      <c r="EW50" s="1663"/>
      <c r="EX50" s="101" t="s">
        <v>461</v>
      </c>
      <c r="EY50" s="127">
        <f>IF(EY2="Enter Spend&gt;&gt;&gt;","Enter EB % &gt;",EY$7)</f>
        <v>0</v>
      </c>
      <c r="EZ50" s="1663"/>
      <c r="FA50" s="1663"/>
      <c r="FB50" s="1663"/>
      <c r="FC50" s="1663"/>
      <c r="FD50" s="1663"/>
      <c r="FE50" s="1663"/>
      <c r="FF50" s="1663"/>
      <c r="FG50" s="1663"/>
      <c r="FH50" s="1663"/>
      <c r="FI50" s="1663"/>
      <c r="FJ50" s="1663"/>
      <c r="FK50" s="1663"/>
      <c r="FL50" s="1663"/>
      <c r="FM50" s="1663"/>
      <c r="FN50" s="1663"/>
      <c r="FO50" s="1663"/>
      <c r="FP50" s="1663"/>
      <c r="FQ50" s="1663"/>
      <c r="FR50" s="1663"/>
      <c r="FS50" s="1663"/>
      <c r="FT50" s="1663"/>
      <c r="FU50" s="101" t="s">
        <v>461</v>
      </c>
      <c r="FV50" s="127">
        <f>IF(FV2="Enter Spend&gt;&gt;&gt;","Enter EB % &gt;",FV$7)</f>
        <v>0</v>
      </c>
      <c r="FW50" s="1663"/>
      <c r="FX50" s="1663"/>
      <c r="FY50" s="1663"/>
      <c r="FZ50" s="1663"/>
      <c r="GA50" s="1663"/>
      <c r="GB50" s="1663"/>
      <c r="GC50" s="1663"/>
      <c r="GD50" s="1663"/>
      <c r="GE50" s="1663"/>
      <c r="GF50" s="1663"/>
      <c r="GG50" s="1663"/>
      <c r="GH50" s="1663"/>
      <c r="GI50" s="1663"/>
      <c r="GJ50" s="1663"/>
      <c r="GK50" s="1663"/>
      <c r="GL50" s="1663"/>
      <c r="GM50" s="1663"/>
      <c r="GN50" s="1663"/>
      <c r="GO50" s="1663"/>
      <c r="GP50" s="1663"/>
      <c r="GQ50" s="1663"/>
      <c r="GR50" s="101" t="s">
        <v>461</v>
      </c>
      <c r="GS50" s="127">
        <f>IF(GS2="Enter Spend&gt;&gt;&gt;","Enter EB % &gt;",GS$7)</f>
        <v>0</v>
      </c>
      <c r="GT50" s="1663"/>
      <c r="GU50" s="1663"/>
      <c r="GV50" s="1663"/>
      <c r="GW50" s="1663"/>
      <c r="GX50" s="1663"/>
      <c r="GY50" s="1663"/>
      <c r="GZ50" s="1663"/>
      <c r="HA50" s="1663"/>
      <c r="HB50" s="1663"/>
      <c r="HC50" s="1663"/>
      <c r="HD50" s="1663"/>
      <c r="HE50" s="1663"/>
      <c r="HF50" s="1663"/>
      <c r="HG50" s="1663"/>
      <c r="HH50" s="1663"/>
      <c r="HI50" s="1663"/>
      <c r="HJ50" s="1663"/>
      <c r="HK50" s="1663"/>
      <c r="HL50" s="1663"/>
      <c r="HM50" s="1663"/>
      <c r="HN50" s="1663"/>
      <c r="HO50" s="101" t="s">
        <v>461</v>
      </c>
      <c r="HP50" s="127">
        <f>IF(HP2="Enter Spend&gt;&gt;&gt;","Enter EB % &gt;",HP$7)</f>
        <v>0</v>
      </c>
      <c r="HQ50" s="1663"/>
      <c r="HR50" s="1663"/>
      <c r="HS50" s="1663"/>
      <c r="HT50" s="1663"/>
      <c r="HU50" s="1663"/>
      <c r="HV50" s="1663"/>
      <c r="HW50" s="1663"/>
      <c r="HX50" s="1663"/>
      <c r="HY50" s="1663"/>
      <c r="HZ50" s="1663"/>
      <c r="IA50" s="1663"/>
      <c r="IB50" s="1663"/>
      <c r="IC50" s="1663"/>
      <c r="ID50" s="1663"/>
      <c r="IE50" s="1663"/>
      <c r="IF50" s="1663"/>
      <c r="IG50" s="1663"/>
      <c r="IH50" s="1663"/>
      <c r="II50" s="1663"/>
      <c r="IJ50" s="1663"/>
      <c r="IK50" s="1663"/>
      <c r="IL50" s="101" t="s">
        <v>461</v>
      </c>
      <c r="IM50" s="127">
        <f>IF(IM2="Enter Spend&gt;&gt;&gt;","Enter EB % &gt;",IM$7)</f>
        <v>0</v>
      </c>
      <c r="IN50" s="1663"/>
      <c r="IO50" s="1663"/>
      <c r="IP50" s="1663"/>
      <c r="IQ50" s="1663"/>
      <c r="IR50" s="1663"/>
      <c r="IS50" s="1663"/>
      <c r="IT50" s="1663"/>
      <c r="IU50" s="1663"/>
      <c r="IV50" s="1663"/>
      <c r="IW50" s="1663"/>
      <c r="IX50" s="1663"/>
      <c r="IY50" s="1663"/>
      <c r="IZ50" s="1663"/>
      <c r="JA50" s="1663"/>
      <c r="JB50" s="1663"/>
      <c r="JC50" s="1663"/>
      <c r="JD50" s="1663"/>
      <c r="JE50" s="1663"/>
      <c r="JF50" s="1663"/>
      <c r="JG50" s="1663"/>
      <c r="JH50" s="1663"/>
      <c r="JI50" s="101" t="s">
        <v>461</v>
      </c>
      <c r="JJ50" s="127">
        <f>IF(JJ2="Enter Spend&gt;&gt;&gt;","Enter EB % &gt;",JJ$7)</f>
        <v>0</v>
      </c>
      <c r="JK50" s="1663"/>
      <c r="JL50" s="1663"/>
      <c r="JM50" s="1663"/>
      <c r="JN50" s="1663"/>
      <c r="JO50" s="1663"/>
      <c r="JP50" s="1663"/>
      <c r="JQ50" s="1663"/>
      <c r="JR50" s="1663"/>
      <c r="JS50" s="1663"/>
      <c r="JT50" s="1663"/>
      <c r="JU50" s="1663"/>
      <c r="JV50" s="1663"/>
      <c r="JW50" s="1663"/>
      <c r="JX50" s="1663"/>
      <c r="JY50" s="1663"/>
      <c r="JZ50" s="1663"/>
      <c r="KA50" s="1663"/>
      <c r="KB50" s="1663"/>
      <c r="KC50" s="1663"/>
      <c r="KD50" s="1663"/>
      <c r="KE50" s="1663"/>
      <c r="KF50" s="101" t="s">
        <v>461</v>
      </c>
      <c r="KG50" s="127">
        <f>IF(KG2="Enter Spend&gt;&gt;&gt;","Enter EB % &gt;",KG$7)</f>
        <v>0</v>
      </c>
      <c r="KH50" s="1663"/>
      <c r="KI50" s="1663"/>
      <c r="KJ50" s="1663"/>
      <c r="KK50" s="1663"/>
      <c r="KL50" s="1663"/>
      <c r="KM50" s="1663"/>
      <c r="KN50" s="1663"/>
      <c r="KO50" s="1663"/>
      <c r="KP50" s="1663"/>
      <c r="KQ50" s="1663"/>
      <c r="KR50" s="1663"/>
      <c r="KS50" s="1663"/>
      <c r="KT50" s="1663"/>
      <c r="KU50" s="1663"/>
      <c r="KV50" s="1663"/>
      <c r="KW50" s="1663"/>
      <c r="KX50" s="1663"/>
      <c r="KY50" s="1663"/>
      <c r="KZ50" s="1663"/>
      <c r="LA50" s="1663"/>
      <c r="LB50" s="1663"/>
      <c r="LC50" s="101" t="s">
        <v>461</v>
      </c>
      <c r="LD50" s="127">
        <f>IF(LD2="Enter Spend&gt;&gt;&gt;","Enter EB % &gt;",LD$7)</f>
        <v>0</v>
      </c>
      <c r="LE50" s="1663"/>
      <c r="LF50" s="1663"/>
      <c r="LG50" s="1663"/>
      <c r="LH50" s="1663"/>
      <c r="LI50" s="1663"/>
      <c r="LJ50" s="1663"/>
      <c r="LK50" s="1663"/>
      <c r="LL50" s="1663"/>
      <c r="LM50" s="1663"/>
      <c r="LN50" s="1663"/>
      <c r="LO50" s="1663"/>
      <c r="LP50" s="1663"/>
      <c r="LQ50" s="1663"/>
      <c r="LR50" s="1663"/>
      <c r="LS50" s="1663"/>
      <c r="LT50" s="1663"/>
      <c r="LU50" s="1663"/>
      <c r="LV50" s="1663"/>
      <c r="LW50" s="1663"/>
      <c r="LX50" s="1663"/>
      <c r="LY50" s="1663"/>
      <c r="LZ50" s="101" t="s">
        <v>461</v>
      </c>
      <c r="MA50" s="127">
        <f>IF(MA2="Enter Spend&gt;&gt;&gt;","Enter EB % &gt;",MA$7)</f>
        <v>0</v>
      </c>
      <c r="MB50" s="1663"/>
      <c r="MC50" s="1663"/>
      <c r="MD50" s="1663"/>
      <c r="ME50" s="1663"/>
      <c r="MF50" s="1663"/>
      <c r="MG50" s="1663"/>
      <c r="MH50" s="1663"/>
      <c r="MI50" s="1663"/>
      <c r="MJ50" s="1663"/>
      <c r="MK50" s="1663"/>
      <c r="ML50" s="1663"/>
      <c r="MM50" s="1663"/>
      <c r="MN50" s="1663"/>
      <c r="MO50" s="1663"/>
      <c r="MP50" s="1663"/>
      <c r="MQ50" s="1663"/>
      <c r="MR50" s="1663"/>
      <c r="MS50" s="1663"/>
      <c r="MT50" s="1663"/>
      <c r="MU50" s="1663"/>
      <c r="MV50" s="1663"/>
      <c r="MW50" s="101" t="s">
        <v>461</v>
      </c>
      <c r="MX50" s="127">
        <f>IF(MX2="Enter Spend&gt;&gt;&gt;","Enter EB % &gt;",MX$7)</f>
        <v>0</v>
      </c>
      <c r="MY50" s="1663"/>
      <c r="MZ50" s="1663"/>
      <c r="NA50" s="1663"/>
      <c r="NB50" s="1663"/>
      <c r="NC50" s="1663"/>
      <c r="ND50" s="1663"/>
      <c r="NE50" s="1663"/>
      <c r="NF50" s="1663"/>
      <c r="NG50" s="1663"/>
      <c r="NH50" s="1663"/>
      <c r="NI50" s="1663"/>
      <c r="NJ50" s="1663"/>
      <c r="NK50" s="1663"/>
      <c r="NL50" s="1663"/>
      <c r="NM50" s="1663"/>
      <c r="NN50" s="1663"/>
      <c r="NO50" s="1663"/>
      <c r="NP50" s="1663"/>
      <c r="NQ50" s="1663"/>
      <c r="NR50" s="1663"/>
      <c r="NS50" s="1663"/>
      <c r="NT50" s="101" t="s">
        <v>461</v>
      </c>
      <c r="NU50" s="127">
        <f>IF(NU2="Enter Spend&gt;&gt;&gt;","Enter EB % &gt;",NU$7)</f>
        <v>0</v>
      </c>
      <c r="NV50" s="1663"/>
      <c r="NW50" s="1663"/>
      <c r="NX50" s="1663"/>
      <c r="NY50" s="1663"/>
      <c r="NZ50" s="1663"/>
      <c r="OA50" s="1663"/>
      <c r="OB50" s="1663"/>
      <c r="OC50" s="1663"/>
      <c r="OD50" s="1663"/>
      <c r="OE50" s="1663"/>
      <c r="OF50" s="1663"/>
      <c r="OG50" s="1663"/>
      <c r="OH50" s="1663"/>
      <c r="OI50" s="1663"/>
      <c r="OJ50" s="1663"/>
      <c r="OK50" s="1663"/>
      <c r="OL50" s="1663"/>
      <c r="OM50" s="1663"/>
      <c r="ON50" s="1663"/>
      <c r="OO50" s="1663"/>
      <c r="OP50" s="1663"/>
      <c r="OQ50" s="101" t="s">
        <v>461</v>
      </c>
      <c r="OR50" s="127">
        <f>IF(OR2="Enter Spend&gt;&gt;&gt;","Enter EB % &gt;",OR$7)</f>
        <v>0</v>
      </c>
      <c r="OS50" s="1663"/>
      <c r="OT50" s="1663"/>
      <c r="OU50" s="1663"/>
      <c r="OV50" s="1663"/>
      <c r="OW50" s="1663"/>
      <c r="OX50" s="1663"/>
      <c r="OY50" s="1663"/>
      <c r="OZ50" s="1663"/>
      <c r="PA50" s="1663"/>
      <c r="PB50" s="1663"/>
      <c r="PC50" s="1663"/>
      <c r="PD50" s="1663"/>
      <c r="PE50" s="1663"/>
      <c r="PF50" s="1663"/>
      <c r="PG50" s="1663"/>
      <c r="PH50" s="1663"/>
      <c r="PI50" s="1663"/>
      <c r="PJ50" s="1663"/>
      <c r="PK50" s="1663"/>
      <c r="PL50" s="1663"/>
      <c r="PM50" s="1663"/>
      <c r="PN50" s="101" t="s">
        <v>461</v>
      </c>
      <c r="PO50" s="127">
        <f>IF(PO2="Enter Spend&gt;&gt;&gt;","Enter EB % &gt;",PO$7)</f>
        <v>0</v>
      </c>
      <c r="PP50" s="1663"/>
      <c r="PQ50" s="1663"/>
      <c r="PR50" s="1663"/>
      <c r="PS50" s="1663"/>
      <c r="PT50" s="1663"/>
      <c r="PU50" s="1663"/>
      <c r="PV50" s="1663"/>
      <c r="PW50" s="1663"/>
      <c r="PX50" s="1663"/>
      <c r="PY50" s="1663"/>
      <c r="PZ50" s="1663"/>
      <c r="QA50" s="1663"/>
      <c r="QB50" s="1663"/>
      <c r="QC50" s="1663"/>
      <c r="QD50" s="1663"/>
      <c r="QE50" s="1663"/>
      <c r="QF50" s="1663"/>
      <c r="QG50" s="1663"/>
      <c r="QH50" s="1663"/>
      <c r="QI50" s="1663"/>
      <c r="QJ50" s="1663"/>
      <c r="QK50" s="101" t="s">
        <v>461</v>
      </c>
      <c r="QL50" s="127">
        <f>IF(QL2="Enter Spend&gt;&gt;&gt;","Enter EB % &gt;",QL$7)</f>
        <v>0</v>
      </c>
      <c r="QM50" s="1663"/>
      <c r="QN50" s="1663"/>
      <c r="QO50" s="1663"/>
      <c r="QP50" s="1663"/>
      <c r="QQ50" s="1663"/>
      <c r="QR50" s="1663"/>
      <c r="QS50" s="1663"/>
      <c r="QT50" s="1663"/>
      <c r="QU50" s="1663"/>
      <c r="QV50" s="1663"/>
      <c r="QW50" s="1663"/>
      <c r="QX50" s="1663"/>
      <c r="QY50" s="1663"/>
      <c r="QZ50" s="1663"/>
      <c r="RA50" s="1663"/>
      <c r="RB50" s="1663"/>
      <c r="RC50" s="1663"/>
      <c r="RD50" s="1663"/>
      <c r="RE50" s="1663"/>
      <c r="RF50" s="1663"/>
      <c r="RG50" s="1663"/>
      <c r="RH50" s="101" t="s">
        <v>461</v>
      </c>
      <c r="RI50" s="127">
        <f>IF(RI2="Enter Spend&gt;&gt;&gt;","Enter EB % &gt;",RI$7)</f>
        <v>0</v>
      </c>
      <c r="RJ50" s="1663"/>
      <c r="RK50" s="1663"/>
      <c r="RL50" s="1663"/>
      <c r="RM50" s="1663"/>
      <c r="RN50" s="1663"/>
      <c r="RO50" s="1663"/>
      <c r="RP50" s="1663"/>
      <c r="RQ50" s="1663"/>
      <c r="RR50" s="1663"/>
      <c r="RS50" s="1663"/>
      <c r="RT50" s="1663"/>
      <c r="RU50" s="1663"/>
      <c r="RV50" s="1663"/>
      <c r="RW50" s="1663"/>
      <c r="RX50" s="1663"/>
      <c r="RY50" s="1663"/>
      <c r="RZ50" s="1663"/>
      <c r="SA50" s="1663"/>
      <c r="SB50" s="1663"/>
      <c r="SC50" s="1663"/>
      <c r="SD50" s="1663"/>
      <c r="SE50" s="101" t="s">
        <v>461</v>
      </c>
      <c r="SF50" s="127">
        <f>IF(SF2="Enter Spend&gt;&gt;&gt;","Enter EB % &gt;",SF$7)</f>
        <v>0</v>
      </c>
      <c r="SG50" s="1663"/>
      <c r="SH50" s="1663"/>
      <c r="SI50" s="1663"/>
      <c r="SJ50" s="1663"/>
      <c r="SK50" s="1663"/>
      <c r="SL50" s="1663"/>
      <c r="SM50" s="1663"/>
      <c r="SN50" s="1663"/>
      <c r="SO50" s="1663"/>
      <c r="SP50" s="1663"/>
      <c r="SQ50" s="1663"/>
      <c r="SR50" s="1663"/>
      <c r="SS50" s="1663"/>
      <c r="ST50" s="1663"/>
      <c r="SU50" s="1663"/>
      <c r="SV50" s="1663"/>
      <c r="SW50" s="1663"/>
      <c r="SX50" s="1663"/>
      <c r="SY50" s="1663"/>
      <c r="SZ50" s="1663"/>
      <c r="TA50" s="1663"/>
      <c r="TB50" s="1663"/>
      <c r="TC50" s="1663"/>
      <c r="TD50" s="1663"/>
      <c r="TE50" s="1663"/>
      <c r="TF50" s="1663"/>
      <c r="TG50" s="1663"/>
      <c r="TH50" s="1663"/>
      <c r="TI50" s="1663"/>
      <c r="TJ50" s="1663"/>
      <c r="TK50" s="1663"/>
      <c r="TL50" s="1663"/>
      <c r="TM50" s="1663"/>
      <c r="TN50" s="1663"/>
      <c r="TO50" s="1663"/>
      <c r="TP50" s="1663"/>
      <c r="TQ50" s="1663"/>
      <c r="TR50" s="1663"/>
    </row>
    <row r="51" spans="17:538" x14ac:dyDescent="0.25">
      <c r="Q51" s="1465"/>
      <c r="R51" s="1466"/>
      <c r="S51" s="1466"/>
      <c r="T51" s="1466"/>
      <c r="U51" s="1466"/>
      <c r="V51" s="1466"/>
      <c r="W51" s="1466"/>
      <c r="X51" s="1466"/>
      <c r="Y51" s="1466"/>
      <c r="Z51" s="1479">
        <f t="shared" si="95"/>
        <v>2</v>
      </c>
      <c r="AA51" s="1480"/>
      <c r="AB51" s="1481">
        <f t="shared" si="96"/>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63"/>
      <c r="BH51" s="1663"/>
      <c r="BI51" s="1663"/>
      <c r="BJ51" s="1663" t="s">
        <v>916</v>
      </c>
      <c r="BK51" s="1663">
        <f>SUMIFS('Existing Customers'!$N:$N,'Existing Customers'!$A:$A,'Multi-Customer'!BK$38)</f>
        <v>0</v>
      </c>
      <c r="BL51" s="1663"/>
      <c r="BM51" s="1663"/>
      <c r="BN51" s="1663"/>
      <c r="BO51" s="1663"/>
      <c r="BP51" s="1663"/>
      <c r="BQ51" s="1663"/>
      <c r="BR51" s="1663"/>
      <c r="BS51" s="1663"/>
      <c r="BT51" s="1663"/>
      <c r="BU51" s="1663"/>
      <c r="BV51" s="1663"/>
      <c r="BW51" s="1663"/>
      <c r="BX51" s="1663"/>
      <c r="BY51" s="1663"/>
      <c r="BZ51" s="1663"/>
      <c r="CA51" s="1663"/>
      <c r="CB51" s="1663"/>
      <c r="CC51" s="1663"/>
      <c r="CD51" s="1663"/>
      <c r="CE51" s="1663"/>
      <c r="CF51" s="1663"/>
      <c r="CG51" s="101" t="s">
        <v>910</v>
      </c>
      <c r="CH51" s="105">
        <f>SUMIFS('Existing Customers'!$N:$N,'Existing Customers'!$A:$A,'Multi-Customer'!CH$38)</f>
        <v>0</v>
      </c>
      <c r="CI51" s="1663"/>
      <c r="CJ51" s="1663"/>
      <c r="CK51" s="1663"/>
      <c r="CL51" s="1663"/>
      <c r="CM51" s="1663"/>
      <c r="CN51" s="1663"/>
      <c r="CO51" s="1663"/>
      <c r="CP51" s="1663"/>
      <c r="CQ51" s="1663"/>
      <c r="CR51" s="1663"/>
      <c r="CS51" s="1663"/>
      <c r="CT51" s="1663"/>
      <c r="CU51" s="1663"/>
      <c r="CV51" s="1663"/>
      <c r="CW51" s="1663"/>
      <c r="CX51" s="1663"/>
      <c r="CY51" s="1663"/>
      <c r="CZ51" s="1663"/>
      <c r="DA51" s="1663"/>
      <c r="DB51" s="1663"/>
      <c r="DC51" s="1663"/>
      <c r="DD51" s="101" t="s">
        <v>910</v>
      </c>
      <c r="DE51" s="105">
        <f>SUMIFS('Existing Customers'!$N:$N,'Existing Customers'!$A:$A,'Multi-Customer'!DE$38)</f>
        <v>0</v>
      </c>
      <c r="DF51" s="1663"/>
      <c r="DG51" s="1663"/>
      <c r="DH51" s="1663"/>
      <c r="DI51" s="1663"/>
      <c r="DJ51" s="1663"/>
      <c r="DK51" s="1663"/>
      <c r="DL51" s="1663"/>
      <c r="DM51" s="1663"/>
      <c r="DN51" s="1663"/>
      <c r="DO51" s="1663"/>
      <c r="DP51" s="1663"/>
      <c r="DQ51" s="1663"/>
      <c r="DR51" s="1663"/>
      <c r="DS51" s="1663"/>
      <c r="DT51" s="1663"/>
      <c r="DU51" s="1663"/>
      <c r="DV51" s="1663"/>
      <c r="DW51" s="1663"/>
      <c r="DX51" s="1663"/>
      <c r="DY51" s="1663"/>
      <c r="DZ51" s="1663"/>
      <c r="EA51" s="101" t="s">
        <v>910</v>
      </c>
      <c r="EB51" s="105">
        <f>SUMIFS('Existing Customers'!$N:$N,'Existing Customers'!$A:$A,'Multi-Customer'!EB$38)</f>
        <v>0</v>
      </c>
      <c r="EC51" s="1663"/>
      <c r="ED51" s="1663"/>
      <c r="EE51" s="1663"/>
      <c r="EF51" s="1663"/>
      <c r="EG51" s="1663"/>
      <c r="EH51" s="1663"/>
      <c r="EI51" s="1663"/>
      <c r="EJ51" s="1663"/>
      <c r="EK51" s="1663"/>
      <c r="EL51" s="1663"/>
      <c r="EM51" s="1663"/>
      <c r="EN51" s="1663"/>
      <c r="EO51" s="1663"/>
      <c r="EP51" s="1663"/>
      <c r="EQ51" s="1663"/>
      <c r="ER51" s="1663"/>
      <c r="ES51" s="1663"/>
      <c r="ET51" s="1663"/>
      <c r="EU51" s="1663"/>
      <c r="EV51" s="1663"/>
      <c r="EW51" s="1663"/>
      <c r="EX51" s="101" t="s">
        <v>910</v>
      </c>
      <c r="EY51" s="105">
        <f>SUMIFS('Existing Customers'!$N:$N,'Existing Customers'!$A:$A,'Multi-Customer'!EY$38)</f>
        <v>0</v>
      </c>
      <c r="EZ51" s="1663"/>
      <c r="FA51" s="1663"/>
      <c r="FB51" s="1663"/>
      <c r="FC51" s="1663"/>
      <c r="FD51" s="1663"/>
      <c r="FE51" s="1663"/>
      <c r="FF51" s="1663"/>
      <c r="FG51" s="1663"/>
      <c r="FH51" s="1663"/>
      <c r="FI51" s="1663"/>
      <c r="FJ51" s="1663"/>
      <c r="FK51" s="1663"/>
      <c r="FL51" s="1663"/>
      <c r="FM51" s="1663"/>
      <c r="FN51" s="1663"/>
      <c r="FO51" s="1663"/>
      <c r="FP51" s="1663"/>
      <c r="FQ51" s="1663"/>
      <c r="FR51" s="1663"/>
      <c r="FS51" s="1663"/>
      <c r="FT51" s="1663"/>
      <c r="FU51" s="101" t="s">
        <v>910</v>
      </c>
      <c r="FV51" s="105">
        <f>SUMIFS('Existing Customers'!$N:$N,'Existing Customers'!$A:$A,'Multi-Customer'!FV$38)</f>
        <v>0</v>
      </c>
      <c r="FW51" s="1663"/>
      <c r="FX51" s="1663"/>
      <c r="FY51" s="1663"/>
      <c r="FZ51" s="1663"/>
      <c r="GA51" s="1663"/>
      <c r="GB51" s="1663"/>
      <c r="GC51" s="1663"/>
      <c r="GD51" s="1663"/>
      <c r="GE51" s="1663"/>
      <c r="GF51" s="1663"/>
      <c r="GG51" s="1663"/>
      <c r="GH51" s="1663"/>
      <c r="GI51" s="1663"/>
      <c r="GJ51" s="1663"/>
      <c r="GK51" s="1663"/>
      <c r="GL51" s="1663"/>
      <c r="GM51" s="1663"/>
      <c r="GN51" s="1663"/>
      <c r="GO51" s="1663"/>
      <c r="GP51" s="1663"/>
      <c r="GQ51" s="1663"/>
      <c r="GR51" s="101" t="s">
        <v>910</v>
      </c>
      <c r="GS51" s="105">
        <f>SUMIFS('Existing Customers'!$N:$N,'Existing Customers'!$A:$A,'Multi-Customer'!GS$38)</f>
        <v>0</v>
      </c>
      <c r="GT51" s="1663"/>
      <c r="GU51" s="1663"/>
      <c r="GV51" s="1663"/>
      <c r="GW51" s="1663"/>
      <c r="GX51" s="1663"/>
      <c r="GY51" s="1663"/>
      <c r="GZ51" s="1663"/>
      <c r="HA51" s="1663"/>
      <c r="HB51" s="1663"/>
      <c r="HC51" s="1663"/>
      <c r="HD51" s="1663"/>
      <c r="HE51" s="1663"/>
      <c r="HF51" s="1663"/>
      <c r="HG51" s="1663"/>
      <c r="HH51" s="1663"/>
      <c r="HI51" s="1663"/>
      <c r="HJ51" s="1663"/>
      <c r="HK51" s="1663"/>
      <c r="HL51" s="1663"/>
      <c r="HM51" s="1663"/>
      <c r="HN51" s="1663"/>
      <c r="HO51" s="101" t="s">
        <v>910</v>
      </c>
      <c r="HP51" s="105">
        <f>SUMIFS('Existing Customers'!$N:$N,'Existing Customers'!$A:$A,'Multi-Customer'!HP$38)</f>
        <v>0</v>
      </c>
      <c r="HQ51" s="1663"/>
      <c r="HR51" s="1663"/>
      <c r="HS51" s="1663"/>
      <c r="HT51" s="1663"/>
      <c r="HU51" s="1663"/>
      <c r="HV51" s="1663"/>
      <c r="HW51" s="1663"/>
      <c r="HX51" s="1663"/>
      <c r="HY51" s="1663"/>
      <c r="HZ51" s="1663"/>
      <c r="IA51" s="1663"/>
      <c r="IB51" s="1663"/>
      <c r="IC51" s="1663"/>
      <c r="ID51" s="1663"/>
      <c r="IE51" s="1663"/>
      <c r="IF51" s="1663"/>
      <c r="IG51" s="1663"/>
      <c r="IH51" s="1663"/>
      <c r="II51" s="1663"/>
      <c r="IJ51" s="1663"/>
      <c r="IK51" s="1663"/>
      <c r="IL51" s="101" t="s">
        <v>910</v>
      </c>
      <c r="IM51" s="105">
        <f>SUMIFS('Existing Customers'!$N:$N,'Existing Customers'!$A:$A,'Multi-Customer'!IM$38)</f>
        <v>0</v>
      </c>
      <c r="IN51" s="1663"/>
      <c r="IO51" s="1663"/>
      <c r="IP51" s="1663"/>
      <c r="IQ51" s="1663"/>
      <c r="IR51" s="1663"/>
      <c r="IS51" s="1663"/>
      <c r="IT51" s="1663"/>
      <c r="IU51" s="1663"/>
      <c r="IV51" s="1663"/>
      <c r="IW51" s="1663"/>
      <c r="IX51" s="1663"/>
      <c r="IY51" s="1663"/>
      <c r="IZ51" s="1663"/>
      <c r="JA51" s="1663"/>
      <c r="JB51" s="1663"/>
      <c r="JC51" s="1663"/>
      <c r="JD51" s="1663"/>
      <c r="JE51" s="1663"/>
      <c r="JF51" s="1663"/>
      <c r="JG51" s="1663"/>
      <c r="JH51" s="1663"/>
      <c r="JI51" s="101" t="s">
        <v>910</v>
      </c>
      <c r="JJ51" s="105">
        <f>SUMIFS('Existing Customers'!$N:$N,'Existing Customers'!$A:$A,'Multi-Customer'!JJ$38)</f>
        <v>0</v>
      </c>
      <c r="JK51" s="1663"/>
      <c r="JL51" s="1663"/>
      <c r="JM51" s="1663"/>
      <c r="JN51" s="1663"/>
      <c r="JO51" s="1663"/>
      <c r="JP51" s="1663"/>
      <c r="JQ51" s="1663"/>
      <c r="JR51" s="1663"/>
      <c r="JS51" s="1663"/>
      <c r="JT51" s="1663"/>
      <c r="JU51" s="1663"/>
      <c r="JV51" s="1663"/>
      <c r="JW51" s="1663"/>
      <c r="JX51" s="1663"/>
      <c r="JY51" s="1663"/>
      <c r="JZ51" s="1663"/>
      <c r="KA51" s="1663"/>
      <c r="KB51" s="1663"/>
      <c r="KC51" s="1663"/>
      <c r="KD51" s="1663"/>
      <c r="KE51" s="1663"/>
      <c r="KF51" s="101" t="s">
        <v>910</v>
      </c>
      <c r="KG51" s="105">
        <f>SUMIFS('Existing Customers'!$N:$N,'Existing Customers'!$A:$A,'Multi-Customer'!KG$38)</f>
        <v>0</v>
      </c>
      <c r="KH51" s="1663"/>
      <c r="KI51" s="1663"/>
      <c r="KJ51" s="1663"/>
      <c r="KK51" s="1663"/>
      <c r="KL51" s="1663"/>
      <c r="KM51" s="1663"/>
      <c r="KN51" s="1663"/>
      <c r="KO51" s="1663"/>
      <c r="KP51" s="1663"/>
      <c r="KQ51" s="1663"/>
      <c r="KR51" s="1663"/>
      <c r="KS51" s="1663"/>
      <c r="KT51" s="1663"/>
      <c r="KU51" s="1663"/>
      <c r="KV51" s="1663"/>
      <c r="KW51" s="1663"/>
      <c r="KX51" s="1663"/>
      <c r="KY51" s="1663"/>
      <c r="KZ51" s="1663"/>
      <c r="LA51" s="1663"/>
      <c r="LB51" s="1663"/>
      <c r="LC51" s="101" t="s">
        <v>910</v>
      </c>
      <c r="LD51" s="105">
        <f>SUMIFS('Existing Customers'!$N:$N,'Existing Customers'!$A:$A,'Multi-Customer'!LD$38)</f>
        <v>0</v>
      </c>
      <c r="LE51" s="1663"/>
      <c r="LF51" s="1663"/>
      <c r="LG51" s="1663"/>
      <c r="LH51" s="1663"/>
      <c r="LI51" s="1663"/>
      <c r="LJ51" s="1663"/>
      <c r="LK51" s="1663"/>
      <c r="LL51" s="1663"/>
      <c r="LM51" s="1663"/>
      <c r="LN51" s="1663"/>
      <c r="LO51" s="1663"/>
      <c r="LP51" s="1663"/>
      <c r="LQ51" s="1663"/>
      <c r="LR51" s="1663"/>
      <c r="LS51" s="1663"/>
      <c r="LT51" s="1663"/>
      <c r="LU51" s="1663"/>
      <c r="LV51" s="1663"/>
      <c r="LW51" s="1663"/>
      <c r="LX51" s="1663"/>
      <c r="LY51" s="1663"/>
      <c r="LZ51" s="101" t="s">
        <v>910</v>
      </c>
      <c r="MA51" s="105">
        <f>SUMIFS('Existing Customers'!$N:$N,'Existing Customers'!$A:$A,'Multi-Customer'!MA$38)</f>
        <v>0</v>
      </c>
      <c r="MB51" s="1663"/>
      <c r="MC51" s="1663"/>
      <c r="MD51" s="1663"/>
      <c r="ME51" s="1663"/>
      <c r="MF51" s="1663"/>
      <c r="MG51" s="1663"/>
      <c r="MH51" s="1663"/>
      <c r="MI51" s="1663"/>
      <c r="MJ51" s="1663"/>
      <c r="MK51" s="1663"/>
      <c r="ML51" s="1663"/>
      <c r="MM51" s="1663"/>
      <c r="MN51" s="1663"/>
      <c r="MO51" s="1663"/>
      <c r="MP51" s="1663"/>
      <c r="MQ51" s="1663"/>
      <c r="MR51" s="1663"/>
      <c r="MS51" s="1663"/>
      <c r="MT51" s="1663"/>
      <c r="MU51" s="1663"/>
      <c r="MV51" s="1663"/>
      <c r="MW51" s="101" t="s">
        <v>910</v>
      </c>
      <c r="MX51" s="105">
        <f>SUMIFS('Existing Customers'!$N:$N,'Existing Customers'!$A:$A,'Multi-Customer'!MX$38)</f>
        <v>0</v>
      </c>
      <c r="MY51" s="1663"/>
      <c r="MZ51" s="1663"/>
      <c r="NA51" s="1663"/>
      <c r="NB51" s="1663"/>
      <c r="NC51" s="1663"/>
      <c r="ND51" s="1663"/>
      <c r="NE51" s="1663"/>
      <c r="NF51" s="1663"/>
      <c r="NG51" s="1663"/>
      <c r="NH51" s="1663"/>
      <c r="NI51" s="1663"/>
      <c r="NJ51" s="1663"/>
      <c r="NK51" s="1663"/>
      <c r="NL51" s="1663"/>
      <c r="NM51" s="1663"/>
      <c r="NN51" s="1663"/>
      <c r="NO51" s="1663"/>
      <c r="NP51" s="1663"/>
      <c r="NQ51" s="1663"/>
      <c r="NR51" s="1663"/>
      <c r="NS51" s="1663"/>
      <c r="NT51" s="101" t="s">
        <v>910</v>
      </c>
      <c r="NU51" s="105">
        <f>SUMIFS('Existing Customers'!$N:$N,'Existing Customers'!$A:$A,'Multi-Customer'!NU$38)</f>
        <v>0</v>
      </c>
      <c r="NV51" s="1663"/>
      <c r="NW51" s="1663"/>
      <c r="NX51" s="1663"/>
      <c r="NY51" s="1663"/>
      <c r="NZ51" s="1663"/>
      <c r="OA51" s="1663"/>
      <c r="OB51" s="1663"/>
      <c r="OC51" s="1663"/>
      <c r="OD51" s="1663"/>
      <c r="OE51" s="1663"/>
      <c r="OF51" s="1663"/>
      <c r="OG51" s="1663"/>
      <c r="OH51" s="1663"/>
      <c r="OI51" s="1663"/>
      <c r="OJ51" s="1663"/>
      <c r="OK51" s="1663"/>
      <c r="OL51" s="1663"/>
      <c r="OM51" s="1663"/>
      <c r="ON51" s="1663"/>
      <c r="OO51" s="1663"/>
      <c r="OP51" s="1663"/>
      <c r="OQ51" s="101" t="s">
        <v>910</v>
      </c>
      <c r="OR51" s="105">
        <f>SUMIFS('Existing Customers'!$N:$N,'Existing Customers'!$A:$A,'Multi-Customer'!OR$38)</f>
        <v>0</v>
      </c>
      <c r="OS51" s="1663"/>
      <c r="OT51" s="1663"/>
      <c r="OU51" s="1663"/>
      <c r="OV51" s="1663"/>
      <c r="OW51" s="1663"/>
      <c r="OX51" s="1663"/>
      <c r="OY51" s="1663"/>
      <c r="OZ51" s="1663"/>
      <c r="PA51" s="1663"/>
      <c r="PB51" s="1663"/>
      <c r="PC51" s="1663"/>
      <c r="PD51" s="1663"/>
      <c r="PE51" s="1663"/>
      <c r="PF51" s="1663"/>
      <c r="PG51" s="1663"/>
      <c r="PH51" s="1663"/>
      <c r="PI51" s="1663"/>
      <c r="PJ51" s="1663"/>
      <c r="PK51" s="1663"/>
      <c r="PL51" s="1663"/>
      <c r="PM51" s="1663"/>
      <c r="PN51" s="101" t="s">
        <v>910</v>
      </c>
      <c r="PO51" s="105">
        <f>SUMIFS('Existing Customers'!$N:$N,'Existing Customers'!$A:$A,'Multi-Customer'!PO$38)</f>
        <v>0</v>
      </c>
      <c r="PP51" s="1663"/>
      <c r="PQ51" s="1663"/>
      <c r="PR51" s="1663"/>
      <c r="PS51" s="1663"/>
      <c r="PT51" s="1663"/>
      <c r="PU51" s="1663"/>
      <c r="PV51" s="1663"/>
      <c r="PW51" s="1663"/>
      <c r="PX51" s="1663"/>
      <c r="PY51" s="1663"/>
      <c r="PZ51" s="1663"/>
      <c r="QA51" s="1663"/>
      <c r="QB51" s="1663"/>
      <c r="QC51" s="1663"/>
      <c r="QD51" s="1663"/>
      <c r="QE51" s="1663"/>
      <c r="QF51" s="1663"/>
      <c r="QG51" s="1663"/>
      <c r="QH51" s="1663"/>
      <c r="QI51" s="1663"/>
      <c r="QJ51" s="1663"/>
      <c r="QK51" s="101" t="s">
        <v>910</v>
      </c>
      <c r="QL51" s="105">
        <f>SUMIFS('Existing Customers'!$N:$N,'Existing Customers'!$A:$A,'Multi-Customer'!QL$38)</f>
        <v>0</v>
      </c>
      <c r="QM51" s="1663"/>
      <c r="QN51" s="1663"/>
      <c r="QO51" s="1663"/>
      <c r="QP51" s="1663"/>
      <c r="QQ51" s="1663"/>
      <c r="QR51" s="1663"/>
      <c r="QS51" s="1663"/>
      <c r="QT51" s="1663"/>
      <c r="QU51" s="1663"/>
      <c r="QV51" s="1663"/>
      <c r="QW51" s="1663"/>
      <c r="QX51" s="1663"/>
      <c r="QY51" s="1663"/>
      <c r="QZ51" s="1663"/>
      <c r="RA51" s="1663"/>
      <c r="RB51" s="1663"/>
      <c r="RC51" s="1663"/>
      <c r="RD51" s="1663"/>
      <c r="RE51" s="1663"/>
      <c r="RF51" s="1663"/>
      <c r="RG51" s="1663"/>
      <c r="RH51" s="101" t="s">
        <v>910</v>
      </c>
      <c r="RI51" s="105">
        <f>SUMIFS('Existing Customers'!$N:$N,'Existing Customers'!$A:$A,'Multi-Customer'!RI$38)</f>
        <v>0</v>
      </c>
      <c r="RJ51" s="1663"/>
      <c r="RK51" s="1663"/>
      <c r="RL51" s="1663"/>
      <c r="RM51" s="1663"/>
      <c r="RN51" s="1663"/>
      <c r="RO51" s="1663"/>
      <c r="RP51" s="1663"/>
      <c r="RQ51" s="1663"/>
      <c r="RR51" s="1663"/>
      <c r="RS51" s="1663"/>
      <c r="RT51" s="1663"/>
      <c r="RU51" s="1663"/>
      <c r="RV51" s="1663"/>
      <c r="RW51" s="1663"/>
      <c r="RX51" s="1663"/>
      <c r="RY51" s="1663"/>
      <c r="RZ51" s="1663"/>
      <c r="SA51" s="1663"/>
      <c r="SB51" s="1663"/>
      <c r="SC51" s="1663"/>
      <c r="SD51" s="1663"/>
      <c r="SE51" s="101" t="s">
        <v>910</v>
      </c>
      <c r="SF51" s="105">
        <f>SUMIFS('Existing Customers'!$N:$N,'Existing Customers'!$A:$A,'Multi-Customer'!SF$38)</f>
        <v>0</v>
      </c>
      <c r="SG51" s="1663"/>
      <c r="SH51" s="1663"/>
      <c r="SI51" s="1663"/>
      <c r="SJ51" s="1663"/>
      <c r="SK51" s="1663"/>
      <c r="SL51" s="1663"/>
      <c r="SM51" s="1663"/>
      <c r="SN51" s="1663"/>
      <c r="SO51" s="1663"/>
      <c r="SP51" s="1663"/>
      <c r="SQ51" s="1663"/>
      <c r="SR51" s="1663"/>
      <c r="SS51" s="1663"/>
      <c r="ST51" s="1663"/>
      <c r="SU51" s="1663"/>
      <c r="SV51" s="1663"/>
      <c r="SW51" s="1663"/>
      <c r="SX51" s="1663"/>
      <c r="SY51" s="1663"/>
      <c r="SZ51" s="1663"/>
      <c r="TA51" s="1663"/>
      <c r="TB51" s="1663"/>
      <c r="TC51" s="1663"/>
      <c r="TD51" s="1663"/>
      <c r="TE51" s="1663"/>
      <c r="TF51" s="1663"/>
      <c r="TG51" s="1663"/>
      <c r="TH51" s="1663"/>
      <c r="TI51" s="1663"/>
      <c r="TJ51" s="1663"/>
      <c r="TK51" s="1663"/>
      <c r="TL51" s="1663"/>
      <c r="TM51" s="1663"/>
      <c r="TN51" s="1663"/>
      <c r="TO51" s="1663"/>
      <c r="TP51" s="1663"/>
      <c r="TQ51" s="1663"/>
      <c r="TR51" s="1663"/>
    </row>
    <row r="52" spans="17:538" x14ac:dyDescent="0.25">
      <c r="Q52" s="1465"/>
      <c r="R52" s="1466"/>
      <c r="S52" s="1466"/>
      <c r="T52" s="1466"/>
      <c r="U52" s="1466"/>
      <c r="V52" s="1466"/>
      <c r="W52" s="1466"/>
      <c r="X52" s="1466"/>
      <c r="Y52" s="1466"/>
      <c r="Z52" s="1479">
        <f t="shared" si="95"/>
        <v>2</v>
      </c>
      <c r="AA52" s="1480"/>
      <c r="AB52" s="1481">
        <f t="shared" si="96"/>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63"/>
      <c r="BH52" s="1663"/>
      <c r="BI52" s="1663"/>
      <c r="BJ52" s="1663" t="s">
        <v>915</v>
      </c>
      <c r="BK52" s="1663">
        <f>IFERROR(VLOOKUP(BK$38,'Existing Customer Variable Exp'!$B:$F,5,FALSE),0)</f>
        <v>0</v>
      </c>
      <c r="BL52" s="1663"/>
      <c r="BM52" s="1663"/>
      <c r="BN52" s="1663"/>
      <c r="BO52" s="1663"/>
      <c r="BP52" s="1663"/>
      <c r="BQ52" s="1663"/>
      <c r="BR52" s="1663"/>
      <c r="BS52" s="1663"/>
      <c r="BT52" s="1663"/>
      <c r="BU52" s="1663"/>
      <c r="BV52" s="1663"/>
      <c r="BW52" s="1663"/>
      <c r="BX52" s="1663"/>
      <c r="BY52" s="1663"/>
      <c r="BZ52" s="1663"/>
      <c r="CA52" s="1663"/>
      <c r="CB52" s="1663"/>
      <c r="CC52" s="1663"/>
      <c r="CD52" s="1663"/>
      <c r="CE52" s="1663"/>
      <c r="CF52" s="1663"/>
      <c r="CG52" s="101" t="s">
        <v>915</v>
      </c>
      <c r="CH52" s="105">
        <f>IFERROR(VLOOKUP(CH$38,'Existing Customer Variable Exp'!$B:$F,5,FALSE),0)</f>
        <v>0</v>
      </c>
      <c r="CI52" s="1663"/>
      <c r="CJ52" s="1663"/>
      <c r="CK52" s="1663"/>
      <c r="CL52" s="1663"/>
      <c r="CM52" s="1663"/>
      <c r="CN52" s="1663"/>
      <c r="CO52" s="1663"/>
      <c r="CP52" s="1663"/>
      <c r="CQ52" s="1663"/>
      <c r="CR52" s="1663"/>
      <c r="CS52" s="1663"/>
      <c r="CT52" s="1663"/>
      <c r="CU52" s="1663"/>
      <c r="CV52" s="1663"/>
      <c r="CW52" s="1663"/>
      <c r="CX52" s="1663"/>
      <c r="CY52" s="1663"/>
      <c r="CZ52" s="1663"/>
      <c r="DA52" s="1663"/>
      <c r="DB52" s="1663"/>
      <c r="DC52" s="1663"/>
      <c r="DD52" s="101" t="s">
        <v>915</v>
      </c>
      <c r="DE52" s="105">
        <f>IFERROR(VLOOKUP(DE$38,'Existing Customer Variable Exp'!$B:$F,5,FALSE),0)</f>
        <v>0</v>
      </c>
      <c r="DF52" s="1663"/>
      <c r="DG52" s="1663"/>
      <c r="DH52" s="1663"/>
      <c r="DI52" s="1663"/>
      <c r="DJ52" s="1663"/>
      <c r="DK52" s="1663"/>
      <c r="DL52" s="1663"/>
      <c r="DM52" s="1663"/>
      <c r="DN52" s="1663"/>
      <c r="DO52" s="1663"/>
      <c r="DP52" s="1663"/>
      <c r="DQ52" s="1663"/>
      <c r="DR52" s="1663"/>
      <c r="DS52" s="1663"/>
      <c r="DT52" s="1663"/>
      <c r="DU52" s="1663"/>
      <c r="DV52" s="1663"/>
      <c r="DW52" s="1663"/>
      <c r="DX52" s="1663"/>
      <c r="DY52" s="1663"/>
      <c r="DZ52" s="1663"/>
      <c r="EA52" s="101" t="s">
        <v>915</v>
      </c>
      <c r="EB52" s="105">
        <f>IFERROR(VLOOKUP(EB$38,'Existing Customer Variable Exp'!$B:$F,5,FALSE),0)</f>
        <v>0</v>
      </c>
      <c r="EC52" s="1663"/>
      <c r="ED52" s="1663"/>
      <c r="EE52" s="1663"/>
      <c r="EF52" s="1663"/>
      <c r="EG52" s="1663"/>
      <c r="EH52" s="1663"/>
      <c r="EI52" s="1663"/>
      <c r="EJ52" s="1663"/>
      <c r="EK52" s="1663"/>
      <c r="EL52" s="1663"/>
      <c r="EM52" s="1663"/>
      <c r="EN52" s="1663"/>
      <c r="EO52" s="1663"/>
      <c r="EP52" s="1663"/>
      <c r="EQ52" s="1663"/>
      <c r="ER52" s="1663"/>
      <c r="ES52" s="1663"/>
      <c r="ET52" s="1663"/>
      <c r="EU52" s="1663"/>
      <c r="EV52" s="1663"/>
      <c r="EW52" s="1663"/>
      <c r="EX52" s="101" t="s">
        <v>915</v>
      </c>
      <c r="EY52" s="105">
        <f>IFERROR(VLOOKUP(EY$38,'Existing Customer Variable Exp'!$B:$F,5,FALSE),0)</f>
        <v>0</v>
      </c>
      <c r="EZ52" s="1663"/>
      <c r="FA52" s="1663"/>
      <c r="FB52" s="1663"/>
      <c r="FC52" s="1663"/>
      <c r="FD52" s="1663"/>
      <c r="FE52" s="1663"/>
      <c r="FF52" s="1663"/>
      <c r="FG52" s="1663"/>
      <c r="FH52" s="1663"/>
      <c r="FI52" s="1663"/>
      <c r="FJ52" s="1663"/>
      <c r="FK52" s="1663"/>
      <c r="FL52" s="1663"/>
      <c r="FM52" s="1663"/>
      <c r="FN52" s="1663"/>
      <c r="FO52" s="1663"/>
      <c r="FP52" s="1663"/>
      <c r="FQ52" s="1663"/>
      <c r="FR52" s="1663"/>
      <c r="FS52" s="1663"/>
      <c r="FT52" s="1663"/>
      <c r="FU52" s="101" t="s">
        <v>915</v>
      </c>
      <c r="FV52" s="105">
        <f>IFERROR(VLOOKUP(FV$38,'Existing Customer Variable Exp'!$B:$F,5,FALSE),0)</f>
        <v>0</v>
      </c>
      <c r="FW52" s="1663"/>
      <c r="FX52" s="1663"/>
      <c r="FY52" s="1663"/>
      <c r="FZ52" s="1663"/>
      <c r="GA52" s="1663"/>
      <c r="GB52" s="1663"/>
      <c r="GC52" s="1663"/>
      <c r="GD52" s="1663"/>
      <c r="GE52" s="1663"/>
      <c r="GF52" s="1663"/>
      <c r="GG52" s="1663"/>
      <c r="GH52" s="1663"/>
      <c r="GI52" s="1663"/>
      <c r="GJ52" s="1663"/>
      <c r="GK52" s="1663"/>
      <c r="GL52" s="1663"/>
      <c r="GM52" s="1663"/>
      <c r="GN52" s="1663"/>
      <c r="GO52" s="1663"/>
      <c r="GP52" s="1663"/>
      <c r="GQ52" s="1663"/>
      <c r="GR52" s="101" t="s">
        <v>915</v>
      </c>
      <c r="GS52" s="105">
        <f>IFERROR(VLOOKUP(GS$38,'Existing Customer Variable Exp'!$B:$F,5,FALSE),0)</f>
        <v>0</v>
      </c>
      <c r="GT52" s="1663"/>
      <c r="GU52" s="1663"/>
      <c r="GV52" s="1663"/>
      <c r="GW52" s="1663"/>
      <c r="GX52" s="1663"/>
      <c r="GY52" s="1663"/>
      <c r="GZ52" s="1663"/>
      <c r="HA52" s="1663"/>
      <c r="HB52" s="1663"/>
      <c r="HC52" s="1663"/>
      <c r="HD52" s="1663"/>
      <c r="HE52" s="1663"/>
      <c r="HF52" s="1663"/>
      <c r="HG52" s="1663"/>
      <c r="HH52" s="1663"/>
      <c r="HI52" s="1663"/>
      <c r="HJ52" s="1663"/>
      <c r="HK52" s="1663"/>
      <c r="HL52" s="1663"/>
      <c r="HM52" s="1663"/>
      <c r="HN52" s="1663"/>
      <c r="HO52" s="101" t="s">
        <v>915</v>
      </c>
      <c r="HP52" s="105">
        <f>IFERROR(VLOOKUP(HP$38,'Existing Customer Variable Exp'!$B:$F,5,FALSE),0)</f>
        <v>0</v>
      </c>
      <c r="HQ52" s="1663"/>
      <c r="HR52" s="1663"/>
      <c r="HS52" s="1663"/>
      <c r="HT52" s="1663"/>
      <c r="HU52" s="1663"/>
      <c r="HV52" s="1663"/>
      <c r="HW52" s="1663"/>
      <c r="HX52" s="1663"/>
      <c r="HY52" s="1663"/>
      <c r="HZ52" s="1663"/>
      <c r="IA52" s="1663"/>
      <c r="IB52" s="1663"/>
      <c r="IC52" s="1663"/>
      <c r="ID52" s="1663"/>
      <c r="IE52" s="1663"/>
      <c r="IF52" s="1663"/>
      <c r="IG52" s="1663"/>
      <c r="IH52" s="1663"/>
      <c r="II52" s="1663"/>
      <c r="IJ52" s="1663"/>
      <c r="IK52" s="1663"/>
      <c r="IL52" s="101" t="s">
        <v>915</v>
      </c>
      <c r="IM52" s="105">
        <f>IFERROR(VLOOKUP(IM$38,'Existing Customer Variable Exp'!$B:$F,5,FALSE),0)</f>
        <v>0</v>
      </c>
      <c r="IN52" s="1663"/>
      <c r="IO52" s="1663"/>
      <c r="IP52" s="1663"/>
      <c r="IQ52" s="1663"/>
      <c r="IR52" s="1663"/>
      <c r="IS52" s="1663"/>
      <c r="IT52" s="1663"/>
      <c r="IU52" s="1663"/>
      <c r="IV52" s="1663"/>
      <c r="IW52" s="1663"/>
      <c r="IX52" s="1663"/>
      <c r="IY52" s="1663"/>
      <c r="IZ52" s="1663"/>
      <c r="JA52" s="1663"/>
      <c r="JB52" s="1663"/>
      <c r="JC52" s="1663"/>
      <c r="JD52" s="1663"/>
      <c r="JE52" s="1663"/>
      <c r="JF52" s="1663"/>
      <c r="JG52" s="1663"/>
      <c r="JH52" s="1663"/>
      <c r="JI52" s="101" t="s">
        <v>915</v>
      </c>
      <c r="JJ52" s="105">
        <f>IFERROR(VLOOKUP(JJ$38,'Existing Customer Variable Exp'!$B:$F,5,FALSE),0)</f>
        <v>0</v>
      </c>
      <c r="JK52" s="1663"/>
      <c r="JL52" s="1663"/>
      <c r="JM52" s="1663"/>
      <c r="JN52" s="1663"/>
      <c r="JO52" s="1663"/>
      <c r="JP52" s="1663"/>
      <c r="JQ52" s="1663"/>
      <c r="JR52" s="1663"/>
      <c r="JS52" s="1663"/>
      <c r="JT52" s="1663"/>
      <c r="JU52" s="1663"/>
      <c r="JV52" s="1663"/>
      <c r="JW52" s="1663"/>
      <c r="JX52" s="1663"/>
      <c r="JY52" s="1663"/>
      <c r="JZ52" s="1663"/>
      <c r="KA52" s="1663"/>
      <c r="KB52" s="1663"/>
      <c r="KC52" s="1663"/>
      <c r="KD52" s="1663"/>
      <c r="KE52" s="1663"/>
      <c r="KF52" s="101" t="s">
        <v>915</v>
      </c>
      <c r="KG52" s="105">
        <f>IFERROR(VLOOKUP(KG$38,'Existing Customer Variable Exp'!$B:$F,5,FALSE),0)</f>
        <v>0</v>
      </c>
      <c r="KH52" s="1663"/>
      <c r="KI52" s="1663"/>
      <c r="KJ52" s="1663"/>
      <c r="KK52" s="1663"/>
      <c r="KL52" s="1663"/>
      <c r="KM52" s="1663"/>
      <c r="KN52" s="1663"/>
      <c r="KO52" s="1663"/>
      <c r="KP52" s="1663"/>
      <c r="KQ52" s="1663"/>
      <c r="KR52" s="1663"/>
      <c r="KS52" s="1663"/>
      <c r="KT52" s="1663"/>
      <c r="KU52" s="1663"/>
      <c r="KV52" s="1663"/>
      <c r="KW52" s="1663"/>
      <c r="KX52" s="1663"/>
      <c r="KY52" s="1663"/>
      <c r="KZ52" s="1663"/>
      <c r="LA52" s="1663"/>
      <c r="LB52" s="1663"/>
      <c r="LC52" s="101" t="s">
        <v>915</v>
      </c>
      <c r="LD52" s="105">
        <f>IFERROR(VLOOKUP(LD$38,'Existing Customer Variable Exp'!$B:$F,5,FALSE),0)</f>
        <v>0</v>
      </c>
      <c r="LE52" s="1663"/>
      <c r="LF52" s="1663"/>
      <c r="LG52" s="1663"/>
      <c r="LH52" s="1663"/>
      <c r="LI52" s="1663"/>
      <c r="LJ52" s="1663"/>
      <c r="LK52" s="1663"/>
      <c r="LL52" s="1663"/>
      <c r="LM52" s="1663"/>
      <c r="LN52" s="1663"/>
      <c r="LO52" s="1663"/>
      <c r="LP52" s="1663"/>
      <c r="LQ52" s="1663"/>
      <c r="LR52" s="1663"/>
      <c r="LS52" s="1663"/>
      <c r="LT52" s="1663"/>
      <c r="LU52" s="1663"/>
      <c r="LV52" s="1663"/>
      <c r="LW52" s="1663"/>
      <c r="LX52" s="1663"/>
      <c r="LY52" s="1663"/>
      <c r="LZ52" s="101" t="s">
        <v>915</v>
      </c>
      <c r="MA52" s="105">
        <f>IFERROR(VLOOKUP(MA$38,'Existing Customer Variable Exp'!$B:$F,5,FALSE),0)</f>
        <v>0</v>
      </c>
      <c r="MB52" s="1663"/>
      <c r="MC52" s="1663"/>
      <c r="MD52" s="1663"/>
      <c r="ME52" s="1663"/>
      <c r="MF52" s="1663"/>
      <c r="MG52" s="1663"/>
      <c r="MH52" s="1663"/>
      <c r="MI52" s="1663"/>
      <c r="MJ52" s="1663"/>
      <c r="MK52" s="1663"/>
      <c r="ML52" s="1663"/>
      <c r="MM52" s="1663"/>
      <c r="MN52" s="1663"/>
      <c r="MO52" s="1663"/>
      <c r="MP52" s="1663"/>
      <c r="MQ52" s="1663"/>
      <c r="MR52" s="1663"/>
      <c r="MS52" s="1663"/>
      <c r="MT52" s="1663"/>
      <c r="MU52" s="1663"/>
      <c r="MV52" s="1663"/>
      <c r="MW52" s="101" t="s">
        <v>915</v>
      </c>
      <c r="MX52" s="105">
        <f>IFERROR(VLOOKUP(MX$38,'Existing Customer Variable Exp'!$B:$F,5,FALSE),0)</f>
        <v>0</v>
      </c>
      <c r="MY52" s="1663"/>
      <c r="MZ52" s="1663"/>
      <c r="NA52" s="1663"/>
      <c r="NB52" s="1663"/>
      <c r="NC52" s="1663"/>
      <c r="ND52" s="1663"/>
      <c r="NE52" s="1663"/>
      <c r="NF52" s="1663"/>
      <c r="NG52" s="1663"/>
      <c r="NH52" s="1663"/>
      <c r="NI52" s="1663"/>
      <c r="NJ52" s="1663"/>
      <c r="NK52" s="1663"/>
      <c r="NL52" s="1663"/>
      <c r="NM52" s="1663"/>
      <c r="NN52" s="1663"/>
      <c r="NO52" s="1663"/>
      <c r="NP52" s="1663"/>
      <c r="NQ52" s="1663"/>
      <c r="NR52" s="1663"/>
      <c r="NS52" s="1663"/>
      <c r="NT52" s="101" t="s">
        <v>915</v>
      </c>
      <c r="NU52" s="105">
        <f>IFERROR(VLOOKUP(NU$38,'Existing Customer Variable Exp'!$B:$F,5,FALSE),0)</f>
        <v>0</v>
      </c>
      <c r="NV52" s="1663"/>
      <c r="NW52" s="1663"/>
      <c r="NX52" s="1663"/>
      <c r="NY52" s="1663"/>
      <c r="NZ52" s="1663"/>
      <c r="OA52" s="1663"/>
      <c r="OB52" s="1663"/>
      <c r="OC52" s="1663"/>
      <c r="OD52" s="1663"/>
      <c r="OE52" s="1663"/>
      <c r="OF52" s="1663"/>
      <c r="OG52" s="1663"/>
      <c r="OH52" s="1663"/>
      <c r="OI52" s="1663"/>
      <c r="OJ52" s="1663"/>
      <c r="OK52" s="1663"/>
      <c r="OL52" s="1663"/>
      <c r="OM52" s="1663"/>
      <c r="ON52" s="1663"/>
      <c r="OO52" s="1663"/>
      <c r="OP52" s="1663"/>
      <c r="OQ52" s="101" t="s">
        <v>915</v>
      </c>
      <c r="OR52" s="105">
        <f>IFERROR(VLOOKUP(OR$38,'Existing Customer Variable Exp'!$B:$F,5,FALSE),0)</f>
        <v>0</v>
      </c>
      <c r="OS52" s="1663"/>
      <c r="OT52" s="1663"/>
      <c r="OU52" s="1663"/>
      <c r="OV52" s="1663"/>
      <c r="OW52" s="1663"/>
      <c r="OX52" s="1663"/>
      <c r="OY52" s="1663"/>
      <c r="OZ52" s="1663"/>
      <c r="PA52" s="1663"/>
      <c r="PB52" s="1663"/>
      <c r="PC52" s="1663"/>
      <c r="PD52" s="1663"/>
      <c r="PE52" s="1663"/>
      <c r="PF52" s="1663"/>
      <c r="PG52" s="1663"/>
      <c r="PH52" s="1663"/>
      <c r="PI52" s="1663"/>
      <c r="PJ52" s="1663"/>
      <c r="PK52" s="1663"/>
      <c r="PL52" s="1663"/>
      <c r="PM52" s="1663"/>
      <c r="PN52" s="101" t="s">
        <v>915</v>
      </c>
      <c r="PO52" s="105">
        <f>IFERROR(VLOOKUP(PO$38,'Existing Customer Variable Exp'!$B:$F,5,FALSE),0)</f>
        <v>0</v>
      </c>
      <c r="PP52" s="1663"/>
      <c r="PQ52" s="1663"/>
      <c r="PR52" s="1663"/>
      <c r="PS52" s="1663"/>
      <c r="PT52" s="1663"/>
      <c r="PU52" s="1663"/>
      <c r="PV52" s="1663"/>
      <c r="PW52" s="1663"/>
      <c r="PX52" s="1663"/>
      <c r="PY52" s="1663"/>
      <c r="PZ52" s="1663"/>
      <c r="QA52" s="1663"/>
      <c r="QB52" s="1663"/>
      <c r="QC52" s="1663"/>
      <c r="QD52" s="1663"/>
      <c r="QE52" s="1663"/>
      <c r="QF52" s="1663"/>
      <c r="QG52" s="1663"/>
      <c r="QH52" s="1663"/>
      <c r="QI52" s="1663"/>
      <c r="QJ52" s="1663"/>
      <c r="QK52" s="101" t="s">
        <v>915</v>
      </c>
      <c r="QL52" s="105">
        <f>IFERROR(VLOOKUP(QL$38,'Existing Customer Variable Exp'!$B:$F,5,FALSE),0)</f>
        <v>0</v>
      </c>
      <c r="QM52" s="1663"/>
      <c r="QN52" s="1663"/>
      <c r="QO52" s="1663"/>
      <c r="QP52" s="1663"/>
      <c r="QQ52" s="1663"/>
      <c r="QR52" s="1663"/>
      <c r="QS52" s="1663"/>
      <c r="QT52" s="1663"/>
      <c r="QU52" s="1663"/>
      <c r="QV52" s="1663"/>
      <c r="QW52" s="1663"/>
      <c r="QX52" s="1663"/>
      <c r="QY52" s="1663"/>
      <c r="QZ52" s="1663"/>
      <c r="RA52" s="1663"/>
      <c r="RB52" s="1663"/>
      <c r="RC52" s="1663"/>
      <c r="RD52" s="1663"/>
      <c r="RE52" s="1663"/>
      <c r="RF52" s="1663"/>
      <c r="RG52" s="1663"/>
      <c r="RH52" s="101" t="s">
        <v>915</v>
      </c>
      <c r="RI52" s="105">
        <f>IFERROR(VLOOKUP(RI$38,'Existing Customer Variable Exp'!$B:$F,5,FALSE),0)</f>
        <v>0</v>
      </c>
      <c r="RJ52" s="1663"/>
      <c r="RK52" s="1663"/>
      <c r="RL52" s="1663"/>
      <c r="RM52" s="1663"/>
      <c r="RN52" s="1663"/>
      <c r="RO52" s="1663"/>
      <c r="RP52" s="1663"/>
      <c r="RQ52" s="1663"/>
      <c r="RR52" s="1663"/>
      <c r="RS52" s="1663"/>
      <c r="RT52" s="1663"/>
      <c r="RU52" s="1663"/>
      <c r="RV52" s="1663"/>
      <c r="RW52" s="1663"/>
      <c r="RX52" s="1663"/>
      <c r="RY52" s="1663"/>
      <c r="RZ52" s="1663"/>
      <c r="SA52" s="1663"/>
      <c r="SB52" s="1663"/>
      <c r="SC52" s="1663"/>
      <c r="SD52" s="1663"/>
      <c r="SE52" s="101" t="s">
        <v>915</v>
      </c>
      <c r="SF52" s="105">
        <f>IFERROR(VLOOKUP(SF$38,'Existing Customer Variable Exp'!$B:$F,5,FALSE),0)</f>
        <v>0</v>
      </c>
      <c r="SG52" s="1663"/>
      <c r="SH52" s="1663"/>
      <c r="SI52" s="1663"/>
      <c r="SJ52" s="1663"/>
      <c r="SK52" s="1663"/>
      <c r="SL52" s="1663"/>
      <c r="SM52" s="1663"/>
      <c r="SN52" s="1663"/>
      <c r="SO52" s="1663"/>
      <c r="SP52" s="1663"/>
      <c r="SQ52" s="1663"/>
      <c r="SR52" s="1663"/>
      <c r="SS52" s="1663"/>
      <c r="ST52" s="1663"/>
      <c r="SU52" s="1663"/>
      <c r="SV52" s="1663"/>
      <c r="SW52" s="1663"/>
      <c r="SX52" s="1663"/>
      <c r="SY52" s="1663"/>
      <c r="SZ52" s="1663"/>
      <c r="TA52" s="1663"/>
      <c r="TB52" s="1663"/>
      <c r="TC52" s="1663"/>
      <c r="TD52" s="1663"/>
      <c r="TE52" s="1663"/>
      <c r="TF52" s="1663"/>
      <c r="TG52" s="1663"/>
      <c r="TH52" s="1663"/>
      <c r="TI52" s="1663"/>
      <c r="TJ52" s="1663"/>
      <c r="TK52" s="1663"/>
      <c r="TL52" s="1663"/>
      <c r="TM52" s="1663"/>
      <c r="TN52" s="1663"/>
      <c r="TO52" s="1663"/>
      <c r="TP52" s="1663"/>
      <c r="TQ52" s="1663"/>
      <c r="TR52" s="1663"/>
    </row>
    <row r="53" spans="17:538" x14ac:dyDescent="0.25">
      <c r="Q53" s="1465"/>
      <c r="R53" s="1466"/>
      <c r="S53" s="1466"/>
      <c r="T53" s="1466"/>
      <c r="U53" s="1466"/>
      <c r="V53" s="1466"/>
      <c r="W53" s="1466"/>
      <c r="X53" s="1466"/>
      <c r="Y53" s="1466"/>
      <c r="Z53" s="1479">
        <f t="shared" si="95"/>
        <v>2</v>
      </c>
      <c r="AA53" s="1480"/>
      <c r="AB53" s="1481">
        <f t="shared" si="96"/>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63"/>
      <c r="BH53" s="1663"/>
      <c r="BI53" s="1663"/>
      <c r="BJ53" s="1663" t="s">
        <v>1307</v>
      </c>
      <c r="BK53" s="1663">
        <f>IFERROR(VLOOKUP(BK$1,'Existing Customers'!$A:$AD,30,FALSE),BK6)</f>
        <v>0</v>
      </c>
      <c r="BL53" s="1663"/>
      <c r="BM53" s="1663"/>
      <c r="BN53" s="1663"/>
      <c r="BO53" s="1663"/>
      <c r="BP53" s="1663"/>
      <c r="BQ53" s="1663"/>
      <c r="BR53" s="1663"/>
      <c r="BS53" s="1663"/>
      <c r="BT53" s="1663"/>
      <c r="BU53" s="1663"/>
      <c r="BV53" s="1663"/>
      <c r="BW53" s="1663"/>
      <c r="BX53" s="1663"/>
      <c r="BY53" s="1663"/>
      <c r="BZ53" s="1663"/>
      <c r="CA53" s="1663"/>
      <c r="CB53" s="1663"/>
      <c r="CC53" s="1663"/>
      <c r="CD53" s="1663"/>
      <c r="CE53" s="1663"/>
      <c r="CF53" s="1663"/>
      <c r="CG53" s="101" t="s">
        <v>1307</v>
      </c>
      <c r="CH53" s="83">
        <f>IFERROR(VLOOKUP(CH$1,'Existing Customers'!$A:$AD,30,FALSE),CH6)</f>
        <v>0</v>
      </c>
      <c r="CI53" s="1663"/>
      <c r="CJ53" s="1663"/>
      <c r="CK53" s="1663"/>
      <c r="CL53" s="1663"/>
      <c r="CM53" s="1663"/>
      <c r="CN53" s="1663"/>
      <c r="CO53" s="1663"/>
      <c r="CP53" s="1663"/>
      <c r="CQ53" s="1663"/>
      <c r="CR53" s="1663"/>
      <c r="CS53" s="1663"/>
      <c r="CT53" s="1663"/>
      <c r="CU53" s="1663"/>
      <c r="CV53" s="1663"/>
      <c r="CW53" s="1663"/>
      <c r="CX53" s="1663"/>
      <c r="CY53" s="1663"/>
      <c r="CZ53" s="1663"/>
      <c r="DA53" s="1663"/>
      <c r="DB53" s="1663"/>
      <c r="DC53" s="1663"/>
      <c r="DD53" s="101" t="s">
        <v>1307</v>
      </c>
      <c r="DE53" s="83">
        <f>IFERROR(VLOOKUP(DE$1,'Existing Customers'!$A:$AD,30,FALSE),DE6)</f>
        <v>0</v>
      </c>
      <c r="DF53" s="1663"/>
      <c r="DG53" s="1663"/>
      <c r="DH53" s="1663"/>
      <c r="DI53" s="1663"/>
      <c r="DJ53" s="1663"/>
      <c r="DK53" s="1663"/>
      <c r="DL53" s="1663"/>
      <c r="DM53" s="1663"/>
      <c r="DN53" s="1663"/>
      <c r="DO53" s="1663"/>
      <c r="DP53" s="1663"/>
      <c r="DQ53" s="1663"/>
      <c r="DR53" s="1663"/>
      <c r="DS53" s="1663"/>
      <c r="DT53" s="1663"/>
      <c r="DU53" s="1663"/>
      <c r="DV53" s="1663"/>
      <c r="DW53" s="1663"/>
      <c r="DX53" s="1663"/>
      <c r="DY53" s="1663"/>
      <c r="DZ53" s="1663"/>
      <c r="EA53" s="101" t="s">
        <v>1307</v>
      </c>
      <c r="EB53" s="83">
        <f>IFERROR(VLOOKUP(EB$1,'Existing Customers'!$A:$AD,30,FALSE),EB6)</f>
        <v>0</v>
      </c>
      <c r="EC53" s="1663"/>
      <c r="ED53" s="1663"/>
      <c r="EE53" s="1663"/>
      <c r="EF53" s="1663"/>
      <c r="EG53" s="1663"/>
      <c r="EH53" s="1663"/>
      <c r="EI53" s="1663"/>
      <c r="EJ53" s="1663"/>
      <c r="EK53" s="1663"/>
      <c r="EL53" s="1663"/>
      <c r="EM53" s="1663"/>
      <c r="EN53" s="1663"/>
      <c r="EO53" s="1663"/>
      <c r="EP53" s="1663"/>
      <c r="EQ53" s="1663"/>
      <c r="ER53" s="1663"/>
      <c r="ES53" s="1663"/>
      <c r="ET53" s="1663"/>
      <c r="EU53" s="1663"/>
      <c r="EV53" s="1663"/>
      <c r="EW53" s="1663"/>
      <c r="EX53" s="101" t="s">
        <v>1307</v>
      </c>
      <c r="EY53" s="83">
        <f>IFERROR(VLOOKUP(EY$1,'Existing Customers'!$A:$AD,30,FALSE),EY6)</f>
        <v>0</v>
      </c>
      <c r="EZ53" s="1663"/>
      <c r="FA53" s="1663"/>
      <c r="FB53" s="1663"/>
      <c r="FC53" s="1663"/>
      <c r="FD53" s="1663"/>
      <c r="FE53" s="1663"/>
      <c r="FF53" s="1663"/>
      <c r="FG53" s="1663"/>
      <c r="FH53" s="1663"/>
      <c r="FI53" s="1663"/>
      <c r="FJ53" s="1663"/>
      <c r="FK53" s="1663"/>
      <c r="FL53" s="1663"/>
      <c r="FM53" s="1663"/>
      <c r="FN53" s="1663"/>
      <c r="FO53" s="1663"/>
      <c r="FP53" s="1663"/>
      <c r="FQ53" s="1663"/>
      <c r="FR53" s="1663"/>
      <c r="FS53" s="1663"/>
      <c r="FT53" s="1663"/>
      <c r="FU53" s="101" t="s">
        <v>1307</v>
      </c>
      <c r="FV53" s="83">
        <f>IFERROR(VLOOKUP(FV$1,'Existing Customers'!$A:$AD,30,FALSE),FV6)</f>
        <v>0</v>
      </c>
      <c r="FW53" s="1663"/>
      <c r="FX53" s="1663"/>
      <c r="FY53" s="1663"/>
      <c r="FZ53" s="1663"/>
      <c r="GA53" s="1663"/>
      <c r="GB53" s="1663"/>
      <c r="GC53" s="1663"/>
      <c r="GD53" s="1663"/>
      <c r="GE53" s="1663"/>
      <c r="GF53" s="1663"/>
      <c r="GG53" s="1663"/>
      <c r="GH53" s="1663"/>
      <c r="GI53" s="1663"/>
      <c r="GJ53" s="1663"/>
      <c r="GK53" s="1663"/>
      <c r="GL53" s="1663"/>
      <c r="GM53" s="1663"/>
      <c r="GN53" s="1663"/>
      <c r="GO53" s="1663"/>
      <c r="GP53" s="1663"/>
      <c r="GQ53" s="1663"/>
      <c r="GR53" s="101" t="s">
        <v>1307</v>
      </c>
      <c r="GS53" s="83">
        <f>IFERROR(VLOOKUP(GS$1,'Existing Customers'!$A:$AD,30,FALSE),GS6)</f>
        <v>0</v>
      </c>
      <c r="GT53" s="1663"/>
      <c r="GU53" s="1663"/>
      <c r="GV53" s="1663"/>
      <c r="GW53" s="1663"/>
      <c r="GX53" s="1663"/>
      <c r="GY53" s="1663"/>
      <c r="GZ53" s="1663"/>
      <c r="HA53" s="1663"/>
      <c r="HB53" s="1663"/>
      <c r="HC53" s="1663"/>
      <c r="HD53" s="1663"/>
      <c r="HE53" s="1663"/>
      <c r="HF53" s="1663"/>
      <c r="HG53" s="1663"/>
      <c r="HH53" s="1663"/>
      <c r="HI53" s="1663"/>
      <c r="HJ53" s="1663"/>
      <c r="HK53" s="1663"/>
      <c r="HL53" s="1663"/>
      <c r="HM53" s="1663"/>
      <c r="HN53" s="1663"/>
      <c r="HO53" s="101" t="s">
        <v>1307</v>
      </c>
      <c r="HP53" s="83">
        <f>IFERROR(VLOOKUP(HP$1,'Existing Customers'!$A:$AD,30,FALSE),HP6)</f>
        <v>0</v>
      </c>
      <c r="HQ53" s="1663"/>
      <c r="HR53" s="1663"/>
      <c r="HS53" s="1663"/>
      <c r="HT53" s="1663"/>
      <c r="HU53" s="1663"/>
      <c r="HV53" s="1663"/>
      <c r="HW53" s="1663"/>
      <c r="HX53" s="1663"/>
      <c r="HY53" s="1663"/>
      <c r="HZ53" s="1663"/>
      <c r="IA53" s="1663"/>
      <c r="IB53" s="1663"/>
      <c r="IC53" s="1663"/>
      <c r="ID53" s="1663"/>
      <c r="IE53" s="1663"/>
      <c r="IF53" s="1663"/>
      <c r="IG53" s="1663"/>
      <c r="IH53" s="1663"/>
      <c r="II53" s="1663"/>
      <c r="IJ53" s="1663"/>
      <c r="IK53" s="1663"/>
      <c r="IL53" s="101" t="s">
        <v>1307</v>
      </c>
      <c r="IM53" s="83">
        <f>IFERROR(VLOOKUP(IM$1,'Existing Customers'!$A:$AD,30,FALSE),IM6)</f>
        <v>0</v>
      </c>
      <c r="IN53" s="1663"/>
      <c r="IO53" s="1663"/>
      <c r="IP53" s="1663"/>
      <c r="IQ53" s="1663"/>
      <c r="IR53" s="1663"/>
      <c r="IS53" s="1663"/>
      <c r="IT53" s="1663"/>
      <c r="IU53" s="1663"/>
      <c r="IV53" s="1663"/>
      <c r="IW53" s="1663"/>
      <c r="IX53" s="1663"/>
      <c r="IY53" s="1663"/>
      <c r="IZ53" s="1663"/>
      <c r="JA53" s="1663"/>
      <c r="JB53" s="1663"/>
      <c r="JC53" s="1663"/>
      <c r="JD53" s="1663"/>
      <c r="JE53" s="1663"/>
      <c r="JF53" s="1663"/>
      <c r="JG53" s="1663"/>
      <c r="JH53" s="1663"/>
      <c r="JI53" s="101" t="s">
        <v>1307</v>
      </c>
      <c r="JJ53" s="83">
        <f>IFERROR(VLOOKUP(JJ$1,'Existing Customers'!$A:$AD,30,FALSE),JJ6)</f>
        <v>0</v>
      </c>
      <c r="JK53" s="1663"/>
      <c r="JL53" s="1663"/>
      <c r="JM53" s="1663"/>
      <c r="JN53" s="1663"/>
      <c r="JO53" s="1663"/>
      <c r="JP53" s="1663"/>
      <c r="JQ53" s="1663"/>
      <c r="JR53" s="1663"/>
      <c r="JS53" s="1663"/>
      <c r="JT53" s="1663"/>
      <c r="JU53" s="1663"/>
      <c r="JV53" s="1663"/>
      <c r="JW53" s="1663"/>
      <c r="JX53" s="1663"/>
      <c r="JY53" s="1663"/>
      <c r="JZ53" s="1663"/>
      <c r="KA53" s="1663"/>
      <c r="KB53" s="1663"/>
      <c r="KC53" s="1663"/>
      <c r="KD53" s="1663"/>
      <c r="KE53" s="1663"/>
      <c r="KF53" s="101" t="s">
        <v>1307</v>
      </c>
      <c r="KG53" s="83">
        <f>IFERROR(VLOOKUP(KG$1,'Existing Customers'!$A:$AD,30,FALSE),KG6)</f>
        <v>0</v>
      </c>
      <c r="KH53" s="1663"/>
      <c r="KI53" s="1663"/>
      <c r="KJ53" s="1663"/>
      <c r="KK53" s="1663"/>
      <c r="KL53" s="1663"/>
      <c r="KM53" s="1663"/>
      <c r="KN53" s="1663"/>
      <c r="KO53" s="1663"/>
      <c r="KP53" s="1663"/>
      <c r="KQ53" s="1663"/>
      <c r="KR53" s="1663"/>
      <c r="KS53" s="1663"/>
      <c r="KT53" s="1663"/>
      <c r="KU53" s="1663"/>
      <c r="KV53" s="1663"/>
      <c r="KW53" s="1663"/>
      <c r="KX53" s="1663"/>
      <c r="KY53" s="1663"/>
      <c r="KZ53" s="1663"/>
      <c r="LA53" s="1663"/>
      <c r="LB53" s="1663"/>
      <c r="LC53" s="101" t="s">
        <v>1307</v>
      </c>
      <c r="LD53" s="83">
        <f>IFERROR(VLOOKUP(LD$1,'Existing Customers'!$A:$AD,30,FALSE),LD6)</f>
        <v>0</v>
      </c>
      <c r="LE53" s="1663"/>
      <c r="LF53" s="1663"/>
      <c r="LG53" s="1663"/>
      <c r="LH53" s="1663"/>
      <c r="LI53" s="1663"/>
      <c r="LJ53" s="1663"/>
      <c r="LK53" s="1663"/>
      <c r="LL53" s="1663"/>
      <c r="LM53" s="1663"/>
      <c r="LN53" s="1663"/>
      <c r="LO53" s="1663"/>
      <c r="LP53" s="1663"/>
      <c r="LQ53" s="1663"/>
      <c r="LR53" s="1663"/>
      <c r="LS53" s="1663"/>
      <c r="LT53" s="1663"/>
      <c r="LU53" s="1663"/>
      <c r="LV53" s="1663"/>
      <c r="LW53" s="1663"/>
      <c r="LX53" s="1663"/>
      <c r="LY53" s="1663"/>
      <c r="LZ53" s="101" t="s">
        <v>1307</v>
      </c>
      <c r="MA53" s="83">
        <f>IFERROR(VLOOKUP(MA$1,'Existing Customers'!$A:$AD,30,FALSE),MA6)</f>
        <v>0</v>
      </c>
      <c r="MB53" s="1663"/>
      <c r="MC53" s="1663"/>
      <c r="MD53" s="1663"/>
      <c r="ME53" s="1663"/>
      <c r="MF53" s="1663"/>
      <c r="MG53" s="1663"/>
      <c r="MH53" s="1663"/>
      <c r="MI53" s="1663"/>
      <c r="MJ53" s="1663"/>
      <c r="MK53" s="1663"/>
      <c r="ML53" s="1663"/>
      <c r="MM53" s="1663"/>
      <c r="MN53" s="1663"/>
      <c r="MO53" s="1663"/>
      <c r="MP53" s="1663"/>
      <c r="MQ53" s="1663"/>
      <c r="MR53" s="1663"/>
      <c r="MS53" s="1663"/>
      <c r="MT53" s="1663"/>
      <c r="MU53" s="1663"/>
      <c r="MV53" s="1663"/>
      <c r="MW53" s="101" t="s">
        <v>1307</v>
      </c>
      <c r="MX53" s="83">
        <f>IFERROR(VLOOKUP(MX$1,'Existing Customers'!$A:$AD,30,FALSE),MX6)</f>
        <v>0</v>
      </c>
      <c r="MY53" s="1663"/>
      <c r="MZ53" s="1663"/>
      <c r="NA53" s="1663"/>
      <c r="NB53" s="1663"/>
      <c r="NC53" s="1663"/>
      <c r="ND53" s="1663"/>
      <c r="NE53" s="1663"/>
      <c r="NF53" s="1663"/>
      <c r="NG53" s="1663"/>
      <c r="NH53" s="1663"/>
      <c r="NI53" s="1663"/>
      <c r="NJ53" s="1663"/>
      <c r="NK53" s="1663"/>
      <c r="NL53" s="1663"/>
      <c r="NM53" s="1663"/>
      <c r="NN53" s="1663"/>
      <c r="NO53" s="1663"/>
      <c r="NP53" s="1663"/>
      <c r="NQ53" s="1663"/>
      <c r="NR53" s="1663"/>
      <c r="NS53" s="1663"/>
      <c r="NT53" s="101" t="s">
        <v>1307</v>
      </c>
      <c r="NU53" s="83">
        <f>IFERROR(VLOOKUP(NU$1,'Existing Customers'!$A:$AD,30,FALSE),NU6)</f>
        <v>0</v>
      </c>
      <c r="NV53" s="1663"/>
      <c r="NW53" s="1663"/>
      <c r="NX53" s="1663"/>
      <c r="NY53" s="1663"/>
      <c r="NZ53" s="1663"/>
      <c r="OA53" s="1663"/>
      <c r="OB53" s="1663"/>
      <c r="OC53" s="1663"/>
      <c r="OD53" s="1663"/>
      <c r="OE53" s="1663"/>
      <c r="OF53" s="1663"/>
      <c r="OG53" s="1663"/>
      <c r="OH53" s="1663"/>
      <c r="OI53" s="1663"/>
      <c r="OJ53" s="1663"/>
      <c r="OK53" s="1663"/>
      <c r="OL53" s="1663"/>
      <c r="OM53" s="1663"/>
      <c r="ON53" s="1663"/>
      <c r="OO53" s="1663"/>
      <c r="OP53" s="1663"/>
      <c r="OQ53" s="101" t="s">
        <v>1307</v>
      </c>
      <c r="OR53" s="83">
        <f>IFERROR(VLOOKUP(OR$1,'Existing Customers'!$A:$AD,30,FALSE),OR6)</f>
        <v>0</v>
      </c>
      <c r="OS53" s="1663"/>
      <c r="OT53" s="1663"/>
      <c r="OU53" s="1663"/>
      <c r="OV53" s="1663"/>
      <c r="OW53" s="1663"/>
      <c r="OX53" s="1663"/>
      <c r="OY53" s="1663"/>
      <c r="OZ53" s="1663"/>
      <c r="PA53" s="1663"/>
      <c r="PB53" s="1663"/>
      <c r="PC53" s="1663"/>
      <c r="PD53" s="1663"/>
      <c r="PE53" s="1663"/>
      <c r="PF53" s="1663"/>
      <c r="PG53" s="1663"/>
      <c r="PH53" s="1663"/>
      <c r="PI53" s="1663"/>
      <c r="PJ53" s="1663"/>
      <c r="PK53" s="1663"/>
      <c r="PL53" s="1663"/>
      <c r="PM53" s="1663"/>
      <c r="PN53" s="101" t="s">
        <v>1307</v>
      </c>
      <c r="PO53" s="83">
        <f>IFERROR(VLOOKUP(PO$1,'Existing Customers'!$A:$AD,30,FALSE),PO6)</f>
        <v>0</v>
      </c>
      <c r="PP53" s="1663"/>
      <c r="PQ53" s="1663"/>
      <c r="PR53" s="1663"/>
      <c r="PS53" s="1663"/>
      <c r="PT53" s="1663"/>
      <c r="PU53" s="1663"/>
      <c r="PV53" s="1663"/>
      <c r="PW53" s="1663"/>
      <c r="PX53" s="1663"/>
      <c r="PY53" s="1663"/>
      <c r="PZ53" s="1663"/>
      <c r="QA53" s="1663"/>
      <c r="QB53" s="1663"/>
      <c r="QC53" s="1663"/>
      <c r="QD53" s="1663"/>
      <c r="QE53" s="1663"/>
      <c r="QF53" s="1663"/>
      <c r="QG53" s="1663"/>
      <c r="QH53" s="1663"/>
      <c r="QI53" s="1663"/>
      <c r="QJ53" s="1663"/>
      <c r="QK53" s="101" t="s">
        <v>1307</v>
      </c>
      <c r="QL53" s="83">
        <f>IFERROR(VLOOKUP(QL$1,'Existing Customers'!$A:$AD,30,FALSE),QL6)</f>
        <v>0</v>
      </c>
      <c r="QM53" s="1663"/>
      <c r="QN53" s="1663"/>
      <c r="QO53" s="1663"/>
      <c r="QP53" s="1663"/>
      <c r="QQ53" s="1663"/>
      <c r="QR53" s="1663"/>
      <c r="QS53" s="1663"/>
      <c r="QT53" s="1663"/>
      <c r="QU53" s="1663"/>
      <c r="QV53" s="1663"/>
      <c r="QW53" s="1663"/>
      <c r="QX53" s="1663"/>
      <c r="QY53" s="1663"/>
      <c r="QZ53" s="1663"/>
      <c r="RA53" s="1663"/>
      <c r="RB53" s="1663"/>
      <c r="RC53" s="1663"/>
      <c r="RD53" s="1663"/>
      <c r="RE53" s="1663"/>
      <c r="RF53" s="1663"/>
      <c r="RG53" s="1663"/>
      <c r="RH53" s="101" t="s">
        <v>1307</v>
      </c>
      <c r="RI53" s="83">
        <f>IFERROR(VLOOKUP(RI$1,'Existing Customers'!$A:$AD,30,FALSE),RI6)</f>
        <v>0</v>
      </c>
      <c r="RJ53" s="1663"/>
      <c r="RK53" s="1663"/>
      <c r="RL53" s="1663"/>
      <c r="RM53" s="1663"/>
      <c r="RN53" s="1663"/>
      <c r="RO53" s="1663"/>
      <c r="RP53" s="1663"/>
      <c r="RQ53" s="1663"/>
      <c r="RR53" s="1663"/>
      <c r="RS53" s="1663"/>
      <c r="RT53" s="1663"/>
      <c r="RU53" s="1663"/>
      <c r="RV53" s="1663"/>
      <c r="RW53" s="1663"/>
      <c r="RX53" s="1663"/>
      <c r="RY53" s="1663"/>
      <c r="RZ53" s="1663"/>
      <c r="SA53" s="1663"/>
      <c r="SB53" s="1663"/>
      <c r="SC53" s="1663"/>
      <c r="SD53" s="1663"/>
      <c r="SE53" s="101" t="s">
        <v>1307</v>
      </c>
      <c r="SF53" s="83">
        <f>IFERROR(VLOOKUP(SF$1,'Existing Customers'!$A:$AD,30,FALSE),SF6)</f>
        <v>0</v>
      </c>
      <c r="SG53" s="1663"/>
      <c r="SH53" s="1663"/>
      <c r="SI53" s="1663"/>
      <c r="SJ53" s="1663"/>
      <c r="SK53" s="1663"/>
      <c r="SL53" s="1663"/>
      <c r="SM53" s="1663"/>
      <c r="SN53" s="1663"/>
      <c r="SO53" s="1663"/>
      <c r="SP53" s="1663"/>
      <c r="SQ53" s="1663"/>
      <c r="SR53" s="1663"/>
      <c r="SS53" s="1663"/>
      <c r="ST53" s="1663"/>
      <c r="SU53" s="1663"/>
      <c r="SV53" s="1663"/>
      <c r="SW53" s="1663"/>
      <c r="SX53" s="1663"/>
      <c r="SY53" s="1663"/>
      <c r="SZ53" s="1663"/>
      <c r="TA53" s="1663"/>
      <c r="TB53" s="1663"/>
      <c r="TC53" s="1663"/>
      <c r="TD53" s="1663"/>
      <c r="TE53" s="1663"/>
      <c r="TF53" s="1663"/>
      <c r="TG53" s="1663"/>
      <c r="TH53" s="1663"/>
      <c r="TI53" s="1663"/>
      <c r="TJ53" s="1663"/>
      <c r="TK53" s="1663"/>
      <c r="TL53" s="1663"/>
      <c r="TM53" s="1663"/>
      <c r="TN53" s="1663"/>
      <c r="TO53" s="1663"/>
      <c r="TP53" s="1663"/>
      <c r="TQ53" s="1663"/>
      <c r="TR53" s="1663"/>
    </row>
    <row r="54" spans="17:538" x14ac:dyDescent="0.25">
      <c r="Q54" s="1465"/>
      <c r="R54" s="1466"/>
      <c r="S54" s="1466"/>
      <c r="T54" s="1466"/>
      <c r="U54" s="1466"/>
      <c r="V54" s="1466"/>
      <c r="W54" s="1466"/>
      <c r="X54" s="1466"/>
      <c r="Y54" s="1466"/>
      <c r="Z54" s="1479">
        <f t="shared" si="95"/>
        <v>2</v>
      </c>
      <c r="AA54" s="1480"/>
      <c r="AB54" s="1481">
        <f t="shared" si="96"/>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63"/>
      <c r="BH54" s="1663"/>
      <c r="BI54" s="1663"/>
      <c r="BJ54" s="1663"/>
      <c r="BK54" s="1663"/>
      <c r="BL54" s="1663"/>
      <c r="BM54" s="1663"/>
      <c r="BN54" s="1663"/>
      <c r="BO54" s="1663"/>
      <c r="BP54" s="1663"/>
      <c r="BQ54" s="1663"/>
      <c r="BR54" s="1663"/>
      <c r="BS54" s="1663"/>
      <c r="BT54" s="1663"/>
      <c r="BU54" s="1663"/>
      <c r="BV54" s="1663"/>
      <c r="BW54" s="1663"/>
      <c r="BX54" s="1663"/>
      <c r="BY54" s="1663"/>
      <c r="BZ54" s="1663"/>
      <c r="CA54" s="1663"/>
      <c r="CB54" s="1663"/>
      <c r="CC54" s="1663"/>
      <c r="CD54" s="1663"/>
      <c r="CE54" s="1663"/>
      <c r="CF54" s="1663"/>
      <c r="CG54" s="1663"/>
      <c r="CH54" s="1663"/>
      <c r="CI54" s="1663"/>
      <c r="CJ54" s="1663"/>
      <c r="CK54" s="1663"/>
      <c r="CL54" s="1663"/>
      <c r="CM54" s="1663"/>
      <c r="CN54" s="1663"/>
      <c r="CO54" s="1663"/>
      <c r="CP54" s="1663"/>
      <c r="CQ54" s="1663"/>
      <c r="CR54" s="1663"/>
      <c r="CS54" s="1663"/>
      <c r="CT54" s="1663"/>
      <c r="CU54" s="1663"/>
      <c r="CV54" s="1663"/>
      <c r="CW54" s="1663"/>
      <c r="CX54" s="1663"/>
      <c r="CY54" s="1663"/>
      <c r="CZ54" s="1663"/>
      <c r="DA54" s="1663"/>
      <c r="DB54" s="1663"/>
      <c r="DC54" s="1663"/>
      <c r="DD54" s="1663"/>
      <c r="DE54" s="1663"/>
      <c r="DF54" s="1663"/>
      <c r="DG54" s="1663"/>
      <c r="DH54" s="1663"/>
      <c r="DI54" s="1663"/>
      <c r="DJ54" s="1663"/>
      <c r="DK54" s="1663"/>
      <c r="DL54" s="1663"/>
      <c r="DM54" s="1663"/>
      <c r="DN54" s="1663"/>
      <c r="DO54" s="1663"/>
      <c r="DP54" s="1663"/>
      <c r="DQ54" s="1663"/>
      <c r="DR54" s="1663"/>
      <c r="DS54" s="1663"/>
      <c r="DT54" s="1663"/>
      <c r="DU54" s="1663"/>
      <c r="DV54" s="1663"/>
      <c r="DW54" s="1663"/>
      <c r="DX54" s="1663"/>
      <c r="DY54" s="1663"/>
      <c r="DZ54" s="1663"/>
      <c r="EA54" s="1663"/>
      <c r="EB54" s="1663"/>
      <c r="EC54" s="1663"/>
      <c r="ED54" s="1663"/>
      <c r="EE54" s="1663"/>
      <c r="EF54" s="1663"/>
      <c r="EG54" s="1663"/>
      <c r="EH54" s="1663"/>
      <c r="EI54" s="1663"/>
      <c r="EJ54" s="1663"/>
      <c r="EK54" s="1663"/>
      <c r="EL54" s="1663"/>
      <c r="EM54" s="1663"/>
      <c r="EN54" s="1663"/>
      <c r="EO54" s="1663"/>
      <c r="EP54" s="1663"/>
      <c r="EQ54" s="1663"/>
      <c r="ER54" s="1663"/>
      <c r="ES54" s="1663"/>
      <c r="ET54" s="1663"/>
      <c r="EU54" s="1663"/>
      <c r="EV54" s="1663"/>
      <c r="EW54" s="1663"/>
      <c r="EX54" s="1663"/>
      <c r="EY54" s="1663"/>
      <c r="EZ54" s="1663"/>
      <c r="FA54" s="1663"/>
      <c r="FB54" s="1663"/>
      <c r="FC54" s="1663"/>
      <c r="FD54" s="1663"/>
      <c r="FE54" s="1663"/>
      <c r="FF54" s="1663"/>
      <c r="FG54" s="1663"/>
      <c r="FH54" s="1663"/>
      <c r="FI54" s="1663"/>
      <c r="FJ54" s="1663"/>
      <c r="FK54" s="1663"/>
      <c r="FL54" s="1663"/>
      <c r="FM54" s="1663"/>
      <c r="FN54" s="1663"/>
      <c r="FO54" s="1663"/>
      <c r="FP54" s="1663"/>
      <c r="FQ54" s="1663"/>
      <c r="FR54" s="1663"/>
      <c r="FS54" s="1663"/>
      <c r="FT54" s="1663"/>
      <c r="FU54" s="1663"/>
      <c r="FV54" s="1663"/>
      <c r="FW54" s="1663"/>
      <c r="FX54" s="1663"/>
      <c r="FY54" s="1663"/>
      <c r="FZ54" s="1663"/>
      <c r="GA54" s="1663"/>
      <c r="GB54" s="1663"/>
      <c r="GC54" s="1663"/>
      <c r="GD54" s="1663"/>
      <c r="GE54" s="1663"/>
      <c r="GF54" s="1663"/>
      <c r="GG54" s="1663"/>
      <c r="GH54" s="1663"/>
      <c r="GI54" s="1663"/>
      <c r="GJ54" s="1663"/>
      <c r="GK54" s="1663"/>
      <c r="GL54" s="1663"/>
      <c r="GM54" s="1663"/>
      <c r="GN54" s="1663"/>
      <c r="GO54" s="1663"/>
      <c r="GP54" s="1663"/>
      <c r="GQ54" s="1663"/>
      <c r="GR54" s="1663"/>
      <c r="GS54" s="1663"/>
      <c r="GT54" s="1663"/>
      <c r="GU54" s="1663"/>
      <c r="GV54" s="1663"/>
      <c r="GW54" s="1663"/>
      <c r="GX54" s="1663"/>
      <c r="GY54" s="1663"/>
      <c r="GZ54" s="1663"/>
      <c r="HA54" s="1663"/>
      <c r="HB54" s="1663"/>
      <c r="HC54" s="1663"/>
      <c r="HD54" s="1663"/>
      <c r="HE54" s="1663"/>
      <c r="HF54" s="1663"/>
      <c r="HG54" s="1663"/>
      <c r="HH54" s="1663"/>
      <c r="HI54" s="1663"/>
      <c r="HJ54" s="1663"/>
      <c r="HK54" s="1663"/>
      <c r="HL54" s="1663"/>
      <c r="HM54" s="1663"/>
      <c r="HN54" s="1663"/>
      <c r="HO54" s="1663"/>
      <c r="HP54" s="1663"/>
      <c r="HQ54" s="1663"/>
      <c r="HR54" s="1663"/>
      <c r="HS54" s="1663"/>
      <c r="HT54" s="1663"/>
      <c r="HU54" s="1663"/>
      <c r="HV54" s="1663"/>
      <c r="HW54" s="1663"/>
      <c r="HX54" s="1663"/>
      <c r="HY54" s="1663"/>
      <c r="HZ54" s="1663"/>
      <c r="IA54" s="1663"/>
      <c r="IB54" s="1663"/>
      <c r="IC54" s="1663"/>
      <c r="ID54" s="1663"/>
      <c r="IE54" s="1663"/>
      <c r="IF54" s="1663"/>
      <c r="IG54" s="1663"/>
      <c r="IH54" s="1663"/>
      <c r="II54" s="1663"/>
      <c r="IJ54" s="1663"/>
      <c r="IK54" s="1663"/>
      <c r="IL54" s="1663"/>
      <c r="IM54" s="1663"/>
      <c r="IN54" s="1663"/>
      <c r="IO54" s="1663"/>
      <c r="IP54" s="1663"/>
      <c r="IQ54" s="1663"/>
      <c r="IR54" s="1663"/>
      <c r="IS54" s="1663"/>
      <c r="IT54" s="1663"/>
      <c r="IU54" s="1663"/>
      <c r="IV54" s="1663"/>
      <c r="IW54" s="1663"/>
      <c r="IX54" s="1663"/>
      <c r="IY54" s="1663"/>
      <c r="IZ54" s="1663"/>
      <c r="JA54" s="1663"/>
      <c r="JB54" s="1663"/>
      <c r="JC54" s="1663"/>
      <c r="JD54" s="1663"/>
      <c r="JE54" s="1663"/>
      <c r="JF54" s="1663"/>
      <c r="JG54" s="1663"/>
      <c r="JH54" s="1663"/>
      <c r="JI54" s="1663"/>
      <c r="JJ54" s="1663"/>
      <c r="JK54" s="1663"/>
      <c r="JL54" s="1663"/>
      <c r="JM54" s="1663"/>
      <c r="JN54" s="1663"/>
      <c r="JO54" s="1663"/>
      <c r="JP54" s="1663"/>
      <c r="JQ54" s="1663"/>
      <c r="JR54" s="1663"/>
      <c r="JS54" s="1663"/>
      <c r="JT54" s="1663"/>
      <c r="JU54" s="1663"/>
      <c r="JV54" s="1663"/>
      <c r="JW54" s="1663"/>
      <c r="JX54" s="1663"/>
      <c r="JY54" s="1663"/>
      <c r="JZ54" s="1663"/>
      <c r="KA54" s="1663"/>
      <c r="KB54" s="1663"/>
      <c r="KC54" s="1663"/>
      <c r="KD54" s="1663"/>
      <c r="KE54" s="1663"/>
      <c r="KF54" s="1663"/>
      <c r="KG54" s="1663"/>
      <c r="KH54" s="1663"/>
      <c r="KI54" s="1663"/>
      <c r="KJ54" s="1663"/>
      <c r="KK54" s="1663"/>
      <c r="KL54" s="1663"/>
      <c r="KM54" s="1663"/>
      <c r="KN54" s="1663"/>
      <c r="KO54" s="1663"/>
      <c r="KP54" s="1663"/>
      <c r="KQ54" s="1663"/>
      <c r="KR54" s="1663"/>
      <c r="KS54" s="1663"/>
      <c r="KT54" s="1663"/>
      <c r="KU54" s="1663"/>
      <c r="KV54" s="1663"/>
      <c r="KW54" s="1663"/>
      <c r="KX54" s="1663"/>
      <c r="KY54" s="1663"/>
      <c r="KZ54" s="1663"/>
      <c r="LA54" s="1663"/>
      <c r="LB54" s="1663"/>
      <c r="LC54" s="1663"/>
      <c r="LD54" s="1663"/>
      <c r="LE54" s="1663"/>
      <c r="LF54" s="1663"/>
      <c r="LG54" s="1663"/>
      <c r="LH54" s="1663"/>
      <c r="LI54" s="1663"/>
      <c r="LJ54" s="1663"/>
      <c r="LK54" s="1663"/>
      <c r="LL54" s="1663"/>
      <c r="LM54" s="1663"/>
      <c r="LN54" s="1663"/>
      <c r="LO54" s="1663"/>
      <c r="LP54" s="1663"/>
      <c r="LQ54" s="1663"/>
      <c r="LR54" s="1663"/>
      <c r="LS54" s="1663"/>
      <c r="LT54" s="1663"/>
      <c r="LU54" s="1663"/>
      <c r="LV54" s="1663"/>
      <c r="LW54" s="1663"/>
      <c r="LX54" s="1663"/>
      <c r="LY54" s="1663"/>
      <c r="LZ54" s="1663"/>
      <c r="MA54" s="1663"/>
      <c r="MB54" s="1663"/>
      <c r="MC54" s="1663"/>
      <c r="MD54" s="1663"/>
      <c r="ME54" s="1663"/>
      <c r="MF54" s="1663"/>
      <c r="MG54" s="1663"/>
      <c r="MH54" s="1663"/>
      <c r="MI54" s="1663"/>
      <c r="MJ54" s="1663"/>
      <c r="MK54" s="1663"/>
      <c r="ML54" s="1663"/>
      <c r="MM54" s="1663"/>
      <c r="MN54" s="1663"/>
      <c r="MO54" s="1663"/>
      <c r="MP54" s="1663"/>
      <c r="MQ54" s="1663"/>
      <c r="MR54" s="1663"/>
      <c r="MS54" s="1663"/>
      <c r="MT54" s="1663"/>
      <c r="MU54" s="1663"/>
      <c r="MV54" s="1663"/>
      <c r="MW54" s="1663"/>
      <c r="MX54" s="1663"/>
      <c r="MY54" s="1663"/>
      <c r="MZ54" s="1663"/>
      <c r="NA54" s="1663"/>
      <c r="NB54" s="1663"/>
      <c r="NC54" s="1663"/>
      <c r="ND54" s="1663"/>
      <c r="NE54" s="1663"/>
      <c r="NF54" s="1663"/>
      <c r="NG54" s="1663"/>
      <c r="NH54" s="1663"/>
      <c r="NI54" s="1663"/>
      <c r="NJ54" s="1663"/>
      <c r="NK54" s="1663"/>
      <c r="NL54" s="1663"/>
      <c r="NM54" s="1663"/>
      <c r="NN54" s="1663"/>
      <c r="NO54" s="1663"/>
      <c r="NP54" s="1663"/>
      <c r="NQ54" s="1663"/>
      <c r="NR54" s="1663"/>
      <c r="NS54" s="1663"/>
      <c r="NT54" s="1663"/>
      <c r="NU54" s="1663"/>
      <c r="NV54" s="1663"/>
      <c r="NW54" s="1663"/>
      <c r="NX54" s="1663"/>
      <c r="NY54" s="1663"/>
      <c r="NZ54" s="1663"/>
      <c r="OA54" s="1663"/>
      <c r="OB54" s="1663"/>
      <c r="OC54" s="1663"/>
      <c r="OD54" s="1663"/>
      <c r="OE54" s="1663"/>
      <c r="OF54" s="1663"/>
      <c r="OG54" s="1663"/>
      <c r="OH54" s="1663"/>
      <c r="OI54" s="1663"/>
      <c r="OJ54" s="1663"/>
      <c r="OK54" s="1663"/>
      <c r="OL54" s="1663"/>
      <c r="OM54" s="1663"/>
      <c r="ON54" s="1663"/>
      <c r="OO54" s="1663"/>
      <c r="OP54" s="1663"/>
      <c r="OQ54" s="1663"/>
      <c r="OR54" s="1663"/>
      <c r="OS54" s="1663"/>
      <c r="OT54" s="1663"/>
      <c r="OU54" s="1663"/>
      <c r="OV54" s="1663"/>
      <c r="OW54" s="1663"/>
      <c r="OX54" s="1663"/>
      <c r="OY54" s="1663"/>
      <c r="OZ54" s="1663"/>
      <c r="PA54" s="1663"/>
      <c r="PB54" s="1663"/>
      <c r="PC54" s="1663"/>
      <c r="PD54" s="1663"/>
      <c r="PE54" s="1663"/>
      <c r="PF54" s="1663"/>
      <c r="PG54" s="1663"/>
      <c r="PH54" s="1663"/>
      <c r="PI54" s="1663"/>
      <c r="PJ54" s="1663"/>
      <c r="PK54" s="1663"/>
      <c r="PL54" s="1663"/>
      <c r="PM54" s="1663"/>
      <c r="PN54" s="1663"/>
      <c r="PO54" s="1663"/>
      <c r="PP54" s="1663"/>
      <c r="PQ54" s="1663"/>
      <c r="PR54" s="1663"/>
      <c r="PS54" s="1663"/>
      <c r="PT54" s="1663"/>
      <c r="PU54" s="1663"/>
      <c r="PV54" s="1663"/>
      <c r="PW54" s="1663"/>
      <c r="PX54" s="1663"/>
      <c r="PY54" s="1663"/>
      <c r="PZ54" s="1663"/>
      <c r="QA54" s="1663"/>
      <c r="QB54" s="1663"/>
      <c r="QC54" s="1663"/>
      <c r="QD54" s="1663"/>
      <c r="QE54" s="1663"/>
      <c r="QF54" s="1663"/>
      <c r="QG54" s="1663"/>
      <c r="QH54" s="1663"/>
      <c r="QI54" s="1663"/>
      <c r="QJ54" s="1663"/>
      <c r="QK54" s="1663"/>
      <c r="QL54" s="1663"/>
      <c r="QM54" s="1663"/>
      <c r="QN54" s="1663"/>
      <c r="QO54" s="1663"/>
      <c r="QP54" s="1663"/>
      <c r="QQ54" s="1663"/>
      <c r="QR54" s="1663"/>
      <c r="QS54" s="1663"/>
      <c r="QT54" s="1663"/>
      <c r="QU54" s="1663"/>
      <c r="QV54" s="1663"/>
      <c r="QW54" s="1663"/>
      <c r="QX54" s="1663"/>
      <c r="QY54" s="1663"/>
      <c r="QZ54" s="1663"/>
      <c r="RA54" s="1663"/>
      <c r="RB54" s="1663"/>
      <c r="RC54" s="1663"/>
      <c r="RD54" s="1663"/>
      <c r="RE54" s="1663"/>
      <c r="RF54" s="1663"/>
      <c r="RG54" s="1663"/>
      <c r="RH54" s="1663"/>
      <c r="RI54" s="1663"/>
      <c r="RJ54" s="1663"/>
      <c r="RK54" s="1663"/>
      <c r="RL54" s="1663"/>
      <c r="RM54" s="1663"/>
      <c r="RN54" s="1663"/>
      <c r="RO54" s="1663"/>
      <c r="RP54" s="1663"/>
      <c r="RQ54" s="1663"/>
      <c r="RR54" s="1663"/>
      <c r="RS54" s="1663"/>
      <c r="RT54" s="1663"/>
      <c r="RU54" s="1663"/>
      <c r="RV54" s="1663"/>
      <c r="RW54" s="1663"/>
      <c r="RX54" s="1663"/>
      <c r="RY54" s="1663"/>
      <c r="RZ54" s="1663"/>
      <c r="SA54" s="1663"/>
      <c r="SB54" s="1663"/>
      <c r="SC54" s="1663"/>
      <c r="SD54" s="1663"/>
      <c r="SE54" s="1663"/>
      <c r="SF54" s="1663"/>
      <c r="SG54" s="1663"/>
      <c r="SH54" s="1663"/>
      <c r="SI54" s="1663"/>
      <c r="SJ54" s="1663"/>
      <c r="SK54" s="1663"/>
      <c r="SL54" s="1663"/>
      <c r="SM54" s="1663"/>
      <c r="SN54" s="1663"/>
      <c r="SO54" s="1663"/>
      <c r="SP54" s="1663"/>
      <c r="SQ54" s="1663"/>
      <c r="SR54" s="1663"/>
      <c r="SS54" s="1663"/>
      <c r="ST54" s="1663"/>
      <c r="SU54" s="1663"/>
      <c r="SV54" s="1663"/>
      <c r="SW54" s="1663"/>
      <c r="SX54" s="1663"/>
      <c r="SY54" s="1663"/>
      <c r="SZ54" s="1663"/>
      <c r="TA54" s="1663"/>
      <c r="TB54" s="1663"/>
      <c r="TC54" s="1663"/>
      <c r="TD54" s="1663"/>
      <c r="TE54" s="1663"/>
      <c r="TF54" s="1663"/>
      <c r="TG54" s="1663"/>
      <c r="TH54" s="1663"/>
      <c r="TI54" s="1663"/>
      <c r="TJ54" s="1663"/>
      <c r="TK54" s="1663"/>
      <c r="TL54" s="1663"/>
      <c r="TM54" s="1663"/>
      <c r="TN54" s="1663"/>
      <c r="TO54" s="1663"/>
      <c r="TP54" s="1663"/>
      <c r="TQ54" s="1663"/>
      <c r="TR54" s="1663"/>
    </row>
    <row r="55" spans="17:538" x14ac:dyDescent="0.25">
      <c r="Q55" s="1465"/>
      <c r="R55" s="1466"/>
      <c r="S55" s="1466"/>
      <c r="T55" s="1466"/>
      <c r="U55" s="1466"/>
      <c r="V55" s="1466"/>
      <c r="W55" s="1466"/>
      <c r="X55" s="1466"/>
      <c r="Y55" s="1466"/>
      <c r="Z55" s="1479">
        <f t="shared" si="95"/>
        <v>2</v>
      </c>
      <c r="AA55" s="1480"/>
      <c r="AB55" s="1481">
        <f t="shared" si="96"/>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63"/>
      <c r="BH55" s="1663"/>
      <c r="BI55" s="1663"/>
      <c r="BJ55" s="1663"/>
      <c r="BK55" s="1663"/>
      <c r="BL55" s="1663"/>
      <c r="BM55" s="1663"/>
      <c r="BN55" s="1663"/>
      <c r="BO55" s="1663"/>
      <c r="BP55" s="1663"/>
      <c r="BQ55" s="1663"/>
      <c r="BR55" s="1663"/>
      <c r="BS55" s="1663"/>
      <c r="BT55" s="1663"/>
      <c r="BU55" s="1663"/>
      <c r="BV55" s="1663"/>
      <c r="BW55" s="1663"/>
      <c r="BX55" s="1663"/>
      <c r="BY55" s="1663"/>
      <c r="BZ55" s="1663"/>
      <c r="CA55" s="1663"/>
      <c r="CB55" s="1663"/>
      <c r="CC55" s="1663"/>
      <c r="CD55" s="1663"/>
      <c r="CE55" s="1663"/>
      <c r="CF55" s="1663"/>
      <c r="CG55" s="1663"/>
      <c r="CH55" s="1663"/>
      <c r="CI55" s="1663"/>
      <c r="CJ55" s="1663"/>
      <c r="CK55" s="1663"/>
      <c r="CL55" s="1663"/>
      <c r="CM55" s="1663"/>
      <c r="CN55" s="1663"/>
      <c r="CO55" s="1663"/>
      <c r="CP55" s="1663"/>
      <c r="CQ55" s="1663"/>
      <c r="CR55" s="1663"/>
      <c r="CS55" s="1663"/>
      <c r="CT55" s="1663"/>
      <c r="CU55" s="1663"/>
      <c r="CV55" s="1663"/>
      <c r="CW55" s="1663"/>
      <c r="CX55" s="1663"/>
      <c r="CY55" s="1663"/>
      <c r="CZ55" s="1663"/>
      <c r="DA55" s="1663"/>
      <c r="DB55" s="1663"/>
      <c r="DC55" s="1663"/>
      <c r="DD55" s="1663"/>
      <c r="DE55" s="1663"/>
      <c r="DF55" s="1663"/>
      <c r="DG55" s="1663"/>
      <c r="DH55" s="1663"/>
      <c r="DI55" s="1663"/>
      <c r="DJ55" s="1663"/>
      <c r="DK55" s="1663"/>
      <c r="DL55" s="1663"/>
      <c r="DM55" s="1663"/>
      <c r="DN55" s="1663"/>
      <c r="DO55" s="1663"/>
      <c r="DP55" s="1663"/>
      <c r="DQ55" s="1663"/>
      <c r="DR55" s="1663"/>
      <c r="DS55" s="1663"/>
      <c r="DT55" s="1663"/>
      <c r="DU55" s="1663"/>
      <c r="DV55" s="1663"/>
      <c r="DW55" s="1663"/>
      <c r="DX55" s="1663"/>
      <c r="DY55" s="1663"/>
      <c r="DZ55" s="1663"/>
      <c r="EA55" s="1663"/>
      <c r="EB55" s="1663"/>
      <c r="EC55" s="1663"/>
      <c r="ED55" s="1663"/>
      <c r="EE55" s="1663"/>
      <c r="EF55" s="1663"/>
      <c r="EG55" s="1663"/>
      <c r="EH55" s="1663"/>
      <c r="EI55" s="1663"/>
      <c r="EJ55" s="1663"/>
      <c r="EK55" s="1663"/>
      <c r="EL55" s="1663"/>
      <c r="EM55" s="1663"/>
      <c r="EN55" s="1663"/>
      <c r="EO55" s="1663"/>
      <c r="EP55" s="1663"/>
      <c r="EQ55" s="1663"/>
      <c r="ER55" s="1663"/>
      <c r="ES55" s="1663"/>
      <c r="ET55" s="1663"/>
      <c r="EU55" s="1663"/>
      <c r="EV55" s="1663"/>
      <c r="EW55" s="1663"/>
      <c r="EX55" s="1663"/>
      <c r="EY55" s="1663"/>
      <c r="EZ55" s="1663"/>
      <c r="FA55" s="1663"/>
      <c r="FB55" s="1663"/>
      <c r="FC55" s="1663"/>
      <c r="FD55" s="1663"/>
      <c r="FE55" s="1663"/>
      <c r="FF55" s="1663"/>
      <c r="FG55" s="1663"/>
      <c r="FH55" s="1663"/>
      <c r="FI55" s="1663"/>
      <c r="FJ55" s="1663"/>
      <c r="FK55" s="1663"/>
      <c r="FL55" s="1663"/>
      <c r="FM55" s="1663"/>
      <c r="FN55" s="1663"/>
      <c r="FO55" s="1663"/>
      <c r="FP55" s="1663"/>
      <c r="FQ55" s="1663"/>
      <c r="FR55" s="1663"/>
      <c r="FS55" s="1663"/>
      <c r="FT55" s="1663"/>
      <c r="FU55" s="1663"/>
      <c r="FV55" s="1663"/>
      <c r="FW55" s="1663"/>
      <c r="FX55" s="1663"/>
      <c r="FY55" s="1663"/>
      <c r="FZ55" s="1663"/>
      <c r="GA55" s="1663"/>
      <c r="GB55" s="1663"/>
      <c r="GC55" s="1663"/>
      <c r="GD55" s="1663"/>
      <c r="GE55" s="1663"/>
      <c r="GF55" s="1663"/>
      <c r="GG55" s="1663"/>
      <c r="GH55" s="1663"/>
      <c r="GI55" s="1663"/>
      <c r="GJ55" s="1663"/>
      <c r="GK55" s="1663"/>
      <c r="GL55" s="1663"/>
      <c r="GM55" s="1663"/>
      <c r="GN55" s="1663"/>
      <c r="GO55" s="1663"/>
      <c r="GP55" s="1663"/>
      <c r="GQ55" s="1663"/>
      <c r="GR55" s="1663"/>
      <c r="GS55" s="1663"/>
      <c r="GT55" s="1663"/>
      <c r="GU55" s="1663"/>
      <c r="GV55" s="1663"/>
      <c r="GW55" s="1663"/>
      <c r="GX55" s="1663"/>
      <c r="GY55" s="1663"/>
      <c r="GZ55" s="1663"/>
      <c r="HA55" s="1663"/>
      <c r="HB55" s="1663"/>
      <c r="HC55" s="1663"/>
      <c r="HD55" s="1663"/>
      <c r="HE55" s="1663"/>
      <c r="HF55" s="1663"/>
      <c r="HG55" s="1663"/>
      <c r="HH55" s="1663"/>
      <c r="HI55" s="1663"/>
      <c r="HJ55" s="1663"/>
      <c r="HK55" s="1663"/>
      <c r="HL55" s="1663"/>
      <c r="HM55" s="1663"/>
      <c r="HN55" s="1663"/>
      <c r="HO55" s="1663"/>
      <c r="HP55" s="1663"/>
      <c r="HQ55" s="1663"/>
      <c r="HR55" s="1663"/>
      <c r="HS55" s="1663"/>
      <c r="HT55" s="1663"/>
      <c r="HU55" s="1663"/>
      <c r="HV55" s="1663"/>
      <c r="HW55" s="1663"/>
      <c r="HX55" s="1663"/>
      <c r="HY55" s="1663"/>
      <c r="HZ55" s="1663"/>
      <c r="IA55" s="1663"/>
      <c r="IB55" s="1663"/>
      <c r="IC55" s="1663"/>
      <c r="ID55" s="1663"/>
      <c r="IE55" s="1663"/>
      <c r="IF55" s="1663"/>
      <c r="IG55" s="1663"/>
      <c r="IH55" s="1663"/>
      <c r="II55" s="1663"/>
      <c r="IJ55" s="1663"/>
      <c r="IK55" s="1663"/>
      <c r="IL55" s="1663"/>
      <c r="IM55" s="1663"/>
      <c r="IN55" s="1663"/>
      <c r="IO55" s="1663"/>
      <c r="IP55" s="1663"/>
      <c r="IQ55" s="1663"/>
      <c r="IR55" s="1663"/>
      <c r="IS55" s="1663"/>
      <c r="IT55" s="1663"/>
      <c r="IU55" s="1663"/>
      <c r="IV55" s="1663"/>
      <c r="IW55" s="1663"/>
      <c r="IX55" s="1663"/>
      <c r="IY55" s="1663"/>
      <c r="IZ55" s="1663"/>
      <c r="JA55" s="1663"/>
      <c r="JB55" s="1663"/>
      <c r="JC55" s="1663"/>
      <c r="JD55" s="1663"/>
      <c r="JE55" s="1663"/>
      <c r="JF55" s="1663"/>
      <c r="JG55" s="1663"/>
      <c r="JH55" s="1663"/>
      <c r="JI55" s="1663"/>
      <c r="JJ55" s="1663"/>
      <c r="JK55" s="1663"/>
      <c r="JL55" s="1663"/>
      <c r="JM55" s="1663"/>
      <c r="JN55" s="1663"/>
      <c r="JO55" s="1663"/>
      <c r="JP55" s="1663"/>
      <c r="JQ55" s="1663"/>
      <c r="JR55" s="1663"/>
      <c r="JS55" s="1663"/>
      <c r="JT55" s="1663"/>
      <c r="JU55" s="1663"/>
      <c r="JV55" s="1663"/>
      <c r="JW55" s="1663"/>
      <c r="JX55" s="1663"/>
      <c r="JY55" s="1663"/>
      <c r="JZ55" s="1663"/>
      <c r="KA55" s="1663"/>
      <c r="KB55" s="1663"/>
      <c r="KC55" s="1663"/>
      <c r="KD55" s="1663"/>
      <c r="KE55" s="1663"/>
      <c r="KF55" s="1663"/>
      <c r="KG55" s="1663"/>
      <c r="KH55" s="1663"/>
      <c r="KI55" s="1663"/>
      <c r="KJ55" s="1663"/>
      <c r="KK55" s="1663"/>
      <c r="KL55" s="1663"/>
      <c r="KM55" s="1663"/>
      <c r="KN55" s="1663"/>
      <c r="KO55" s="1663"/>
      <c r="KP55" s="1663"/>
      <c r="KQ55" s="1663"/>
      <c r="KR55" s="1663"/>
      <c r="KS55" s="1663"/>
      <c r="KT55" s="1663"/>
      <c r="KU55" s="1663"/>
      <c r="KV55" s="1663"/>
      <c r="KW55" s="1663"/>
      <c r="KX55" s="1663"/>
      <c r="KY55" s="1663"/>
      <c r="KZ55" s="1663"/>
      <c r="LA55" s="1663"/>
      <c r="LB55" s="1663"/>
      <c r="LC55" s="1663"/>
      <c r="LD55" s="1663"/>
      <c r="LE55" s="1663"/>
      <c r="LF55" s="1663"/>
      <c r="LG55" s="1663"/>
      <c r="LH55" s="1663"/>
      <c r="LI55" s="1663"/>
      <c r="LJ55" s="1663"/>
      <c r="LK55" s="1663"/>
      <c r="LL55" s="1663"/>
      <c r="LM55" s="1663"/>
      <c r="LN55" s="1663"/>
      <c r="LO55" s="1663"/>
      <c r="LP55" s="1663"/>
      <c r="LQ55" s="1663"/>
      <c r="LR55" s="1663"/>
      <c r="LS55" s="1663"/>
      <c r="LT55" s="1663"/>
      <c r="LU55" s="1663"/>
      <c r="LV55" s="1663"/>
      <c r="LW55" s="1663"/>
      <c r="LX55" s="1663"/>
      <c r="LY55" s="1663"/>
      <c r="LZ55" s="1663"/>
      <c r="MA55" s="1663"/>
      <c r="MB55" s="1663"/>
      <c r="MC55" s="1663"/>
      <c r="MD55" s="1663"/>
      <c r="ME55" s="1663"/>
      <c r="MF55" s="1663"/>
      <c r="MG55" s="1663"/>
      <c r="MH55" s="1663"/>
      <c r="MI55" s="1663"/>
      <c r="MJ55" s="1663"/>
      <c r="MK55" s="1663"/>
      <c r="ML55" s="1663"/>
      <c r="MM55" s="1663"/>
      <c r="MN55" s="1663"/>
      <c r="MO55" s="1663"/>
      <c r="MP55" s="1663"/>
      <c r="MQ55" s="1663"/>
      <c r="MR55" s="1663"/>
      <c r="MS55" s="1663"/>
      <c r="MT55" s="1663"/>
      <c r="MU55" s="1663"/>
      <c r="MV55" s="1663"/>
      <c r="MW55" s="1663"/>
      <c r="MX55" s="1663"/>
      <c r="MY55" s="1663"/>
      <c r="MZ55" s="1663"/>
      <c r="NA55" s="1663"/>
      <c r="NB55" s="1663"/>
      <c r="NC55" s="1663"/>
      <c r="ND55" s="1663"/>
      <c r="NE55" s="1663"/>
      <c r="NF55" s="1663"/>
      <c r="NG55" s="1663"/>
      <c r="NH55" s="1663"/>
      <c r="NI55" s="1663"/>
      <c r="NJ55" s="1663"/>
      <c r="NK55" s="1663"/>
      <c r="NL55" s="1663"/>
      <c r="NM55" s="1663"/>
      <c r="NN55" s="1663"/>
      <c r="NO55" s="1663"/>
      <c r="NP55" s="1663"/>
      <c r="NQ55" s="1663"/>
      <c r="NR55" s="1663"/>
      <c r="NS55" s="1663"/>
      <c r="NT55" s="1663"/>
      <c r="NU55" s="1663"/>
      <c r="NV55" s="1663"/>
      <c r="NW55" s="1663"/>
      <c r="NX55" s="1663"/>
      <c r="NY55" s="1663"/>
      <c r="NZ55" s="1663"/>
      <c r="OA55" s="1663"/>
      <c r="OB55" s="1663"/>
      <c r="OC55" s="1663"/>
      <c r="OD55" s="1663"/>
      <c r="OE55" s="1663"/>
      <c r="OF55" s="1663"/>
      <c r="OG55" s="1663"/>
      <c r="OH55" s="1663"/>
      <c r="OI55" s="1663"/>
      <c r="OJ55" s="1663"/>
      <c r="OK55" s="1663"/>
      <c r="OL55" s="1663"/>
      <c r="OM55" s="1663"/>
      <c r="ON55" s="1663"/>
      <c r="OO55" s="1663"/>
      <c r="OP55" s="1663"/>
      <c r="OQ55" s="1663"/>
      <c r="OR55" s="1663"/>
      <c r="OS55" s="1663"/>
      <c r="OT55" s="1663"/>
      <c r="OU55" s="1663"/>
      <c r="OV55" s="1663"/>
      <c r="OW55" s="1663"/>
      <c r="OX55" s="1663"/>
      <c r="OY55" s="1663"/>
      <c r="OZ55" s="1663"/>
      <c r="PA55" s="1663"/>
      <c r="PB55" s="1663"/>
      <c r="PC55" s="1663"/>
      <c r="PD55" s="1663"/>
      <c r="PE55" s="1663"/>
      <c r="PF55" s="1663"/>
      <c r="PG55" s="1663"/>
      <c r="PH55" s="1663"/>
      <c r="PI55" s="1663"/>
      <c r="PJ55" s="1663"/>
      <c r="PK55" s="1663"/>
      <c r="PL55" s="1663"/>
      <c r="PM55" s="1663"/>
      <c r="PN55" s="1663"/>
      <c r="PO55" s="1663"/>
      <c r="PP55" s="1663"/>
      <c r="PQ55" s="1663"/>
      <c r="PR55" s="1663"/>
      <c r="PS55" s="1663"/>
      <c r="PT55" s="1663"/>
      <c r="PU55" s="1663"/>
      <c r="PV55" s="1663"/>
      <c r="PW55" s="1663"/>
      <c r="PX55" s="1663"/>
      <c r="PY55" s="1663"/>
      <c r="PZ55" s="1663"/>
      <c r="QA55" s="1663"/>
      <c r="QB55" s="1663"/>
      <c r="QC55" s="1663"/>
      <c r="QD55" s="1663"/>
      <c r="QE55" s="1663"/>
      <c r="QF55" s="1663"/>
      <c r="QG55" s="1663"/>
      <c r="QH55" s="1663"/>
      <c r="QI55" s="1663"/>
      <c r="QJ55" s="1663"/>
      <c r="QK55" s="1663"/>
      <c r="QL55" s="1663"/>
      <c r="QM55" s="1663"/>
      <c r="QN55" s="1663"/>
      <c r="QO55" s="1663"/>
      <c r="QP55" s="1663"/>
      <c r="QQ55" s="1663"/>
      <c r="QR55" s="1663"/>
      <c r="QS55" s="1663"/>
      <c r="QT55" s="1663"/>
      <c r="QU55" s="1663"/>
      <c r="QV55" s="1663"/>
      <c r="QW55" s="1663"/>
      <c r="QX55" s="1663"/>
      <c r="QY55" s="1663"/>
      <c r="QZ55" s="1663"/>
      <c r="RA55" s="1663"/>
      <c r="RB55" s="1663"/>
      <c r="RC55" s="1663"/>
      <c r="RD55" s="1663"/>
      <c r="RE55" s="1663"/>
      <c r="RF55" s="1663"/>
      <c r="RG55" s="1663"/>
      <c r="RH55" s="1663"/>
      <c r="RI55" s="1663"/>
      <c r="RJ55" s="1663"/>
      <c r="RK55" s="1663"/>
      <c r="RL55" s="1663"/>
      <c r="RM55" s="1663"/>
      <c r="RN55" s="1663"/>
      <c r="RO55" s="1663"/>
      <c r="RP55" s="1663"/>
      <c r="RQ55" s="1663"/>
      <c r="RR55" s="1663"/>
      <c r="RS55" s="1663"/>
      <c r="RT55" s="1663"/>
      <c r="RU55" s="1663"/>
      <c r="RV55" s="1663"/>
      <c r="RW55" s="1663"/>
      <c r="RX55" s="1663"/>
      <c r="RY55" s="1663"/>
      <c r="RZ55" s="1663"/>
      <c r="SA55" s="1663"/>
      <c r="SB55" s="1663"/>
      <c r="SC55" s="1663"/>
      <c r="SD55" s="1663"/>
      <c r="SE55" s="1663"/>
      <c r="SF55" s="1663"/>
      <c r="SG55" s="1663"/>
      <c r="SH55" s="1663"/>
      <c r="SI55" s="1663"/>
      <c r="SJ55" s="1663"/>
      <c r="SK55" s="1663"/>
      <c r="SL55" s="1663"/>
      <c r="SM55" s="1663"/>
      <c r="SN55" s="1663"/>
      <c r="SO55" s="1663"/>
      <c r="SP55" s="1663"/>
      <c r="SQ55" s="1663"/>
      <c r="SR55" s="1663"/>
      <c r="SS55" s="1663"/>
      <c r="ST55" s="1663"/>
      <c r="SU55" s="1663"/>
      <c r="SV55" s="1663"/>
      <c r="SW55" s="1663"/>
      <c r="SX55" s="1663"/>
      <c r="SY55" s="1663"/>
      <c r="SZ55" s="1663"/>
      <c r="TA55" s="1663"/>
      <c r="TB55" s="1663"/>
      <c r="TC55" s="1663"/>
      <c r="TD55" s="1663"/>
      <c r="TE55" s="1663"/>
      <c r="TF55" s="1663"/>
      <c r="TG55" s="1663"/>
      <c r="TH55" s="1663"/>
      <c r="TI55" s="1663"/>
      <c r="TJ55" s="1663"/>
      <c r="TK55" s="1663"/>
      <c r="TL55" s="1663"/>
      <c r="TM55" s="1663"/>
      <c r="TN55" s="1663"/>
      <c r="TO55" s="1663"/>
      <c r="TP55" s="1663"/>
      <c r="TQ55" s="1663"/>
      <c r="TR55" s="1663"/>
    </row>
    <row r="56" spans="17:538" x14ac:dyDescent="0.25">
      <c r="Q56" s="1465"/>
      <c r="R56" s="1466"/>
      <c r="S56" s="1466"/>
      <c r="T56" s="1466"/>
      <c r="U56" s="1466"/>
      <c r="V56" s="1466"/>
      <c r="W56" s="1466"/>
      <c r="X56" s="1466"/>
      <c r="Y56" s="1466"/>
      <c r="Z56" s="1479">
        <f t="shared" si="95"/>
        <v>2</v>
      </c>
      <c r="AA56" s="1480"/>
      <c r="AB56" s="1481">
        <f t="shared" si="96"/>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5"/>
        <v>2</v>
      </c>
      <c r="AA57" s="1480"/>
      <c r="AB57" s="1481">
        <f t="shared" si="96"/>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5"/>
        <v>2</v>
      </c>
      <c r="AA58" s="1480"/>
      <c r="AB58" s="1481">
        <f t="shared" si="96"/>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5"/>
        <v>2</v>
      </c>
      <c r="AA59" s="1480"/>
      <c r="AB59" s="1481">
        <f t="shared" si="96"/>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5"/>
        <v>2</v>
      </c>
      <c r="AA60" s="1480"/>
      <c r="AB60" s="1481">
        <f t="shared" si="96"/>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5"/>
        <v>2</v>
      </c>
      <c r="AA61" s="1480"/>
      <c r="AB61" s="1481">
        <f t="shared" si="96"/>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5"/>
        <v>2</v>
      </c>
      <c r="AA62" s="1480"/>
      <c r="AB62" s="1481">
        <f t="shared" si="96"/>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5"/>
        <v>2</v>
      </c>
      <c r="AA63" s="1480"/>
      <c r="AB63" s="1481">
        <f t="shared" si="96"/>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5"/>
        <v>2</v>
      </c>
      <c r="AA64" s="1480"/>
      <c r="AB64" s="1481">
        <f t="shared" si="96"/>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5"/>
        <v>2</v>
      </c>
      <c r="AA65" s="1480"/>
      <c r="AB65" s="1481">
        <f t="shared" si="96"/>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104" t="s">
        <v>905</v>
      </c>
      <c r="AZ5" s="2105"/>
      <c r="BA5" s="389">
        <v>1757315</v>
      </c>
      <c r="BB5" s="271" t="s">
        <v>214</v>
      </c>
      <c r="BC5" s="1" t="s">
        <v>214</v>
      </c>
      <c r="BD5" s="382">
        <v>3.2000000000000001E-2</v>
      </c>
      <c r="BE5" s="382">
        <v>6.9000000000000006E-2</v>
      </c>
      <c r="BF5" s="382">
        <v>8.2000000000000003E-2</v>
      </c>
      <c r="BG5" s="382">
        <v>9.6000000000000002E-2</v>
      </c>
      <c r="BH5" s="383">
        <v>0.13300000000000001</v>
      </c>
      <c r="BK5" s="2104" t="s">
        <v>906</v>
      </c>
      <c r="BL5" s="2105"/>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107" t="s">
        <v>904</v>
      </c>
      <c r="AT10" s="2107"/>
      <c r="AY10" s="2106" t="s">
        <v>902</v>
      </c>
      <c r="AZ10" s="2106"/>
      <c r="BA10" s="2106"/>
      <c r="BB10" s="2106"/>
      <c r="BC10" s="2106"/>
      <c r="BF10" s="2106" t="s">
        <v>903</v>
      </c>
      <c r="BG10" s="2106"/>
      <c r="BH10" s="2106"/>
      <c r="BI10" s="2106"/>
      <c r="BJ10" s="2106"/>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6" t="s">
        <v>1828</v>
      </c>
      <c r="C2" s="2117"/>
      <c r="D2" s="2117"/>
      <c r="E2" s="2117"/>
      <c r="F2" s="2117"/>
      <c r="G2" s="2117"/>
      <c r="H2" s="2117"/>
      <c r="I2" s="2117"/>
      <c r="J2" s="2118"/>
      <c r="K2" s="1084"/>
      <c r="L2" s="1078"/>
      <c r="M2" s="2122" t="s">
        <v>1888</v>
      </c>
      <c r="N2" s="2123"/>
      <c r="O2" s="2124"/>
      <c r="P2" s="2125"/>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9"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20"/>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8"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21"/>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8"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21"/>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26"/>
      <c r="P9" s="2127"/>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14" t="s">
        <v>1846</v>
      </c>
      <c r="C14" s="1071" t="s">
        <v>1847</v>
      </c>
      <c r="D14" s="1072" t="s">
        <v>1848</v>
      </c>
      <c r="E14" s="1107"/>
      <c r="F14" s="1107"/>
      <c r="G14" s="1107"/>
      <c r="H14" s="1107"/>
      <c r="I14" s="1107"/>
      <c r="J14" s="1107"/>
      <c r="K14" s="1107"/>
      <c r="L14" s="1107"/>
      <c r="M14" s="1107"/>
      <c r="N14" s="1107"/>
      <c r="O14" s="1107"/>
      <c r="P14" s="1108"/>
      <c r="Q14" s="1107"/>
      <c r="R14" s="1107"/>
      <c r="S14" s="1107"/>
      <c r="T14" s="2114"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15"/>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15"/>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28" t="s">
        <v>1850</v>
      </c>
      <c r="C16" s="1110" t="s">
        <v>1851</v>
      </c>
      <c r="D16" s="1111" t="s">
        <v>131</v>
      </c>
      <c r="E16" s="1111" t="s">
        <v>1852</v>
      </c>
      <c r="F16" s="1078"/>
      <c r="G16" s="1078"/>
      <c r="H16" s="1078"/>
      <c r="I16" s="1078"/>
      <c r="J16" s="1078"/>
      <c r="K16" s="1078"/>
      <c r="L16" s="1078"/>
      <c r="M16" s="1078"/>
      <c r="N16" s="1078"/>
      <c r="O16" s="1078"/>
      <c r="P16" s="1079"/>
      <c r="Q16" s="1078"/>
      <c r="R16" s="1078"/>
      <c r="S16" s="1078"/>
      <c r="T16" s="2128"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10"/>
      <c r="C17" s="1112" t="s">
        <v>1853</v>
      </c>
      <c r="D17" s="1112" t="s">
        <v>1854</v>
      </c>
      <c r="E17" s="1113"/>
      <c r="F17" s="1078"/>
      <c r="G17" s="1078"/>
      <c r="H17" s="1078"/>
      <c r="I17" s="1078"/>
      <c r="J17" s="1078"/>
      <c r="K17" s="1078"/>
      <c r="L17" s="1078"/>
      <c r="M17" s="1078"/>
      <c r="N17" s="1078"/>
      <c r="O17" s="1078"/>
      <c r="P17" s="1079"/>
      <c r="Q17" s="1078"/>
      <c r="R17" s="1078"/>
      <c r="S17" s="1078"/>
      <c r="T17" s="2110"/>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10"/>
      <c r="C18" s="1114" t="s">
        <v>1853</v>
      </c>
      <c r="D18" s="1114" t="s">
        <v>1855</v>
      </c>
      <c r="E18" s="1115" t="s">
        <v>1856</v>
      </c>
      <c r="F18" s="1078"/>
      <c r="G18" s="1078"/>
      <c r="H18" s="1078"/>
      <c r="I18" s="1078"/>
      <c r="J18" s="1078"/>
      <c r="K18" s="1078"/>
      <c r="L18" s="1078"/>
      <c r="M18" s="1078"/>
      <c r="N18" s="1078"/>
      <c r="O18" s="1078"/>
      <c r="P18" s="1079"/>
      <c r="Q18" s="1078"/>
      <c r="R18" s="1078"/>
      <c r="S18" s="1078"/>
      <c r="T18" s="2110"/>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10"/>
      <c r="C19" s="1114" t="s">
        <v>1853</v>
      </c>
      <c r="D19" s="1114" t="s">
        <v>1857</v>
      </c>
      <c r="E19" s="1115" t="s">
        <v>1691</v>
      </c>
      <c r="F19" s="1078"/>
      <c r="G19" s="1078"/>
      <c r="H19" s="1078"/>
      <c r="I19" s="1078"/>
      <c r="J19" s="1078"/>
      <c r="K19" s="1078"/>
      <c r="L19" s="1078"/>
      <c r="M19" s="1078"/>
      <c r="N19" s="1078"/>
      <c r="O19" s="1078"/>
      <c r="P19" s="1079"/>
      <c r="Q19" s="1078"/>
      <c r="R19" s="1078"/>
      <c r="S19" s="1078"/>
      <c r="T19" s="2110"/>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11"/>
      <c r="C20" s="1116" t="s">
        <v>1853</v>
      </c>
      <c r="D20" s="1116" t="s">
        <v>1858</v>
      </c>
      <c r="E20" s="1117" t="s">
        <v>1859</v>
      </c>
      <c r="F20" s="1078"/>
      <c r="G20" s="1078"/>
      <c r="H20" s="1078"/>
      <c r="I20" s="1078"/>
      <c r="J20" s="1078"/>
      <c r="K20" s="1078"/>
      <c r="L20" s="1078"/>
      <c r="M20" s="1078"/>
      <c r="N20" s="1078"/>
      <c r="O20" s="1078"/>
      <c r="P20" s="1079"/>
      <c r="Q20" s="1078"/>
      <c r="R20" s="1078"/>
      <c r="S20" s="1078"/>
      <c r="T20" s="2111"/>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8"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8"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10"/>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10"/>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10"/>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10"/>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10"/>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10"/>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10"/>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10"/>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10"/>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10"/>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10"/>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10"/>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10"/>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10"/>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10"/>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10"/>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10"/>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10"/>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11"/>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11"/>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8"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8"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13"/>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13"/>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10"/>
      <c r="C38" s="1141" t="s">
        <v>1876</v>
      </c>
      <c r="D38" s="1142" t="s">
        <v>126</v>
      </c>
      <c r="E38" s="1143" t="s">
        <v>128</v>
      </c>
      <c r="F38" s="1144" t="s">
        <v>1099</v>
      </c>
      <c r="G38" s="1107"/>
      <c r="H38" s="1107"/>
      <c r="I38" s="1107"/>
      <c r="J38" s="1107"/>
      <c r="K38" s="1107"/>
      <c r="L38" s="1107"/>
      <c r="M38" s="1107"/>
      <c r="N38" s="1107"/>
      <c r="O38" s="1107"/>
      <c r="P38" s="1107"/>
      <c r="Q38" s="1108"/>
      <c r="R38" s="1078"/>
      <c r="S38" s="1078"/>
      <c r="T38" s="2110"/>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10"/>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10"/>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11"/>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11"/>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8"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8"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13"/>
      <c r="C42" s="1112" t="s">
        <v>1853</v>
      </c>
      <c r="D42" s="1112" t="s">
        <v>1854</v>
      </c>
      <c r="E42" s="1113"/>
      <c r="F42" s="1078"/>
      <c r="G42" s="1078"/>
      <c r="H42" s="1078"/>
      <c r="I42" s="1078"/>
      <c r="J42" s="1078"/>
      <c r="K42" s="1078"/>
      <c r="L42" s="1078"/>
      <c r="M42" s="1078"/>
      <c r="N42" s="1078"/>
      <c r="O42" s="1078"/>
      <c r="P42" s="1078"/>
      <c r="Q42" s="1079"/>
      <c r="R42" s="1078"/>
      <c r="S42" s="1078"/>
      <c r="T42" s="2113"/>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13"/>
      <c r="C43" s="1114" t="s">
        <v>1853</v>
      </c>
      <c r="D43" s="1114" t="s">
        <v>1855</v>
      </c>
      <c r="E43" s="1115" t="s">
        <v>1856</v>
      </c>
      <c r="F43" s="1078"/>
      <c r="G43" s="1078"/>
      <c r="H43" s="1078"/>
      <c r="I43" s="1078"/>
      <c r="J43" s="1078"/>
      <c r="K43" s="1078"/>
      <c r="L43" s="1078"/>
      <c r="M43" s="1078"/>
      <c r="N43" s="1078"/>
      <c r="O43" s="1078"/>
      <c r="P43" s="1078"/>
      <c r="Q43" s="1079"/>
      <c r="R43" s="1078"/>
      <c r="S43" s="1078"/>
      <c r="T43" s="2113"/>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13"/>
      <c r="C44" s="1114" t="s">
        <v>1853</v>
      </c>
      <c r="D44" s="1114" t="s">
        <v>1857</v>
      </c>
      <c r="E44" s="1115" t="s">
        <v>1691</v>
      </c>
      <c r="F44" s="1078"/>
      <c r="G44" s="1078"/>
      <c r="H44" s="1078"/>
      <c r="I44" s="1078"/>
      <c r="J44" s="1078"/>
      <c r="K44" s="1078"/>
      <c r="L44" s="1078"/>
      <c r="M44" s="1078"/>
      <c r="N44" s="1078"/>
      <c r="O44" s="1078"/>
      <c r="P44" s="1078"/>
      <c r="Q44" s="1079"/>
      <c r="R44" s="1078"/>
      <c r="S44" s="1078"/>
      <c r="T44" s="2113"/>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12"/>
      <c r="C45" s="1116" t="s">
        <v>1853</v>
      </c>
      <c r="D45" s="1116" t="s">
        <v>1858</v>
      </c>
      <c r="E45" s="1117" t="s">
        <v>1859</v>
      </c>
      <c r="F45" s="1078"/>
      <c r="G45" s="1078"/>
      <c r="H45" s="1078"/>
      <c r="I45" s="1078"/>
      <c r="J45" s="1078"/>
      <c r="K45" s="1078"/>
      <c r="L45" s="1078"/>
      <c r="M45" s="1078"/>
      <c r="N45" s="1078"/>
      <c r="O45" s="1078"/>
      <c r="P45" s="1078"/>
      <c r="Q45" s="1079"/>
      <c r="R45" s="1078"/>
      <c r="S45" s="1078"/>
      <c r="T45" s="2112"/>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8"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8"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10"/>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10"/>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10"/>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10"/>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10"/>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10"/>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10"/>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10"/>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10"/>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10"/>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10"/>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10"/>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10"/>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10"/>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10"/>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10"/>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10"/>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10"/>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11"/>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11"/>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8"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8"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13"/>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13"/>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10"/>
      <c r="C63" s="1141" t="s">
        <v>1876</v>
      </c>
      <c r="D63" s="1142" t="s">
        <v>126</v>
      </c>
      <c r="E63" s="1143" t="s">
        <v>128</v>
      </c>
      <c r="F63" s="1144" t="s">
        <v>1099</v>
      </c>
      <c r="G63" s="1107"/>
      <c r="H63" s="1107"/>
      <c r="I63" s="1107"/>
      <c r="J63" s="1107"/>
      <c r="K63" s="1107"/>
      <c r="L63" s="1107"/>
      <c r="M63" s="1107"/>
      <c r="N63" s="1107"/>
      <c r="O63" s="1107"/>
      <c r="P63" s="1107"/>
      <c r="Q63" s="1108"/>
      <c r="R63" s="1078"/>
      <c r="S63" s="1078"/>
      <c r="T63" s="2113"/>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10"/>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10"/>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10"/>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10"/>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10"/>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10"/>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10"/>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10"/>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10"/>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10"/>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11"/>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11"/>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8"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8"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13"/>
      <c r="C71" s="1112" t="s">
        <v>1853</v>
      </c>
      <c r="D71" s="1112" t="s">
        <v>1854</v>
      </c>
      <c r="E71" s="1113"/>
      <c r="F71" s="1078"/>
      <c r="G71" s="1078"/>
      <c r="H71" s="1078"/>
      <c r="I71" s="1078"/>
      <c r="J71" s="1078"/>
      <c r="K71" s="1078"/>
      <c r="L71" s="1078"/>
      <c r="M71" s="1078"/>
      <c r="N71" s="1078"/>
      <c r="O71" s="1078"/>
      <c r="P71" s="1078"/>
      <c r="Q71" s="1079"/>
      <c r="R71" s="1078"/>
      <c r="S71" s="1078"/>
      <c r="T71" s="2113"/>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13"/>
      <c r="C72" s="1114" t="s">
        <v>1853</v>
      </c>
      <c r="D72" s="1114" t="s">
        <v>1855</v>
      </c>
      <c r="E72" s="1115" t="s">
        <v>1856</v>
      </c>
      <c r="F72" s="1078"/>
      <c r="G72" s="1078"/>
      <c r="H72" s="1078"/>
      <c r="I72" s="1078"/>
      <c r="J72" s="1078"/>
      <c r="K72" s="1078"/>
      <c r="L72" s="1078"/>
      <c r="M72" s="1078"/>
      <c r="N72" s="1078"/>
      <c r="O72" s="1078"/>
      <c r="P72" s="1078"/>
      <c r="Q72" s="1079"/>
      <c r="R72" s="1078"/>
      <c r="S72" s="1078"/>
      <c r="T72" s="2113"/>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13"/>
      <c r="C73" s="1114" t="s">
        <v>1853</v>
      </c>
      <c r="D73" s="1114" t="s">
        <v>1857</v>
      </c>
      <c r="E73" s="1115" t="s">
        <v>1691</v>
      </c>
      <c r="F73" s="1078"/>
      <c r="G73" s="1078"/>
      <c r="H73" s="1078"/>
      <c r="I73" s="1078"/>
      <c r="J73" s="1078"/>
      <c r="K73" s="1078"/>
      <c r="L73" s="1078"/>
      <c r="M73" s="1078"/>
      <c r="N73" s="1078"/>
      <c r="O73" s="1078"/>
      <c r="P73" s="1078"/>
      <c r="Q73" s="1079"/>
      <c r="R73" s="1078"/>
      <c r="S73" s="1078"/>
      <c r="T73" s="2113"/>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12"/>
      <c r="C74" s="1116" t="s">
        <v>1853</v>
      </c>
      <c r="D74" s="1116" t="s">
        <v>1858</v>
      </c>
      <c r="E74" s="1117" t="s">
        <v>1859</v>
      </c>
      <c r="F74" s="1078"/>
      <c r="G74" s="1078"/>
      <c r="H74" s="1078"/>
      <c r="I74" s="1078"/>
      <c r="J74" s="1078"/>
      <c r="K74" s="1078"/>
      <c r="L74" s="1078"/>
      <c r="M74" s="1078"/>
      <c r="N74" s="1078"/>
      <c r="O74" s="1078"/>
      <c r="P74" s="1078"/>
      <c r="Q74" s="1079"/>
      <c r="R74" s="1078"/>
      <c r="S74" s="1078"/>
      <c r="T74" s="2112"/>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8"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8"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10"/>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10"/>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10"/>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10"/>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10"/>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10"/>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10"/>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10"/>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10"/>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10"/>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10"/>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10"/>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10"/>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10"/>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10"/>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10"/>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10"/>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10"/>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11"/>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11"/>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8"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8"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13"/>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13"/>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10"/>
      <c r="C92" s="1141" t="s">
        <v>1876</v>
      </c>
      <c r="D92" s="1142" t="s">
        <v>126</v>
      </c>
      <c r="E92" s="1143" t="s">
        <v>128</v>
      </c>
      <c r="F92" s="1144" t="s">
        <v>1099</v>
      </c>
      <c r="G92" s="1107"/>
      <c r="H92" s="1107"/>
      <c r="I92" s="1107"/>
      <c r="J92" s="1107"/>
      <c r="K92" s="1107"/>
      <c r="L92" s="1107"/>
      <c r="M92" s="1107"/>
      <c r="N92" s="1107"/>
      <c r="O92" s="1107"/>
      <c r="P92" s="1107"/>
      <c r="Q92" s="1108"/>
      <c r="R92" s="1078"/>
      <c r="S92" s="1078"/>
      <c r="T92" s="2113"/>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10"/>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10"/>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10"/>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10"/>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8"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8"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13"/>
      <c r="C96" s="1112" t="s">
        <v>1853</v>
      </c>
      <c r="D96" s="1112" t="s">
        <v>1854</v>
      </c>
      <c r="E96" s="1113"/>
      <c r="F96" s="1078"/>
      <c r="G96" s="1078"/>
      <c r="H96" s="1078"/>
      <c r="I96" s="1078"/>
      <c r="J96" s="1078"/>
      <c r="K96" s="1078"/>
      <c r="L96" s="1078"/>
      <c r="M96" s="1078"/>
      <c r="N96" s="1078"/>
      <c r="O96" s="1078"/>
      <c r="P96" s="1078"/>
      <c r="Q96" s="1079"/>
      <c r="R96" s="1078"/>
      <c r="S96" s="1078"/>
      <c r="T96" s="2113"/>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13"/>
      <c r="C97" s="1114" t="s">
        <v>1853</v>
      </c>
      <c r="D97" s="1114" t="s">
        <v>1855</v>
      </c>
      <c r="E97" s="1115" t="s">
        <v>1856</v>
      </c>
      <c r="F97" s="1078"/>
      <c r="G97" s="1078"/>
      <c r="H97" s="1078"/>
      <c r="I97" s="1078"/>
      <c r="J97" s="1078"/>
      <c r="K97" s="1078"/>
      <c r="L97" s="1078"/>
      <c r="M97" s="1078"/>
      <c r="N97" s="1078"/>
      <c r="O97" s="1078"/>
      <c r="P97" s="1078"/>
      <c r="Q97" s="1079"/>
      <c r="R97" s="1078"/>
      <c r="S97" s="1078"/>
      <c r="T97" s="2113"/>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13"/>
      <c r="C98" s="1114" t="s">
        <v>1853</v>
      </c>
      <c r="D98" s="1114" t="s">
        <v>1857</v>
      </c>
      <c r="E98" s="1115" t="s">
        <v>1691</v>
      </c>
      <c r="F98" s="1078"/>
      <c r="G98" s="1078"/>
      <c r="H98" s="1078"/>
      <c r="I98" s="1078"/>
      <c r="J98" s="1078"/>
      <c r="K98" s="1078"/>
      <c r="L98" s="1078"/>
      <c r="M98" s="1078"/>
      <c r="N98" s="1078"/>
      <c r="O98" s="1078"/>
      <c r="P98" s="1078"/>
      <c r="Q98" s="1079"/>
      <c r="R98" s="1078"/>
      <c r="S98" s="1078"/>
      <c r="T98" s="2113"/>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12"/>
      <c r="C99" s="1116" t="s">
        <v>1853</v>
      </c>
      <c r="D99" s="1116" t="s">
        <v>1858</v>
      </c>
      <c r="E99" s="1117" t="s">
        <v>1859</v>
      </c>
      <c r="F99" s="1078"/>
      <c r="G99" s="1078"/>
      <c r="H99" s="1078"/>
      <c r="I99" s="1078"/>
      <c r="J99" s="1078"/>
      <c r="K99" s="1078"/>
      <c r="L99" s="1078"/>
      <c r="M99" s="1078"/>
      <c r="N99" s="1078"/>
      <c r="O99" s="1078"/>
      <c r="P99" s="1078"/>
      <c r="Q99" s="1079"/>
      <c r="R99" s="1078"/>
      <c r="S99" s="1078"/>
      <c r="T99" s="2112"/>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8"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8"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10"/>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10"/>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10"/>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10"/>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10"/>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10"/>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10"/>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10"/>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10"/>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10"/>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10"/>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10"/>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10"/>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10"/>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10"/>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10"/>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10"/>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10"/>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11"/>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11"/>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8"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8"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13"/>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13"/>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10"/>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13"/>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10"/>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10"/>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10"/>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10"/>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10"/>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10"/>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10"/>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10"/>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10"/>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10"/>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11"/>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11"/>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8"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8"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13"/>
      <c r="C125" s="1112" t="s">
        <v>1853</v>
      </c>
      <c r="D125" s="1112" t="s">
        <v>1854</v>
      </c>
      <c r="E125" s="1113"/>
      <c r="F125" s="1078"/>
      <c r="G125" s="1078"/>
      <c r="H125" s="1078"/>
      <c r="I125" s="1078"/>
      <c r="J125" s="1078"/>
      <c r="K125" s="1078"/>
      <c r="L125" s="1078"/>
      <c r="M125" s="1078"/>
      <c r="N125" s="1078"/>
      <c r="O125" s="1078"/>
      <c r="P125" s="1078"/>
      <c r="Q125" s="1079"/>
      <c r="R125" s="1078"/>
      <c r="S125" s="1078"/>
      <c r="T125" s="2113"/>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13"/>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13"/>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13"/>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13"/>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12"/>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12"/>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8"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8"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10"/>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10"/>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10"/>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10"/>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10"/>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10"/>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10"/>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10"/>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10"/>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10"/>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10"/>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10"/>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10"/>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10"/>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10"/>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10"/>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10"/>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10"/>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11"/>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11"/>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14"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14"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15"/>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15"/>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28"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28"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10"/>
      <c r="C147" s="1112" t="s">
        <v>1853</v>
      </c>
      <c r="D147" s="1112" t="s">
        <v>1854</v>
      </c>
      <c r="E147" s="1113"/>
      <c r="F147" s="1078"/>
      <c r="G147" s="1078"/>
      <c r="H147" s="1078"/>
      <c r="I147" s="1078"/>
      <c r="J147" s="1078"/>
      <c r="K147" s="1078"/>
      <c r="L147" s="1078"/>
      <c r="M147" s="1078"/>
      <c r="N147" s="1078"/>
      <c r="O147" s="1078"/>
      <c r="P147" s="1079"/>
      <c r="Q147" s="1078"/>
      <c r="R147" s="1078"/>
      <c r="S147" s="1078"/>
      <c r="T147" s="2110"/>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10"/>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10"/>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10"/>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10"/>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11"/>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11"/>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8"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8"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10"/>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10"/>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10"/>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10"/>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10"/>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10"/>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10"/>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10"/>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10"/>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10"/>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10"/>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10"/>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10"/>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10"/>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10"/>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10"/>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10"/>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10"/>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11"/>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11"/>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8"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8"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13"/>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13"/>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10"/>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13"/>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10"/>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13"/>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11"/>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12"/>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8"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8"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13"/>
      <c r="C172" s="1112" t="s">
        <v>1853</v>
      </c>
      <c r="D172" s="1112" t="s">
        <v>1854</v>
      </c>
      <c r="E172" s="1113"/>
      <c r="F172" s="1078"/>
      <c r="G172" s="1078"/>
      <c r="H172" s="1078"/>
      <c r="I172" s="1078"/>
      <c r="J172" s="1078"/>
      <c r="K172" s="1078"/>
      <c r="L172" s="1078"/>
      <c r="M172" s="1078"/>
      <c r="N172" s="1078"/>
      <c r="O172" s="1078"/>
      <c r="P172" s="1078"/>
      <c r="Q172" s="1079"/>
      <c r="R172" s="1078"/>
      <c r="S172" s="1078"/>
      <c r="T172" s="2113"/>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13"/>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13"/>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13"/>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13"/>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12"/>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12"/>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8"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8"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10"/>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10"/>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10"/>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10"/>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10"/>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10"/>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10"/>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10"/>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10"/>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10"/>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10"/>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10"/>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10"/>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10"/>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10"/>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10"/>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10"/>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10"/>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11"/>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11"/>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8"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8"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13"/>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13"/>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10"/>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13"/>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10"/>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10"/>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10"/>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10"/>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10"/>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10"/>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10"/>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10"/>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10"/>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10"/>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11"/>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11"/>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8"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8"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13"/>
      <c r="C201" s="1112" t="s">
        <v>1853</v>
      </c>
      <c r="D201" s="1112" t="s">
        <v>1854</v>
      </c>
      <c r="E201" s="1113"/>
      <c r="F201" s="1078"/>
      <c r="G201" s="1078"/>
      <c r="H201" s="1078"/>
      <c r="I201" s="1078"/>
      <c r="J201" s="1078"/>
      <c r="K201" s="1078"/>
      <c r="L201" s="1078"/>
      <c r="M201" s="1078"/>
      <c r="N201" s="1078"/>
      <c r="O201" s="1078"/>
      <c r="P201" s="1078"/>
      <c r="Q201" s="1079"/>
      <c r="R201" s="1078"/>
      <c r="S201" s="1078"/>
      <c r="T201" s="2113"/>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13"/>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13"/>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13"/>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13"/>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12"/>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12"/>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8"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8"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10"/>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10"/>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10"/>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10"/>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10"/>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10"/>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10"/>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10"/>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10"/>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10"/>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10"/>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10"/>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10"/>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10"/>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10"/>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10"/>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10"/>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10"/>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11"/>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11"/>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8"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8"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8"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8"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8"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13"/>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13"/>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13"/>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13"/>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13"/>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10"/>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13"/>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13"/>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13"/>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13"/>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10"/>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13"/>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13"/>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13"/>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13"/>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11"/>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12"/>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12"/>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12"/>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12"/>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8"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8"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8"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8"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8"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13"/>
      <c r="C226" s="1112" t="s">
        <v>1853</v>
      </c>
      <c r="D226" s="1112" t="s">
        <v>1854</v>
      </c>
      <c r="E226" s="1113"/>
      <c r="F226" s="1078"/>
      <c r="G226" s="1078"/>
      <c r="H226" s="1078"/>
      <c r="I226" s="1078"/>
      <c r="J226" s="1078"/>
      <c r="K226" s="1078"/>
      <c r="L226" s="1078"/>
      <c r="M226" s="1078"/>
      <c r="N226" s="1078"/>
      <c r="O226" s="1078"/>
      <c r="P226" s="1078"/>
      <c r="Q226" s="1079"/>
      <c r="R226" s="1078"/>
      <c r="S226" s="1078"/>
      <c r="T226" s="2113"/>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13"/>
      <c r="AM226" s="1112" t="s">
        <v>1853</v>
      </c>
      <c r="AN226" s="1112" t="s">
        <v>1854</v>
      </c>
      <c r="AO226" s="1113"/>
      <c r="AP226" s="1078"/>
      <c r="AQ226" s="1078"/>
      <c r="AR226" s="1078"/>
      <c r="AS226" s="1078"/>
      <c r="AT226" s="1078"/>
      <c r="AU226" s="1078"/>
      <c r="AV226" s="1078"/>
      <c r="AW226" s="1078"/>
      <c r="AX226" s="1078"/>
      <c r="AY226" s="1078"/>
      <c r="AZ226" s="1078"/>
      <c r="BA226" s="1079"/>
      <c r="BB226" s="1078"/>
      <c r="BC226" s="2113"/>
      <c r="BD226" s="1112" t="s">
        <v>1853</v>
      </c>
      <c r="BE226" s="1112" t="s">
        <v>1854</v>
      </c>
      <c r="BF226" s="1113"/>
      <c r="BG226" s="1078"/>
      <c r="BH226" s="1078"/>
      <c r="BI226" s="1078"/>
      <c r="BJ226" s="1078"/>
      <c r="BK226" s="1078"/>
      <c r="BL226" s="1078"/>
      <c r="BM226" s="1078"/>
      <c r="BN226" s="1078"/>
      <c r="BO226" s="1078"/>
      <c r="BP226" s="1078"/>
      <c r="BQ226" s="1078"/>
      <c r="BR226" s="1079"/>
      <c r="BS226" s="1078"/>
      <c r="BT226" s="2113"/>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13"/>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13"/>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13"/>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13"/>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13"/>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13"/>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13"/>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13"/>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13"/>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13"/>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12"/>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12"/>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12"/>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12"/>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12"/>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8"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8"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8"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8"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8"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10"/>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10"/>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10"/>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10"/>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10"/>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10"/>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10"/>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10"/>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10"/>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10"/>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10"/>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10"/>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10"/>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10"/>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10"/>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10"/>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10"/>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10"/>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10"/>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10"/>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10"/>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10"/>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10"/>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10"/>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10"/>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10"/>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10"/>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10"/>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10"/>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10"/>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10"/>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10"/>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10"/>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10"/>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10"/>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10"/>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10"/>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10"/>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10"/>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10"/>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10"/>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10"/>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10"/>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10"/>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10"/>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11"/>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11"/>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11"/>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11"/>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11"/>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8"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13"/>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10"/>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10"/>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11"/>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8"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13"/>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13"/>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13"/>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13"/>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13"/>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12"/>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8"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10"/>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10"/>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10"/>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10"/>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10"/>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10"/>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10"/>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10"/>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10"/>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11"/>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8"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8"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13"/>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13"/>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8"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8"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10"/>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10"/>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10"/>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10"/>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10"/>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10"/>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10"/>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10"/>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10"/>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10"/>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10"/>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10"/>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10"/>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10"/>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10"/>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10"/>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10"/>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10"/>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11"/>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11"/>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8"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13"/>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8"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10"/>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10"/>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10"/>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10"/>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10"/>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10"/>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10"/>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10"/>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10"/>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11"/>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14"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15"/>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8"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10"/>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10"/>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10"/>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10"/>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10"/>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10"/>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10"/>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10"/>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10"/>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11"/>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8"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12"/>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8"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10"/>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10"/>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10"/>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10"/>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10"/>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10"/>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10"/>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10"/>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10"/>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11"/>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8"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12"/>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8"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12"/>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8"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10"/>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10"/>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10"/>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10"/>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10"/>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10"/>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10"/>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10"/>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10"/>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11"/>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8"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12"/>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8"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8"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12"/>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12"/>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8"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8"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10"/>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10"/>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10"/>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10"/>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10"/>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10"/>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10"/>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10"/>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10"/>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10"/>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10"/>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10"/>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10"/>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10"/>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10"/>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10"/>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10"/>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10"/>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11"/>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11"/>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8"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8"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9"/>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9"/>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9"/>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9"/>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9"/>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9"/>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9"/>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9"/>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10"/>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10"/>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8"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8"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10"/>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10"/>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10"/>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10"/>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10"/>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10"/>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10"/>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10"/>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10"/>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10"/>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10"/>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10"/>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10"/>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10"/>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10"/>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10"/>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10"/>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10"/>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11"/>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11"/>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8"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8"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9"/>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9"/>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9"/>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9"/>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9"/>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9"/>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9"/>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9"/>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10"/>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10"/>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8"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8"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10"/>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10"/>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10"/>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10"/>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10"/>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10"/>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10"/>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10"/>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10"/>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10"/>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10"/>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10"/>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10"/>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10"/>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10"/>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10"/>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10"/>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10"/>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11"/>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11"/>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17" t="s">
        <v>715</v>
      </c>
      <c r="C2" s="2218"/>
      <c r="D2" s="2218"/>
      <c r="E2" s="2218"/>
      <c r="F2" s="2218"/>
      <c r="G2" s="2218"/>
      <c r="H2" s="2218"/>
      <c r="I2" s="2218"/>
      <c r="J2" s="2218"/>
      <c r="K2" s="2218"/>
      <c r="L2" s="2218"/>
      <c r="M2" s="2218"/>
      <c r="N2" s="2218"/>
      <c r="O2" s="2218"/>
      <c r="P2" s="2218"/>
      <c r="Q2" s="2218"/>
      <c r="R2" s="2218"/>
      <c r="S2" s="2218"/>
      <c r="T2" s="2218"/>
      <c r="U2" s="2218"/>
      <c r="V2" s="2218"/>
      <c r="W2" s="2218"/>
      <c r="X2" s="2218"/>
      <c r="Y2" s="2218"/>
      <c r="Z2" s="2218"/>
      <c r="AA2" s="2218"/>
      <c r="AB2" s="2218"/>
      <c r="AC2" s="2218"/>
      <c r="AD2" s="2218"/>
      <c r="AE2" s="2218"/>
      <c r="AF2" s="2218"/>
      <c r="AG2" s="2218"/>
      <c r="AH2" s="2218"/>
      <c r="AI2" s="2218"/>
      <c r="AJ2" s="2218"/>
      <c r="AK2" s="2218"/>
      <c r="AL2" s="2218"/>
      <c r="AM2" s="2218"/>
      <c r="AN2" s="2218"/>
      <c r="AO2" s="2218"/>
      <c r="AP2" s="2218"/>
      <c r="AQ2" s="2218"/>
      <c r="AR2" s="2218"/>
      <c r="AS2" s="2218"/>
      <c r="AT2" s="2218"/>
      <c r="AU2" s="2218"/>
      <c r="AV2" s="2218"/>
      <c r="AW2" s="2218"/>
      <c r="AX2" s="2218"/>
      <c r="AY2" s="2218"/>
      <c r="AZ2" s="2218"/>
      <c r="BA2" s="2218"/>
      <c r="BB2" s="2218"/>
      <c r="BC2" s="2218"/>
      <c r="BD2" s="2218"/>
      <c r="BE2" s="2218"/>
      <c r="BF2" s="2219"/>
    </row>
    <row r="3" spans="2:68" x14ac:dyDescent="0.25">
      <c r="B3" s="2220"/>
      <c r="C3" s="2184"/>
      <c r="D3" s="2184"/>
      <c r="E3" s="2184"/>
      <c r="F3" s="2184"/>
      <c r="G3" s="2184"/>
      <c r="H3" s="2184"/>
      <c r="I3" s="2184"/>
      <c r="J3" s="2184"/>
      <c r="K3" s="2184"/>
      <c r="L3" s="2184"/>
      <c r="M3" s="2184"/>
      <c r="N3" s="2184"/>
      <c r="O3" s="2184"/>
      <c r="P3" s="2184"/>
      <c r="Q3" s="2184"/>
      <c r="R3" s="2184"/>
      <c r="S3" s="2184"/>
      <c r="T3" s="2184"/>
      <c r="U3" s="2184"/>
      <c r="V3" s="2184"/>
      <c r="W3" s="2184"/>
      <c r="X3" s="2184"/>
      <c r="Y3" s="2184"/>
      <c r="Z3" s="2184"/>
      <c r="AA3" s="2184"/>
      <c r="AB3" s="2184"/>
      <c r="AC3" s="2184"/>
      <c r="AD3" s="2184"/>
      <c r="AE3" s="2184"/>
      <c r="AF3" s="2184"/>
      <c r="AG3" s="2184"/>
      <c r="AH3" s="2184"/>
      <c r="AI3" s="2184"/>
      <c r="AJ3" s="2184"/>
      <c r="AK3" s="2184"/>
      <c r="AL3" s="2184"/>
      <c r="AM3" s="2184"/>
      <c r="AN3" s="2184"/>
      <c r="AO3" s="2184"/>
      <c r="AP3" s="2184"/>
      <c r="AQ3" s="2184"/>
      <c r="AR3" s="2184"/>
      <c r="AS3" s="2184"/>
      <c r="AT3" s="2184"/>
      <c r="AU3" s="2184"/>
      <c r="AV3" s="2184"/>
      <c r="AW3" s="2184"/>
      <c r="AX3" s="2184"/>
      <c r="AY3" s="2184"/>
      <c r="AZ3" s="2184"/>
      <c r="BA3" s="2184"/>
      <c r="BB3" s="2184"/>
      <c r="BC3" s="2184"/>
      <c r="BD3" s="2184"/>
      <c r="BE3" s="2184"/>
      <c r="BF3" s="22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201" t="s">
        <v>644</v>
      </c>
      <c r="C8" s="2202"/>
      <c r="D8" s="2202"/>
      <c r="E8" s="2202"/>
      <c r="F8" s="2202"/>
      <c r="G8" s="2202"/>
      <c r="H8" s="2202"/>
      <c r="I8" s="2202"/>
      <c r="J8" s="2202"/>
      <c r="K8" s="2202"/>
      <c r="L8" s="2202"/>
      <c r="M8" s="2202"/>
      <c r="N8" s="2202"/>
      <c r="O8" s="2202"/>
      <c r="P8" s="2202"/>
      <c r="Q8" s="2202"/>
      <c r="R8" s="2202"/>
      <c r="S8" s="2202"/>
      <c r="T8" s="2202"/>
      <c r="U8" s="2202"/>
      <c r="V8" s="2202"/>
      <c r="W8" s="2202"/>
      <c r="X8" s="2202"/>
      <c r="Y8" s="2202"/>
      <c r="Z8" s="2202"/>
      <c r="AA8" s="2202"/>
      <c r="AB8" s="2202"/>
      <c r="AC8" s="2202"/>
      <c r="AD8" s="2202"/>
      <c r="AE8" s="2202"/>
      <c r="AF8" s="2202"/>
      <c r="AG8" s="2202"/>
      <c r="AH8" s="2202"/>
      <c r="AI8" s="2202"/>
      <c r="AJ8" s="2202"/>
      <c r="AK8" s="2202"/>
      <c r="AL8" s="2202"/>
      <c r="AM8" s="2202"/>
      <c r="AN8" s="2202"/>
      <c r="AO8" s="2202"/>
      <c r="AP8" s="2202"/>
      <c r="AQ8" s="2202"/>
      <c r="AR8" s="2202"/>
      <c r="AS8" s="2202"/>
      <c r="AT8" s="2202"/>
      <c r="AU8" s="2202"/>
      <c r="AV8" s="2202"/>
      <c r="AW8" s="2202"/>
      <c r="AX8" s="2202"/>
      <c r="AY8" s="2202"/>
      <c r="AZ8" s="2202"/>
      <c r="BA8" s="2202"/>
      <c r="BB8" s="2202"/>
      <c r="BC8" s="2202"/>
      <c r="BD8" s="2202"/>
      <c r="BE8" s="2202"/>
      <c r="BF8" s="2203"/>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97" t="s">
        <v>836</v>
      </c>
      <c r="C10" s="2102"/>
      <c r="D10" s="2102"/>
      <c r="E10" s="2102"/>
      <c r="F10" s="2102"/>
      <c r="G10" s="2102"/>
      <c r="H10" s="2102"/>
      <c r="I10" s="2102"/>
      <c r="J10" s="2102"/>
      <c r="K10" s="2193">
        <f>'Tracking &amp; Profitability'!$H$5</f>
        <v>0</v>
      </c>
      <c r="L10" s="2193"/>
      <c r="M10" s="2193"/>
      <c r="N10" s="2193"/>
      <c r="O10" s="2193"/>
      <c r="P10" s="2193"/>
      <c r="Q10" s="2193"/>
      <c r="R10" s="2193"/>
      <c r="S10" s="2193"/>
      <c r="T10" s="2193"/>
      <c r="U10" s="2193"/>
      <c r="V10" s="2193"/>
      <c r="W10" s="2193"/>
      <c r="X10" s="2193"/>
      <c r="Y10" s="2193"/>
      <c r="Z10" s="2193"/>
      <c r="AA10" s="2193"/>
      <c r="AB10" s="2193"/>
      <c r="AC10" s="2193"/>
      <c r="AD10" s="2193"/>
      <c r="AE10" s="2193"/>
      <c r="AI10" s="2102" t="s">
        <v>714</v>
      </c>
      <c r="AJ10" s="2102"/>
      <c r="AK10" s="2102"/>
      <c r="AL10" s="2102"/>
      <c r="AM10" s="2102"/>
      <c r="AN10" s="2102"/>
      <c r="AO10" s="2102"/>
      <c r="AP10" s="2102"/>
      <c r="AQ10" s="2102"/>
      <c r="AR10" s="2102"/>
      <c r="AT10" s="2212"/>
      <c r="AU10" s="2212"/>
      <c r="AV10" s="2212"/>
      <c r="AW10" s="2212"/>
      <c r="AX10" s="2212"/>
      <c r="AY10" s="2212"/>
      <c r="AZ10" s="2212"/>
      <c r="BA10" s="2212"/>
      <c r="BB10" s="2212"/>
      <c r="BC10" s="2212"/>
      <c r="BD10" s="2212"/>
      <c r="BF10" s="138"/>
    </row>
    <row r="11" spans="2:68" x14ac:dyDescent="0.25">
      <c r="B11" s="137"/>
      <c r="AL11" s="2"/>
      <c r="AM11" s="2"/>
      <c r="AN11" s="2"/>
      <c r="AO11" s="2"/>
      <c r="AP11" s="2"/>
      <c r="AQ11" s="2"/>
      <c r="AR11" s="2"/>
      <c r="AS11" s="2"/>
      <c r="AT11" s="2"/>
      <c r="AU11" s="2"/>
      <c r="AV11" s="2"/>
      <c r="BF11" s="138"/>
    </row>
    <row r="12" spans="2:68" x14ac:dyDescent="0.25">
      <c r="B12" s="2196" t="s">
        <v>837</v>
      </c>
      <c r="C12" s="2188"/>
      <c r="D12" s="2188"/>
      <c r="E12" s="2188"/>
      <c r="F12" s="2188"/>
      <c r="G12" s="2188"/>
      <c r="H12" s="2188"/>
      <c r="I12" s="2188"/>
      <c r="J12" s="2188"/>
      <c r="K12" s="2167">
        <f>'Required Info to Submit'!$F$4</f>
        <v>0</v>
      </c>
      <c r="L12" s="2167"/>
      <c r="M12" s="2167"/>
      <c r="N12" s="2167"/>
      <c r="O12" s="2167"/>
      <c r="P12" s="2167"/>
      <c r="Q12" s="2167"/>
      <c r="R12" s="2167"/>
      <c r="S12" s="2167"/>
      <c r="T12" s="2167"/>
      <c r="U12" s="2167"/>
      <c r="V12" s="2167"/>
      <c r="W12" s="2167"/>
      <c r="X12" s="2167"/>
      <c r="Y12" s="2167"/>
      <c r="Z12" s="2167"/>
      <c r="AA12" s="2167"/>
      <c r="AB12" s="2167"/>
      <c r="AC12" s="2167"/>
      <c r="AD12" s="2167"/>
      <c r="AE12" s="216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96" t="s">
        <v>1165</v>
      </c>
      <c r="C14" s="2188"/>
      <c r="D14" s="2188"/>
      <c r="E14" s="2188"/>
      <c r="F14" s="2188"/>
      <c r="G14" s="2188"/>
      <c r="H14" s="2188"/>
      <c r="I14" s="2188"/>
      <c r="J14" s="2188"/>
      <c r="K14" s="2188"/>
      <c r="L14" s="2188"/>
      <c r="M14" s="2188"/>
      <c r="N14" s="2188"/>
      <c r="O14" s="2188"/>
      <c r="P14" s="2188"/>
      <c r="Q14" s="2188"/>
      <c r="R14" s="2207">
        <f>'Required Info to Submit'!$F$8</f>
        <v>0</v>
      </c>
      <c r="S14" s="2207"/>
      <c r="T14" s="2207"/>
      <c r="U14" s="2207"/>
      <c r="V14" s="2207"/>
      <c r="W14" s="2207"/>
      <c r="X14" s="2207"/>
      <c r="Y14" s="2207"/>
      <c r="Z14" s="2207"/>
      <c r="AA14" s="2207"/>
      <c r="AB14" s="2207"/>
      <c r="AC14" s="2207"/>
      <c r="AD14" s="2207"/>
      <c r="AE14" s="2207"/>
      <c r="AF14" s="2207"/>
      <c r="AG14" s="2207"/>
      <c r="AH14" s="2207"/>
      <c r="AI14" s="2207"/>
      <c r="AJ14" s="2207"/>
      <c r="AK14" s="2207"/>
      <c r="AL14" s="2207"/>
      <c r="AM14" s="2207"/>
      <c r="AN14" s="2207"/>
      <c r="AO14" s="2207"/>
      <c r="AP14" s="2207"/>
      <c r="AQ14" s="2207"/>
      <c r="AR14" s="2207"/>
      <c r="AS14" s="2207"/>
      <c r="AT14" s="2207"/>
      <c r="AU14" s="2207"/>
      <c r="AV14" s="2207"/>
      <c r="AW14" s="2207"/>
      <c r="AX14" s="2207"/>
      <c r="AY14" s="2207"/>
      <c r="AZ14" s="2207"/>
      <c r="BA14" s="2207"/>
      <c r="BB14" s="2207"/>
      <c r="BC14" s="2207"/>
      <c r="BD14" s="2207"/>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96" t="s">
        <v>713</v>
      </c>
      <c r="C16" s="2188"/>
      <c r="D16" s="2188"/>
      <c r="E16" s="2188"/>
      <c r="F16" s="2188"/>
      <c r="G16" s="2188"/>
      <c r="H16" s="2188"/>
      <c r="I16" s="2188"/>
      <c r="J16" s="2188"/>
      <c r="K16" s="2188"/>
      <c r="L16" s="2188"/>
      <c r="M16" s="2188"/>
      <c r="N16" s="2188"/>
      <c r="O16" s="2188"/>
      <c r="P16" s="2188"/>
      <c r="Q16" s="2188"/>
      <c r="R16" s="2167" t="s">
        <v>239</v>
      </c>
      <c r="S16" s="2167"/>
      <c r="T16" s="2184" t="s">
        <v>645</v>
      </c>
      <c r="U16" s="2184"/>
      <c r="V16" s="2184"/>
      <c r="W16" s="2184"/>
      <c r="X16" s="2184"/>
      <c r="Y16" s="2184"/>
      <c r="Z16" s="2184"/>
      <c r="AA16" s="2184"/>
      <c r="AB16" s="2184"/>
      <c r="AC16" s="2184"/>
      <c r="AD16" s="2184"/>
      <c r="AE16" s="2184"/>
      <c r="AF16" s="2184"/>
      <c r="AG16" s="2184"/>
      <c r="AH16" s="2184"/>
      <c r="AI16" s="2184"/>
      <c r="AJ16" s="2184"/>
      <c r="AK16" s="2184"/>
      <c r="AL16" s="2184"/>
      <c r="AO16" s="2184"/>
      <c r="AP16" s="2184"/>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9" t="s">
        <v>2234</v>
      </c>
      <c r="C18" s="2210"/>
      <c r="D18" s="2210"/>
      <c r="E18" s="2210"/>
      <c r="F18" s="2210"/>
      <c r="G18" s="2210"/>
      <c r="H18" s="2210"/>
      <c r="I18" s="2210"/>
      <c r="J18" s="2210"/>
      <c r="K18" s="2210"/>
      <c r="L18" s="2210"/>
      <c r="M18" s="2210"/>
      <c r="N18" s="2210"/>
      <c r="O18" s="2210"/>
      <c r="P18" s="2210"/>
      <c r="Q18" s="2210"/>
      <c r="R18" s="2193">
        <f>'Required Info to Submit'!$F$5</f>
        <v>0</v>
      </c>
      <c r="S18" s="2193"/>
      <c r="T18" s="2193"/>
      <c r="U18" s="2193"/>
      <c r="V18" s="2193"/>
      <c r="W18" s="2193"/>
      <c r="X18" s="2193"/>
      <c r="Y18" s="2193"/>
      <c r="Z18" s="2193"/>
      <c r="AA18" s="2193"/>
      <c r="AB18" s="2193"/>
      <c r="AC18" s="2193"/>
      <c r="AD18" s="2193"/>
      <c r="AE18" s="2193"/>
      <c r="AF18" s="2193"/>
      <c r="AG18" s="2193"/>
      <c r="AH18" s="2193"/>
      <c r="AI18" s="2193"/>
      <c r="AJ18" s="2193"/>
      <c r="AK18" s="2193"/>
      <c r="AL18" s="2193"/>
      <c r="AN18" s="2188" t="s">
        <v>2235</v>
      </c>
      <c r="AO18" s="2188"/>
      <c r="AP18" s="2188"/>
      <c r="AQ18" s="2188"/>
      <c r="AR18" s="2188"/>
      <c r="AS18" s="2188"/>
      <c r="AT18" s="2188"/>
      <c r="AU18" s="2188"/>
      <c r="AV18" s="2193">
        <f>'Required Info to Submit'!F6</f>
        <v>0</v>
      </c>
      <c r="AW18" s="2193"/>
      <c r="AX18" s="2193"/>
      <c r="AY18" s="2193"/>
      <c r="AZ18" s="2193"/>
      <c r="BA18" s="2193"/>
      <c r="BB18" s="2193"/>
      <c r="BC18" s="2193"/>
      <c r="BD18" s="2193"/>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96"/>
      <c r="C20" s="2188"/>
      <c r="D20" s="2188"/>
      <c r="E20" s="2188"/>
      <c r="F20" s="2188"/>
      <c r="G20" s="2188"/>
      <c r="H20" s="2188"/>
      <c r="I20" s="2188"/>
      <c r="J20" s="2188"/>
      <c r="K20" s="2188"/>
      <c r="L20" s="2188"/>
      <c r="M20" s="2188"/>
      <c r="N20" s="2188"/>
      <c r="O20" s="2188"/>
      <c r="P20" s="2188"/>
      <c r="Q20" s="2188"/>
      <c r="R20" s="2208"/>
      <c r="S20" s="2208"/>
      <c r="T20" s="2208"/>
      <c r="U20" s="2208"/>
      <c r="V20" s="2208"/>
      <c r="W20" s="2208"/>
      <c r="X20" s="2208"/>
      <c r="Y20" s="2208"/>
      <c r="Z20" s="2208"/>
      <c r="AA20" s="2208"/>
      <c r="AB20" s="2208"/>
      <c r="AC20" s="2208"/>
      <c r="AD20" s="2208"/>
      <c r="AE20" s="2208"/>
      <c r="AF20" s="2208"/>
      <c r="AG20" s="2208"/>
      <c r="AH20" s="2208"/>
      <c r="AI20" s="2208"/>
      <c r="AJ20" s="2208"/>
      <c r="AK20" s="2208"/>
      <c r="AL20" s="2208"/>
      <c r="AM20" s="594"/>
      <c r="AN20" s="2222"/>
      <c r="AO20" s="2222"/>
      <c r="AP20" s="2222"/>
      <c r="AQ20" s="2222"/>
      <c r="AR20" s="2222"/>
      <c r="AS20" s="2222"/>
      <c r="AT20" s="2222"/>
      <c r="AU20" s="2222"/>
      <c r="AV20" s="2208"/>
      <c r="AW20" s="2208"/>
      <c r="AX20" s="2208"/>
      <c r="AY20" s="2208"/>
      <c r="AZ20" s="2208"/>
      <c r="BA20" s="2208"/>
      <c r="BB20" s="2208"/>
      <c r="BC20" s="2208"/>
      <c r="BD20" s="2208"/>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96"/>
      <c r="C22" s="2188"/>
      <c r="D22" s="2188"/>
      <c r="E22" s="2188"/>
      <c r="F22" s="2188"/>
      <c r="G22" s="2188"/>
      <c r="H22" s="2188"/>
      <c r="I22" s="2188"/>
      <c r="J22" s="2188"/>
      <c r="K22" s="2188"/>
      <c r="L22" s="2188"/>
      <c r="M22" s="2188"/>
      <c r="N22" s="2188"/>
      <c r="O22" s="2188"/>
      <c r="P22" s="2188"/>
      <c r="Q22" s="2188"/>
      <c r="R22" s="2208"/>
      <c r="S22" s="2208"/>
      <c r="T22" s="2208"/>
      <c r="U22" s="2208"/>
      <c r="V22" s="2208"/>
      <c r="W22" s="2208"/>
      <c r="X22" s="2208"/>
      <c r="Y22" s="2208"/>
      <c r="Z22" s="2208"/>
      <c r="AA22" s="2208"/>
      <c r="AB22" s="2208"/>
      <c r="AC22" s="2208"/>
      <c r="AD22" s="2208"/>
      <c r="AE22" s="2208"/>
      <c r="AF22" s="2208"/>
      <c r="AG22" s="2208"/>
      <c r="AH22" s="2208"/>
      <c r="AI22" s="2208"/>
      <c r="AJ22" s="2208"/>
      <c r="AK22" s="2208"/>
      <c r="AL22" s="2208"/>
      <c r="AM22" s="594"/>
      <c r="AN22" s="2222"/>
      <c r="AO22" s="2222"/>
      <c r="AP22" s="2222"/>
      <c r="AQ22" s="2222"/>
      <c r="AR22" s="2222"/>
      <c r="AS22" s="2222"/>
      <c r="AT22" s="2222"/>
      <c r="AU22" s="2222"/>
      <c r="AV22" s="2208"/>
      <c r="AW22" s="2208"/>
      <c r="AX22" s="2208"/>
      <c r="AY22" s="2208"/>
      <c r="AZ22" s="2208"/>
      <c r="BA22" s="2208"/>
      <c r="BB22" s="2208"/>
      <c r="BC22" s="2208"/>
      <c r="BD22" s="2208"/>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96" t="s">
        <v>834</v>
      </c>
      <c r="C24" s="2188"/>
      <c r="D24" s="2188"/>
      <c r="E24" s="2188"/>
      <c r="F24" s="2188"/>
      <c r="G24" s="2188"/>
      <c r="H24" s="2188"/>
      <c r="I24" s="2188"/>
      <c r="J24" s="2188"/>
      <c r="K24" s="2188"/>
      <c r="L24" s="2188"/>
      <c r="M24" s="2188"/>
      <c r="N24" s="2188"/>
      <c r="O24" s="2188"/>
      <c r="P24" s="2188"/>
      <c r="Q24" s="2188"/>
      <c r="R24" s="2205">
        <f>'Required Info to Submit'!$F$10</f>
        <v>0</v>
      </c>
      <c r="S24" s="2205"/>
      <c r="T24" s="2205"/>
      <c r="U24" s="2205"/>
      <c r="V24" s="2205"/>
      <c r="W24" s="2205"/>
      <c r="X24" s="2205"/>
      <c r="Y24" s="2205"/>
      <c r="Z24" s="2205"/>
      <c r="AA24" s="2205"/>
      <c r="AB24" s="2205"/>
      <c r="AC24" s="2205"/>
      <c r="AN24" s="2102" t="s">
        <v>838</v>
      </c>
      <c r="AO24" s="2102"/>
      <c r="AP24" s="2102"/>
      <c r="AQ24" s="2102"/>
      <c r="AR24" s="2102"/>
      <c r="AS24" s="2102"/>
      <c r="AT24" s="2102"/>
      <c r="AU24" s="2102"/>
      <c r="AV24" s="2211" t="str">
        <f>IF('Required Info to Submit'!$F$13&lt;&gt;"",'Required Info to Submit'!$F$13,"")</f>
        <v/>
      </c>
      <c r="AW24" s="2211"/>
      <c r="AX24" s="2211"/>
      <c r="AY24" s="2211"/>
      <c r="AZ24" s="2211"/>
      <c r="BA24" s="2211"/>
      <c r="BB24" s="2211"/>
      <c r="BC24" s="2211"/>
      <c r="BD24" s="2211"/>
      <c r="BF24" s="138"/>
    </row>
    <row r="25" spans="2:68" ht="17.25" x14ac:dyDescent="0.25">
      <c r="B25" s="137"/>
      <c r="C25" s="262"/>
      <c r="D25" s="262"/>
      <c r="E25" s="262"/>
      <c r="F25" s="262"/>
      <c r="G25" s="262"/>
      <c r="H25" s="2204" t="s">
        <v>712</v>
      </c>
      <c r="I25" s="2204"/>
      <c r="J25" s="2204"/>
      <c r="K25" s="2204"/>
      <c r="L25" s="2204"/>
      <c r="M25" s="2204"/>
      <c r="N25" s="2204"/>
      <c r="O25" s="2204"/>
      <c r="P25" s="2204"/>
      <c r="Q25" s="262"/>
      <c r="AN25" s="2204" t="s">
        <v>711</v>
      </c>
      <c r="AO25" s="2204"/>
      <c r="AP25" s="2204"/>
      <c r="AQ25" s="2204"/>
      <c r="AR25" s="2204"/>
      <c r="AS25" s="2204"/>
      <c r="AT25" s="2204"/>
      <c r="BF25" s="138"/>
    </row>
    <row r="26" spans="2:68" ht="18.75" x14ac:dyDescent="0.3">
      <c r="B26" s="2201" t="s">
        <v>649</v>
      </c>
      <c r="C26" s="2202"/>
      <c r="D26" s="2202"/>
      <c r="E26" s="2202"/>
      <c r="F26" s="2202"/>
      <c r="G26" s="2202"/>
      <c r="H26" s="2202"/>
      <c r="I26" s="2202"/>
      <c r="J26" s="2202"/>
      <c r="K26" s="2202"/>
      <c r="L26" s="2202"/>
      <c r="M26" s="2202"/>
      <c r="N26" s="2202"/>
      <c r="O26" s="2202"/>
      <c r="P26" s="2202"/>
      <c r="Q26" s="2202"/>
      <c r="R26" s="2202"/>
      <c r="S26" s="2202"/>
      <c r="T26" s="2202"/>
      <c r="U26" s="2202"/>
      <c r="V26" s="2202"/>
      <c r="W26" s="2202"/>
      <c r="X26" s="2202"/>
      <c r="Y26" s="2202"/>
      <c r="Z26" s="2202"/>
      <c r="AA26" s="2202"/>
      <c r="AB26" s="2202"/>
      <c r="AC26" s="2202"/>
      <c r="AD26" s="2202"/>
      <c r="AE26" s="2202"/>
      <c r="AF26" s="2202"/>
      <c r="AG26" s="2202"/>
      <c r="AH26" s="2202"/>
      <c r="AI26" s="2202"/>
      <c r="AJ26" s="2202"/>
      <c r="AK26" s="2202"/>
      <c r="AL26" s="2202"/>
      <c r="AM26" s="2202"/>
      <c r="AN26" s="2202"/>
      <c r="AO26" s="2202"/>
      <c r="AP26" s="2202"/>
      <c r="AQ26" s="2202"/>
      <c r="AR26" s="2202"/>
      <c r="AS26" s="2202"/>
      <c r="AT26" s="2202"/>
      <c r="AU26" s="2202"/>
      <c r="AV26" s="2202"/>
      <c r="AW26" s="2202"/>
      <c r="AX26" s="2202"/>
      <c r="AY26" s="2202"/>
      <c r="AZ26" s="2202"/>
      <c r="BA26" s="2202"/>
      <c r="BB26" s="2202"/>
      <c r="BC26" s="2202"/>
      <c r="BD26" s="2202"/>
      <c r="BE26" s="2202"/>
      <c r="BF26" s="2203"/>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94" t="s">
        <v>650</v>
      </c>
      <c r="C28" s="2195"/>
      <c r="D28" s="2195"/>
      <c r="E28" s="2195"/>
      <c r="F28" s="2195"/>
      <c r="G28" s="2195"/>
      <c r="H28" s="2195"/>
      <c r="I28" s="2195"/>
      <c r="J28" s="2195"/>
      <c r="K28" s="2195"/>
      <c r="L28" s="2195"/>
      <c r="M28" s="2195"/>
      <c r="N28" s="2195"/>
      <c r="O28" s="2195"/>
      <c r="P28" s="2195"/>
      <c r="Q28" s="2195"/>
      <c r="T28" s="2198">
        <f>'Tracking &amp; Profitability'!$E$6</f>
        <v>0</v>
      </c>
      <c r="U28" s="2198"/>
      <c r="V28" s="2198"/>
      <c r="W28" s="2198"/>
      <c r="X28" s="2198"/>
      <c r="Y28" s="2198"/>
      <c r="Z28" s="2198"/>
      <c r="AA28" s="2198"/>
      <c r="AB28" s="2198"/>
      <c r="AF28" t="s">
        <v>710</v>
      </c>
      <c r="AO28" s="2167">
        <f>Welcome!$D$30</f>
        <v>0</v>
      </c>
      <c r="AP28" s="2167"/>
      <c r="AQ28" s="2167"/>
      <c r="AR28" s="2184" t="s">
        <v>651</v>
      </c>
      <c r="AS28" s="2184"/>
      <c r="AU28" s="2167">
        <f>Welcome!$E$30</f>
        <v>0</v>
      </c>
      <c r="AV28" s="2167"/>
      <c r="AW28" s="2167"/>
      <c r="AX28" s="2184" t="s">
        <v>709</v>
      </c>
      <c r="AY28" s="2184"/>
      <c r="BA28" s="2167">
        <f>Welcome!$F$30</f>
        <v>0</v>
      </c>
      <c r="BB28" s="2167"/>
      <c r="BC28" s="2167"/>
      <c r="BD28" s="2184" t="s">
        <v>652</v>
      </c>
      <c r="BE28" s="2184"/>
      <c r="BF28" s="138"/>
    </row>
    <row r="29" spans="2:68" ht="17.25" x14ac:dyDescent="0.25">
      <c r="B29" s="137"/>
      <c r="T29" s="134"/>
      <c r="U29" s="134"/>
      <c r="V29" s="134"/>
      <c r="W29" s="134"/>
      <c r="X29" s="134"/>
      <c r="Y29" s="134"/>
      <c r="Z29" s="134"/>
      <c r="AA29" s="134"/>
      <c r="AB29" s="134"/>
      <c r="AF29" s="2204" t="s">
        <v>708</v>
      </c>
      <c r="AG29" s="2204"/>
      <c r="AH29" s="2204"/>
      <c r="AI29" s="2204"/>
      <c r="AJ29" s="2204"/>
      <c r="AK29" s="2204"/>
      <c r="AL29" s="2204"/>
      <c r="AM29" s="2204"/>
      <c r="AN29" s="2204"/>
      <c r="AO29" s="2204"/>
      <c r="AP29" s="2204"/>
      <c r="AQ29" s="2204"/>
      <c r="AR29" s="2204"/>
      <c r="AS29" s="2204"/>
      <c r="AT29" s="2204"/>
      <c r="AU29" s="2204"/>
      <c r="AV29" s="2204"/>
      <c r="AW29" s="2204"/>
      <c r="AX29" s="2204"/>
      <c r="AY29" s="2204"/>
      <c r="AZ29" s="2204"/>
      <c r="BA29" s="2204"/>
      <c r="BB29" s="2204"/>
      <c r="BC29" s="2204"/>
      <c r="BD29" s="2204"/>
      <c r="BE29" s="2204"/>
      <c r="BF29" s="138"/>
    </row>
    <row r="30" spans="2:68" x14ac:dyDescent="0.25">
      <c r="B30" s="2197" t="s">
        <v>705</v>
      </c>
      <c r="C30" s="2102"/>
      <c r="D30" s="2102"/>
      <c r="E30" s="2102"/>
      <c r="F30" s="2102"/>
      <c r="G30" s="2102"/>
      <c r="H30" s="2102"/>
      <c r="I30" s="2102"/>
      <c r="J30" s="2102"/>
      <c r="K30" s="2102"/>
      <c r="L30" s="2102"/>
      <c r="M30" s="2102"/>
      <c r="N30" s="2102"/>
      <c r="O30" s="2102"/>
      <c r="P30" s="2102"/>
      <c r="Q30" s="2102"/>
      <c r="T30" s="2200">
        <v>1</v>
      </c>
      <c r="U30" s="2200"/>
      <c r="V30" s="2200"/>
      <c r="W30" s="2200"/>
      <c r="AF30" s="2163" t="s">
        <v>707</v>
      </c>
      <c r="AG30" s="2163"/>
      <c r="AH30" s="2163"/>
      <c r="AI30" s="2163"/>
      <c r="AJ30" s="2163"/>
      <c r="AK30" s="2163"/>
      <c r="AL30" s="2163"/>
      <c r="AM30" s="2163"/>
      <c r="AN30" s="2163"/>
      <c r="AO30" s="2163"/>
      <c r="AP30" s="2167">
        <f>Welcome!$D$24</f>
        <v>0</v>
      </c>
      <c r="AQ30" s="2167"/>
      <c r="AR30" s="2167"/>
      <c r="AT30" s="2163" t="s">
        <v>706</v>
      </c>
      <c r="AU30" s="2163"/>
      <c r="AV30" s="2163"/>
      <c r="AW30" s="2163"/>
      <c r="AX30" s="2163"/>
      <c r="AY30" s="2163"/>
      <c r="AZ30" s="2163"/>
      <c r="BA30" s="2163"/>
      <c r="BB30" s="2163"/>
      <c r="BC30" s="2163"/>
      <c r="BF30" s="138"/>
    </row>
    <row r="31" spans="2:68" x14ac:dyDescent="0.25">
      <c r="B31" s="137"/>
      <c r="BF31" s="138"/>
      <c r="BP31" s="261"/>
    </row>
    <row r="32" spans="2:68" x14ac:dyDescent="0.25">
      <c r="B32" s="2197" t="s">
        <v>702</v>
      </c>
      <c r="C32" s="2102"/>
      <c r="D32" s="2102"/>
      <c r="E32" s="2102"/>
      <c r="F32" s="2102"/>
      <c r="G32" s="2102"/>
      <c r="H32" s="2102"/>
      <c r="I32" s="2102"/>
      <c r="J32" s="2102"/>
      <c r="K32" s="2102"/>
      <c r="L32" s="2102"/>
      <c r="M32" s="2102"/>
      <c r="N32" s="2102"/>
      <c r="O32" s="2102"/>
      <c r="P32" s="2102"/>
      <c r="Q32" s="2102"/>
      <c r="T32" s="2206" t="s">
        <v>963</v>
      </c>
      <c r="U32" s="2206"/>
      <c r="V32" s="2206"/>
      <c r="W32" s="2206"/>
      <c r="X32" s="2206"/>
      <c r="Y32" s="2206"/>
      <c r="Z32" s="2206"/>
      <c r="AA32" s="2206"/>
      <c r="AB32" s="2206"/>
      <c r="AC32" s="2206"/>
      <c r="AD32" s="2206"/>
      <c r="AE32" s="2206"/>
      <c r="AF32" s="2206"/>
      <c r="AG32" s="2206"/>
      <c r="AH32" s="2206"/>
      <c r="AI32" s="2206"/>
      <c r="AJ32" s="2206"/>
      <c r="AK32" s="2206"/>
      <c r="AL32" s="2206"/>
      <c r="AM32" s="2206"/>
      <c r="AN32" s="2206"/>
      <c r="AO32" s="2206"/>
      <c r="BF32" s="138"/>
    </row>
    <row r="33" spans="2:92" x14ac:dyDescent="0.25">
      <c r="B33" s="137"/>
      <c r="BF33" s="138"/>
    </row>
    <row r="34" spans="2:92" x14ac:dyDescent="0.25">
      <c r="B34" s="137"/>
      <c r="C34" s="82"/>
      <c r="D34" s="82"/>
      <c r="E34" s="82"/>
      <c r="F34" s="82"/>
      <c r="G34" s="82"/>
      <c r="H34" s="82"/>
      <c r="I34" s="2167"/>
      <c r="J34" s="2167"/>
      <c r="K34" s="2184" t="s">
        <v>482</v>
      </c>
      <c r="L34" s="2184"/>
      <c r="M34" s="2184"/>
      <c r="N34" s="2184"/>
      <c r="O34" s="2184"/>
      <c r="P34" s="2184"/>
      <c r="Q34" s="2184"/>
      <c r="R34" s="2167" t="s">
        <v>239</v>
      </c>
      <c r="S34" s="2167"/>
      <c r="T34" s="2184" t="s">
        <v>481</v>
      </c>
      <c r="U34" s="2184"/>
      <c r="V34" s="2184"/>
      <c r="W34" s="2184"/>
      <c r="X34" s="2167"/>
      <c r="Y34" s="2167"/>
      <c r="Z34" s="2184" t="s">
        <v>480</v>
      </c>
      <c r="AA34" s="2184"/>
      <c r="AB34" s="2184"/>
      <c r="AF34" t="s">
        <v>704</v>
      </c>
      <c r="AL34" s="2167">
        <f>Welcome!$H$30</f>
        <v>5</v>
      </c>
      <c r="AM34" s="2167"/>
      <c r="AN34" s="2167"/>
      <c r="AO34" t="s">
        <v>703</v>
      </c>
      <c r="BF34" s="138"/>
    </row>
    <row r="35" spans="2:92" x14ac:dyDescent="0.25">
      <c r="B35" s="137"/>
      <c r="BF35" s="138"/>
      <c r="BP35" s="263"/>
      <c r="CN35" s="261"/>
    </row>
    <row r="36" spans="2:92" x14ac:dyDescent="0.25">
      <c r="B36" s="2194" t="s">
        <v>701</v>
      </c>
      <c r="C36" s="2195"/>
      <c r="D36" s="2195"/>
      <c r="E36" s="2195"/>
      <c r="F36" s="2195"/>
      <c r="G36" s="2195"/>
      <c r="H36" s="2195"/>
      <c r="I36" s="2195"/>
      <c r="J36" s="2195"/>
      <c r="K36" s="2195"/>
      <c r="L36" s="2195"/>
      <c r="M36" s="2195"/>
      <c r="N36" s="2195"/>
      <c r="O36" s="2195"/>
      <c r="P36" s="2195"/>
      <c r="Q36" s="2195"/>
      <c r="R36" s="2195"/>
      <c r="T36" s="2175" t="str">
        <f>IFERROR($T$28/('Tracking &amp; Profitability'!$E$7*52*Welcome!$D$18),"Error on A La Carte")</f>
        <v>Error on A La Carte</v>
      </c>
      <c r="U36" s="2175"/>
      <c r="V36" s="2175"/>
      <c r="W36" s="2175"/>
      <c r="X36" s="2175"/>
      <c r="Y36" s="2175"/>
      <c r="Z36" s="2175"/>
      <c r="AA36" s="2175"/>
      <c r="AB36" s="2175"/>
      <c r="AF36" s="2195" t="s">
        <v>477</v>
      </c>
      <c r="AG36" s="2195"/>
      <c r="AH36" s="2195"/>
      <c r="AI36" s="2195"/>
      <c r="AJ36" s="2195"/>
      <c r="AK36" s="2195"/>
      <c r="AL36" s="2195"/>
      <c r="AM36" s="2195"/>
      <c r="AN36" s="2195"/>
      <c r="AO36" s="2195"/>
      <c r="AP36" s="2195"/>
      <c r="AQ36" s="2195"/>
      <c r="AR36" s="2195"/>
      <c r="AS36" s="2195"/>
      <c r="AU36" s="2167" t="e">
        <f>ROUND(((1-(('PIM Model'!$G$15+'PIM Model'!$G$17+'PIM Model'!$G$18)/'PIM Model'!$G$32))*100),0)&amp;"%/"&amp;ROUND((('PIM Model'!$G$15+'PIM Model'!$G$17+'PIM Model'!$G$18)/'PIM Model'!$G$32*100),0)&amp;"%"</f>
        <v>#DIV/0!</v>
      </c>
      <c r="AV36" s="2167"/>
      <c r="AW36" s="2167"/>
      <c r="AX36" s="2167"/>
      <c r="AY36" s="2167"/>
      <c r="AZ36" s="2167"/>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94" t="s">
        <v>699</v>
      </c>
      <c r="C38" s="2195"/>
      <c r="D38" s="2195"/>
      <c r="E38" s="2195"/>
      <c r="F38" s="2195"/>
      <c r="G38" s="2195"/>
      <c r="H38" s="2195"/>
      <c r="I38" s="2195"/>
      <c r="J38" s="2195"/>
      <c r="K38" s="2195"/>
      <c r="L38" s="2195"/>
      <c r="M38" s="2195"/>
      <c r="N38" s="2195"/>
      <c r="O38" s="2195"/>
      <c r="P38" s="2195"/>
      <c r="Q38" s="2195"/>
      <c r="R38" s="2195"/>
      <c r="T38" s="2176" t="str">
        <f>IFERROR('PIM Model'!$H$32/('PIM Model'!$E$6*52*Welcome!$D$18),"Error on A La Carte")</f>
        <v>Error on A La Carte</v>
      </c>
      <c r="U38" s="2176"/>
      <c r="V38" s="2176"/>
      <c r="W38" s="2176"/>
      <c r="X38" s="2176"/>
      <c r="Y38" s="2176"/>
      <c r="Z38" s="2176"/>
      <c r="AA38" s="2176"/>
      <c r="AB38" s="2176"/>
      <c r="AC38" s="264"/>
      <c r="AD38" s="264"/>
      <c r="AF38" s="2102" t="s">
        <v>653</v>
      </c>
      <c r="AG38" s="2102"/>
      <c r="AH38" s="2102"/>
      <c r="AI38" s="2102"/>
      <c r="AJ38" s="2102"/>
      <c r="AK38" s="2102"/>
      <c r="AL38" s="2102"/>
      <c r="AM38" s="2102"/>
      <c r="AN38" s="2102"/>
      <c r="AO38" s="2102"/>
      <c r="AP38" s="2102"/>
      <c r="AQ38" s="2102"/>
      <c r="AR38" s="2102"/>
      <c r="AS38" s="2102"/>
      <c r="AU38" s="2167">
        <f>COUNTIF('PIM Model'!$E$10:$E$30,"Include")</f>
        <v>21</v>
      </c>
      <c r="AV38" s="2167"/>
      <c r="AW38" s="2167"/>
      <c r="AX38" s="2167"/>
      <c r="AY38" s="2167"/>
      <c r="AZ38" s="2167"/>
      <c r="BF38" s="138"/>
    </row>
    <row r="39" spans="2:92" x14ac:dyDescent="0.25">
      <c r="B39" s="137"/>
      <c r="BF39" s="138"/>
    </row>
    <row r="40" spans="2:92" x14ac:dyDescent="0.25">
      <c r="B40" s="2194" t="s">
        <v>697</v>
      </c>
      <c r="C40" s="2195"/>
      <c r="D40" s="2195"/>
      <c r="E40" s="2195"/>
      <c r="F40" s="2195"/>
      <c r="G40" s="2195"/>
      <c r="H40" s="2195"/>
      <c r="I40" s="2195"/>
      <c r="J40" s="2195"/>
      <c r="K40" s="2195"/>
      <c r="L40" s="2195"/>
      <c r="M40" s="2195"/>
      <c r="N40" s="2195"/>
      <c r="O40" s="2195"/>
      <c r="P40" s="2195"/>
      <c r="Q40" s="2195"/>
      <c r="R40" s="2195"/>
      <c r="T40" s="2198">
        <f>IFERROR('PIM Model'!$G$32/'PIM Model'!$H$32,0)</f>
        <v>0</v>
      </c>
      <c r="U40" s="2198"/>
      <c r="V40" s="2198"/>
      <c r="W40" s="2198"/>
      <c r="X40" s="2198"/>
      <c r="Y40" s="2198"/>
      <c r="Z40" s="2198"/>
      <c r="AA40" s="2198"/>
      <c r="AB40" s="2198"/>
      <c r="AF40" s="2102" t="s">
        <v>700</v>
      </c>
      <c r="AG40" s="2102"/>
      <c r="AH40" s="2102"/>
      <c r="AI40" s="2102"/>
      <c r="AJ40" s="2102"/>
      <c r="AK40" s="2102"/>
      <c r="AL40" s="2102"/>
      <c r="AM40" s="2102"/>
      <c r="AN40" s="2102"/>
      <c r="AO40" s="2102"/>
      <c r="AP40" s="2102"/>
      <c r="AQ40" s="2102"/>
      <c r="AR40" s="2102"/>
      <c r="AS40" s="2102"/>
      <c r="AU40" s="2167">
        <f>Welcome!$G$30</f>
        <v>0</v>
      </c>
      <c r="AV40" s="2167"/>
      <c r="AW40" s="2167"/>
      <c r="BC40" s="2184"/>
      <c r="BD40" s="2184"/>
      <c r="BE40" s="2184"/>
      <c r="BF40" s="138"/>
    </row>
    <row r="41" spans="2:92" x14ac:dyDescent="0.25">
      <c r="B41" s="137"/>
      <c r="BF41" s="138"/>
      <c r="BP41" s="261"/>
      <c r="CN41" s="263"/>
    </row>
    <row r="42" spans="2:92" x14ac:dyDescent="0.25">
      <c r="B42" s="2197" t="s">
        <v>695</v>
      </c>
      <c r="C42" s="2102"/>
      <c r="D42" s="2102"/>
      <c r="E42" s="2102"/>
      <c r="F42" s="2102"/>
      <c r="G42" s="2102"/>
      <c r="H42" s="2102"/>
      <c r="I42" s="2102"/>
      <c r="J42" s="2102"/>
      <c r="K42" s="2102"/>
      <c r="L42" s="2102"/>
      <c r="M42" s="2102"/>
      <c r="N42" s="2102"/>
      <c r="O42" s="2102"/>
      <c r="P42" s="2102"/>
      <c r="Q42" s="2102"/>
      <c r="R42" s="2102"/>
      <c r="T42" s="2198" t="s">
        <v>730</v>
      </c>
      <c r="U42" s="2198"/>
      <c r="V42" s="2198"/>
      <c r="W42" s="2198"/>
      <c r="X42" s="2198"/>
      <c r="Y42" s="2198"/>
      <c r="Z42" s="2198"/>
      <c r="AA42" s="2198"/>
      <c r="AB42" s="2198"/>
      <c r="AF42" s="2102" t="s">
        <v>698</v>
      </c>
      <c r="AG42" s="2102"/>
      <c r="AH42" s="2102"/>
      <c r="AI42" s="2102"/>
      <c r="AJ42" s="2102"/>
      <c r="AK42" s="2102"/>
      <c r="AL42" s="2102"/>
      <c r="AM42" s="2102"/>
      <c r="AN42" s="2102"/>
      <c r="AO42" s="2102"/>
      <c r="AP42" s="2102"/>
      <c r="AQ42" s="2102"/>
      <c r="AR42" s="2102"/>
      <c r="AS42" s="2102"/>
      <c r="AU42" s="2167" t="s">
        <v>646</v>
      </c>
      <c r="AV42" s="2167"/>
      <c r="AW42" s="2167"/>
      <c r="BC42" s="2184"/>
      <c r="BD42" s="2184"/>
      <c r="BE42" s="2184"/>
      <c r="BF42" s="138"/>
    </row>
    <row r="43" spans="2:92" x14ac:dyDescent="0.25">
      <c r="B43" s="137"/>
      <c r="BF43" s="138"/>
      <c r="BP43" s="261"/>
      <c r="CN43" s="263"/>
    </row>
    <row r="44" spans="2:92" x14ac:dyDescent="0.25">
      <c r="B44" s="2194" t="s">
        <v>693</v>
      </c>
      <c r="C44" s="2195"/>
      <c r="D44" s="2195"/>
      <c r="E44" s="2195"/>
      <c r="F44" s="2195"/>
      <c r="G44" s="2195"/>
      <c r="H44" s="2195"/>
      <c r="I44" s="2195"/>
      <c r="J44" s="2195"/>
      <c r="K44" s="2195"/>
      <c r="L44" s="2195"/>
      <c r="M44" s="2195"/>
      <c r="N44" s="2195"/>
      <c r="O44" s="2195"/>
      <c r="P44" s="2195"/>
      <c r="Q44" s="2195"/>
      <c r="R44" s="2195"/>
      <c r="T44" s="2199">
        <f>'Tracking &amp; Profitability'!$E$7</f>
        <v>0</v>
      </c>
      <c r="U44" s="2199"/>
      <c r="V44" s="2199"/>
      <c r="W44" s="2199"/>
      <c r="X44" s="2199"/>
      <c r="Y44" s="2199"/>
      <c r="Z44" s="2199"/>
      <c r="AA44" s="2199"/>
      <c r="AB44" s="2199"/>
      <c r="AF44" s="2102" t="s">
        <v>696</v>
      </c>
      <c r="AG44" s="2102"/>
      <c r="AH44" s="2102"/>
      <c r="AI44" s="2102"/>
      <c r="AJ44" s="2102"/>
      <c r="AK44" s="2102"/>
      <c r="AL44" s="2102"/>
      <c r="AM44" s="2102"/>
      <c r="AN44" s="2102"/>
      <c r="AO44" s="2102"/>
      <c r="AP44" s="2102"/>
      <c r="AQ44" s="2102"/>
      <c r="AR44" s="2102"/>
      <c r="AS44" s="2102"/>
      <c r="AU44" s="2167" t="s">
        <v>646</v>
      </c>
      <c r="AV44" s="2167"/>
      <c r="AW44" s="2167"/>
      <c r="BC44" s="2184"/>
      <c r="BD44" s="2184"/>
      <c r="BE44" s="2184"/>
      <c r="BF44" s="138"/>
    </row>
    <row r="45" spans="2:92" x14ac:dyDescent="0.25">
      <c r="B45" s="137"/>
      <c r="BF45" s="138"/>
      <c r="CN45" s="263"/>
    </row>
    <row r="46" spans="2:92" x14ac:dyDescent="0.25">
      <c r="B46" s="2190" t="s">
        <v>654</v>
      </c>
      <c r="C46" s="2191"/>
      <c r="D46" s="2191"/>
      <c r="E46" s="2191"/>
      <c r="F46" s="2191"/>
      <c r="G46" s="2191"/>
      <c r="H46" s="2191"/>
      <c r="I46" s="2191"/>
      <c r="J46" s="2191"/>
      <c r="K46" s="2191"/>
      <c r="L46" s="2191"/>
      <c r="M46" s="2191"/>
      <c r="N46" s="2191"/>
      <c r="O46" s="2191"/>
      <c r="P46" s="2191"/>
      <c r="Q46" s="2191"/>
      <c r="R46" s="2191"/>
      <c r="T46" s="2192">
        <f>'Agreement Worksheet'!$C$10</f>
        <v>500</v>
      </c>
      <c r="U46" s="2193"/>
      <c r="V46" s="2193"/>
      <c r="W46" s="2193"/>
      <c r="X46" s="2193"/>
      <c r="Y46" s="2193"/>
      <c r="Z46" s="2193"/>
      <c r="AA46" s="2193"/>
      <c r="AB46" s="2193"/>
      <c r="AF46" s="2173" t="s">
        <v>694</v>
      </c>
      <c r="AG46" s="2173"/>
      <c r="AH46" s="2173"/>
      <c r="AI46" s="2173"/>
      <c r="AJ46" s="2173"/>
      <c r="AK46" s="2173"/>
      <c r="AL46" s="2173"/>
      <c r="AM46" s="2173"/>
      <c r="AN46" s="2173"/>
      <c r="AO46" s="2173"/>
      <c r="AP46" s="2173"/>
      <c r="AQ46" s="2173"/>
      <c r="AR46" s="2173"/>
      <c r="AS46" s="2173"/>
      <c r="AU46" s="2180">
        <f>'Agreement Worksheet'!$C$13/100</f>
        <v>0.3</v>
      </c>
      <c r="AV46" s="2180"/>
      <c r="AW46" s="2180"/>
      <c r="AX46" s="2180"/>
      <c r="AY46" s="2180"/>
      <c r="AZ46" s="2180"/>
      <c r="BF46" s="138"/>
    </row>
    <row r="47" spans="2:92" x14ac:dyDescent="0.25">
      <c r="B47" s="137"/>
      <c r="BF47" s="138"/>
      <c r="CN47" s="263"/>
    </row>
    <row r="48" spans="2:92" x14ac:dyDescent="0.25">
      <c r="B48" s="2194" t="s">
        <v>478</v>
      </c>
      <c r="C48" s="2195"/>
      <c r="D48" s="2195"/>
      <c r="E48" s="2195"/>
      <c r="F48" s="2195"/>
      <c r="G48" s="2195"/>
      <c r="H48" s="2195"/>
      <c r="I48" s="2195"/>
      <c r="J48" s="2195"/>
      <c r="K48" s="2195"/>
      <c r="L48" s="2195"/>
      <c r="M48" s="2195"/>
      <c r="N48" s="2195"/>
      <c r="O48" s="2195"/>
      <c r="P48" s="2195"/>
      <c r="Q48" s="2195"/>
      <c r="R48" s="2195"/>
      <c r="T48" s="2193">
        <f>$K$10</f>
        <v>0</v>
      </c>
      <c r="U48" s="2193"/>
      <c r="V48" s="2193"/>
      <c r="W48" s="2193"/>
      <c r="X48" s="2193"/>
      <c r="Y48" s="2193"/>
      <c r="Z48" s="2193"/>
      <c r="AA48" s="2193"/>
      <c r="AB48" s="2193"/>
      <c r="AF48" s="2173" t="s">
        <v>692</v>
      </c>
      <c r="AG48" s="2173"/>
      <c r="AH48" s="2173"/>
      <c r="AI48" s="2173"/>
      <c r="AJ48" s="2173"/>
      <c r="AK48" s="2173"/>
      <c r="AL48" s="2173"/>
      <c r="AM48" s="2173"/>
      <c r="AN48" s="2173"/>
      <c r="AO48" s="2173"/>
      <c r="AP48" s="2173"/>
      <c r="AQ48" s="2173"/>
      <c r="AR48" s="2173"/>
      <c r="AS48" s="2173"/>
      <c r="AU48" s="2165">
        <f>'Agreement Worksheet'!$F$13</f>
        <v>2.25</v>
      </c>
      <c r="AV48" s="2166"/>
      <c r="AW48" s="2166"/>
      <c r="AX48" s="2166"/>
      <c r="AY48" s="2166"/>
      <c r="AZ48" s="2166"/>
      <c r="BF48" s="138"/>
    </row>
    <row r="49" spans="2:92" x14ac:dyDescent="0.25">
      <c r="B49" s="137"/>
      <c r="BF49" s="138"/>
      <c r="CN49" s="263"/>
    </row>
    <row r="50" spans="2:92" x14ac:dyDescent="0.25">
      <c r="B50" s="2172" t="s">
        <v>691</v>
      </c>
      <c r="C50" s="2173"/>
      <c r="D50" s="2173"/>
      <c r="E50" s="2173"/>
      <c r="F50" s="2173"/>
      <c r="G50" s="2173"/>
      <c r="H50" s="2173"/>
      <c r="I50" s="2173"/>
      <c r="J50" s="2173"/>
      <c r="K50" s="2173"/>
      <c r="L50" s="2173"/>
      <c r="M50" s="2173"/>
      <c r="N50" s="2173"/>
      <c r="O50" s="2173"/>
      <c r="P50" s="2173"/>
      <c r="Q50" s="2173"/>
      <c r="R50" s="2173"/>
      <c r="T50" s="2174">
        <f>'Agreement Worksheet'!$E$10</f>
        <v>500</v>
      </c>
      <c r="U50" s="2174"/>
      <c r="V50" s="2174"/>
      <c r="W50" s="2174"/>
      <c r="X50" s="2174"/>
      <c r="Y50" s="2174"/>
      <c r="Z50" s="2102" t="s">
        <v>690</v>
      </c>
      <c r="AA50" s="2102"/>
      <c r="AB50" s="2102"/>
      <c r="AC50" s="2174">
        <f>'Agreement Worksheet'!$F$10</f>
        <v>35</v>
      </c>
      <c r="AD50" s="2174"/>
      <c r="AE50" s="2174"/>
      <c r="AF50" s="2174"/>
      <c r="AG50" s="2174"/>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77" t="s">
        <v>674</v>
      </c>
      <c r="C53" s="2178"/>
      <c r="D53" s="2178"/>
      <c r="E53" s="2178"/>
      <c r="F53" s="2178"/>
      <c r="G53" s="2178"/>
      <c r="H53" s="2178"/>
      <c r="I53" s="2178"/>
      <c r="J53" s="2178"/>
      <c r="K53" s="2178"/>
      <c r="L53" s="2178"/>
      <c r="M53" s="2178"/>
      <c r="N53" s="2178"/>
      <c r="O53" s="2178"/>
      <c r="P53" s="2178"/>
      <c r="Q53" s="2178"/>
      <c r="R53" s="2178"/>
      <c r="S53" s="2178"/>
      <c r="T53" s="2178"/>
      <c r="U53" s="2178"/>
      <c r="V53" s="2178"/>
      <c r="W53" s="2178"/>
      <c r="X53" s="2178"/>
      <c r="Y53" s="2178"/>
      <c r="Z53" s="2178"/>
      <c r="AA53" s="2178"/>
      <c r="AB53" s="2178"/>
      <c r="AC53" s="2178"/>
      <c r="AD53" s="2178"/>
      <c r="AE53" s="2178"/>
      <c r="AF53" s="2178"/>
      <c r="AG53" s="2178"/>
      <c r="AH53" s="2178"/>
      <c r="AI53" s="2178"/>
      <c r="AJ53" s="2178"/>
      <c r="AK53" s="2178"/>
      <c r="AL53" s="2178"/>
      <c r="AM53" s="2178"/>
      <c r="AN53" s="2178"/>
      <c r="AO53" s="2178"/>
      <c r="AP53" s="2178"/>
      <c r="AQ53" s="2178"/>
      <c r="AR53" s="2178"/>
      <c r="AS53" s="2178"/>
      <c r="AT53" s="2178"/>
      <c r="AU53" s="2178"/>
      <c r="AV53" s="2178"/>
      <c r="AW53" s="2178"/>
      <c r="AX53" s="2178"/>
      <c r="AY53" s="2178"/>
      <c r="AZ53" s="2178"/>
      <c r="BA53" s="2178"/>
      <c r="BB53" s="2178"/>
      <c r="BC53" s="2178"/>
      <c r="BD53" s="2178"/>
      <c r="BE53" s="2178"/>
      <c r="BF53" s="2179"/>
    </row>
    <row r="54" spans="2:92" x14ac:dyDescent="0.25">
      <c r="B54" s="2181" t="s">
        <v>689</v>
      </c>
      <c r="C54" s="2182"/>
      <c r="D54" s="2182"/>
      <c r="E54" s="2182"/>
      <c r="F54" s="2182"/>
      <c r="G54" s="2182"/>
      <c r="H54" s="2182"/>
      <c r="I54" s="2182"/>
      <c r="J54" s="2182"/>
      <c r="K54" s="2182"/>
      <c r="L54" s="2182"/>
      <c r="M54" s="2182"/>
      <c r="N54" s="2182"/>
      <c r="O54" s="2182"/>
      <c r="P54" s="2182"/>
      <c r="Q54" s="2182"/>
      <c r="R54" s="2182"/>
      <c r="S54" s="2182"/>
      <c r="T54" s="2182"/>
      <c r="U54" s="2182"/>
      <c r="V54" s="2182"/>
      <c r="W54" s="2182"/>
      <c r="X54" s="2182"/>
      <c r="Y54" s="2182"/>
      <c r="Z54" s="2182"/>
      <c r="AA54" s="2182"/>
      <c r="AB54" s="2182"/>
      <c r="AC54" s="2182"/>
      <c r="AD54" s="2182"/>
      <c r="AE54" s="2182"/>
      <c r="AF54" s="2182"/>
      <c r="AG54" s="2182"/>
      <c r="AH54" s="2182"/>
      <c r="AI54" s="2182"/>
      <c r="AJ54" s="2182"/>
      <c r="AK54" s="2182"/>
      <c r="AL54" s="2182"/>
      <c r="AM54" s="2182"/>
      <c r="AN54" s="2182"/>
      <c r="AO54" s="2182"/>
      <c r="AP54" s="2182"/>
      <c r="AQ54" s="2182"/>
      <c r="AR54" s="2182"/>
      <c r="AS54" s="2182"/>
      <c r="AT54" s="2182"/>
      <c r="AU54" s="2182"/>
      <c r="AV54" s="2182"/>
      <c r="AW54" s="2182"/>
      <c r="AX54" s="2182"/>
      <c r="AY54" s="2182"/>
      <c r="AZ54" s="2182"/>
      <c r="BA54" s="2182"/>
      <c r="BB54" s="2182"/>
      <c r="BC54" s="2182"/>
      <c r="BD54" s="2182"/>
      <c r="BE54" s="2182"/>
      <c r="BF54" s="2183"/>
      <c r="BP54" s="261"/>
    </row>
    <row r="55" spans="2:92" x14ac:dyDescent="0.25">
      <c r="B55" s="137"/>
      <c r="AC55" s="266"/>
      <c r="AD55" s="266"/>
      <c r="AE55" s="266"/>
      <c r="AF55" s="266"/>
      <c r="AG55" s="266"/>
      <c r="AH55" s="266"/>
      <c r="AK55" s="2188"/>
      <c r="AL55" s="2188"/>
      <c r="AM55" s="2188"/>
      <c r="AN55" s="2188"/>
      <c r="AO55" s="2031"/>
      <c r="AP55" s="2031"/>
      <c r="AQ55" s="2031"/>
      <c r="AR55" s="134"/>
      <c r="AS55" s="134"/>
      <c r="AT55" s="2031"/>
      <c r="AU55" s="2031"/>
      <c r="AV55" s="2031"/>
      <c r="AW55" s="134"/>
      <c r="AX55" s="134"/>
      <c r="AY55" s="2031"/>
      <c r="AZ55" s="2031"/>
      <c r="BA55" s="2031"/>
      <c r="BB55" s="134"/>
      <c r="BC55" s="134"/>
      <c r="BD55" s="2031"/>
      <c r="BE55" s="2031"/>
      <c r="BF55" s="2164"/>
      <c r="BP55" s="267"/>
    </row>
    <row r="56" spans="2:92" x14ac:dyDescent="0.25">
      <c r="B56" s="137"/>
      <c r="C56" s="2163" t="s">
        <v>103</v>
      </c>
      <c r="D56" s="2163"/>
      <c r="E56" s="2163"/>
      <c r="F56" s="2163"/>
      <c r="G56" s="2163"/>
      <c r="H56" s="2163"/>
      <c r="I56" s="2163"/>
      <c r="J56" s="2163"/>
      <c r="K56" s="2163"/>
      <c r="L56" s="2163"/>
      <c r="M56" s="2163"/>
      <c r="N56" s="2163"/>
      <c r="O56" s="2163"/>
      <c r="P56" s="2163"/>
      <c r="Q56" s="2163"/>
      <c r="R56" s="2163"/>
      <c r="S56" s="2163"/>
      <c r="T56" s="2163"/>
      <c r="U56" s="2163"/>
      <c r="V56" s="2163"/>
      <c r="W56" s="2163"/>
      <c r="X56" s="2163"/>
      <c r="Y56" s="2163"/>
      <c r="Z56" s="2163"/>
      <c r="AC56" s="2167" t="str">
        <f>'PIM Model'!$AD$11</f>
        <v/>
      </c>
      <c r="AD56" s="2167"/>
      <c r="AE56" s="2167" t="str">
        <f>'PIM Model'!$D$11</f>
        <v>%</v>
      </c>
      <c r="AF56" s="2167"/>
      <c r="AG56" s="2167" t="str">
        <f>'PIM Model'!$D$11</f>
        <v>%</v>
      </c>
      <c r="AH56" s="2167"/>
      <c r="AI56" s="2184" t="str">
        <f>'PIM Model'!$D$11</f>
        <v>%</v>
      </c>
      <c r="AJ56" s="2184"/>
      <c r="AK56" s="134"/>
      <c r="AL56" s="134"/>
      <c r="AM56" s="134"/>
      <c r="AN56" s="134"/>
      <c r="AO56" s="2031"/>
      <c r="AP56" s="2031"/>
      <c r="AQ56" s="2031"/>
      <c r="AR56" s="134"/>
      <c r="AS56" s="134"/>
      <c r="AT56" s="2031"/>
      <c r="AU56" s="2031"/>
      <c r="AV56" s="2031"/>
      <c r="AW56" s="134"/>
      <c r="AX56" s="134"/>
      <c r="AY56" s="2031"/>
      <c r="AZ56" s="2031"/>
      <c r="BA56" s="2031"/>
      <c r="BB56" s="134"/>
      <c r="BC56" s="134"/>
      <c r="BD56" s="2031"/>
      <c r="BE56" s="2031"/>
      <c r="BF56" s="2164"/>
      <c r="BP56" s="261"/>
    </row>
    <row r="57" spans="2:92" x14ac:dyDescent="0.25">
      <c r="B57" s="137"/>
      <c r="C57" s="2163" t="s">
        <v>102</v>
      </c>
      <c r="D57" s="2163"/>
      <c r="E57" s="2163"/>
      <c r="F57" s="2163"/>
      <c r="G57" s="2163"/>
      <c r="H57" s="2163"/>
      <c r="I57" s="2163"/>
      <c r="J57" s="2163"/>
      <c r="K57" s="2163"/>
      <c r="L57" s="2163"/>
      <c r="M57" s="2163"/>
      <c r="N57" s="2163"/>
      <c r="O57" s="2163"/>
      <c r="P57" s="2163"/>
      <c r="Q57" s="2163"/>
      <c r="R57" s="2163"/>
      <c r="S57" s="2163"/>
      <c r="T57" s="2163"/>
      <c r="U57" s="2163"/>
      <c r="V57" s="2163"/>
      <c r="W57" s="2163"/>
      <c r="X57" s="2163"/>
      <c r="Y57" s="2163"/>
      <c r="Z57" s="2163"/>
      <c r="AC57" s="2187" t="str">
        <f>'PIM Model'!$AD$13</f>
        <v/>
      </c>
      <c r="AD57" s="2187"/>
      <c r="AE57" s="2187" t="str">
        <f>'PIM Model'!$D$13</f>
        <v>%</v>
      </c>
      <c r="AF57" s="2187"/>
      <c r="AG57" s="2187" t="str">
        <f>'PIM Model'!$D$13</f>
        <v>%</v>
      </c>
      <c r="AH57" s="2187"/>
      <c r="AI57" s="2184" t="str">
        <f>'PIM Model'!$D$13</f>
        <v>%</v>
      </c>
      <c r="AJ57" s="218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63" t="s">
        <v>101</v>
      </c>
      <c r="D58" s="2163"/>
      <c r="E58" s="2163"/>
      <c r="F58" s="2163"/>
      <c r="G58" s="2163"/>
      <c r="H58" s="2163"/>
      <c r="I58" s="2163"/>
      <c r="J58" s="2163"/>
      <c r="K58" s="2163"/>
      <c r="L58" s="2163"/>
      <c r="M58" s="2163"/>
      <c r="N58" s="2163"/>
      <c r="O58" s="2163"/>
      <c r="P58" s="2163"/>
      <c r="Q58" s="2163"/>
      <c r="R58" s="2163"/>
      <c r="S58" s="2163"/>
      <c r="T58" s="2163"/>
      <c r="U58" s="2163"/>
      <c r="V58" s="2163"/>
      <c r="W58" s="2163"/>
      <c r="X58" s="2163"/>
      <c r="Y58" s="2163"/>
      <c r="Z58" s="2163"/>
      <c r="AC58" s="2187" t="str">
        <f>'PIM Model'!$AD$19</f>
        <v/>
      </c>
      <c r="AD58" s="2187"/>
      <c r="AE58" s="2187" t="str">
        <f>'PIM Model'!$D$19</f>
        <v>%</v>
      </c>
      <c r="AF58" s="2187"/>
      <c r="AG58" s="2187" t="str">
        <f>'PIM Model'!$D$19</f>
        <v>%</v>
      </c>
      <c r="AH58" s="2187"/>
      <c r="AI58" s="2184" t="str">
        <f>'PIM Model'!$D$19</f>
        <v>%</v>
      </c>
      <c r="AJ58" s="218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63" t="s">
        <v>100</v>
      </c>
      <c r="D59" s="2163"/>
      <c r="E59" s="2163"/>
      <c r="F59" s="2163"/>
      <c r="G59" s="2163"/>
      <c r="H59" s="2163"/>
      <c r="I59" s="2163"/>
      <c r="J59" s="2163"/>
      <c r="K59" s="2163"/>
      <c r="L59" s="2163"/>
      <c r="M59" s="2163"/>
      <c r="N59" s="2163"/>
      <c r="O59" s="2163"/>
      <c r="P59" s="2163"/>
      <c r="Q59" s="2163"/>
      <c r="R59" s="2163"/>
      <c r="S59" s="2163"/>
      <c r="T59" s="2163"/>
      <c r="U59" s="2163"/>
      <c r="V59" s="2163"/>
      <c r="W59" s="2163"/>
      <c r="X59" s="2163"/>
      <c r="Y59" s="2163"/>
      <c r="Z59" s="2163"/>
      <c r="AC59" s="2187" t="str">
        <f>'PIM Model'!$AD$14</f>
        <v/>
      </c>
      <c r="AD59" s="2187"/>
      <c r="AE59" s="2187" t="str">
        <f>'PIM Model'!$D$14</f>
        <v>%</v>
      </c>
      <c r="AF59" s="2187"/>
      <c r="AG59" s="2187" t="str">
        <f>'PIM Model'!$D$14</f>
        <v>%</v>
      </c>
      <c r="AH59" s="2187"/>
      <c r="AI59" s="2184" t="str">
        <f>'PIM Model'!$D$14</f>
        <v>%</v>
      </c>
      <c r="AJ59" s="218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63" t="s">
        <v>104</v>
      </c>
      <c r="D60" s="2163"/>
      <c r="E60" s="2163"/>
      <c r="F60" s="2163"/>
      <c r="G60" s="2163"/>
      <c r="H60" s="2163"/>
      <c r="I60" s="2163"/>
      <c r="J60" s="2163"/>
      <c r="K60" s="2163"/>
      <c r="L60" s="2163"/>
      <c r="M60" s="2163"/>
      <c r="N60" s="2163"/>
      <c r="O60" s="2163"/>
      <c r="P60" s="2163"/>
      <c r="Q60" s="2163"/>
      <c r="R60" s="2163"/>
      <c r="S60" s="2163"/>
      <c r="T60" s="2163"/>
      <c r="U60" s="2163"/>
      <c r="V60" s="2163"/>
      <c r="W60" s="2163"/>
      <c r="X60" s="2163"/>
      <c r="Y60" s="2163"/>
      <c r="Z60" s="2163"/>
      <c r="AC60" s="2187" t="str">
        <f>'PIM Model'!$AD$15</f>
        <v/>
      </c>
      <c r="AD60" s="2187"/>
      <c r="AE60" s="2187" t="str">
        <f>'PIM Model'!$D$15</f>
        <v>%</v>
      </c>
      <c r="AF60" s="2187"/>
      <c r="AG60" s="2187" t="str">
        <f>'PIM Model'!$D$15</f>
        <v>%</v>
      </c>
      <c r="AH60" s="2187"/>
      <c r="AI60" s="2184" t="str">
        <f>'PIM Model'!$D$15</f>
        <v>%</v>
      </c>
      <c r="AJ60" s="218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63" t="s">
        <v>99</v>
      </c>
      <c r="D61" s="2163"/>
      <c r="E61" s="2163"/>
      <c r="F61" s="2163"/>
      <c r="G61" s="2163"/>
      <c r="H61" s="2163"/>
      <c r="I61" s="2163"/>
      <c r="J61" s="2163"/>
      <c r="K61" s="2163"/>
      <c r="L61" s="2163"/>
      <c r="M61" s="2163"/>
      <c r="N61" s="2163"/>
      <c r="O61" s="2163"/>
      <c r="P61" s="2163"/>
      <c r="Q61" s="2163"/>
      <c r="R61" s="2163"/>
      <c r="S61" s="2163"/>
      <c r="T61" s="2163"/>
      <c r="U61" s="2163"/>
      <c r="V61" s="2163"/>
      <c r="W61" s="2163"/>
      <c r="X61" s="2163"/>
      <c r="Y61" s="2163"/>
      <c r="Z61" s="2163"/>
      <c r="AC61" s="2187" t="str">
        <f>'PIM Model'!$AD$10</f>
        <v/>
      </c>
      <c r="AD61" s="2187"/>
      <c r="AE61" s="2187" t="str">
        <f>'PIM Model'!$D$10</f>
        <v>%</v>
      </c>
      <c r="AF61" s="2187"/>
      <c r="AG61" s="2187" t="str">
        <f>'PIM Model'!$D$10</f>
        <v>%</v>
      </c>
      <c r="AH61" s="2187"/>
      <c r="AI61" s="2184" t="str">
        <f>'PIM Model'!$D$10</f>
        <v>%</v>
      </c>
      <c r="AJ61" s="218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49" t="s">
        <v>98</v>
      </c>
      <c r="D62" s="1949"/>
      <c r="E62" s="1949"/>
      <c r="F62" s="1949"/>
      <c r="G62" s="1949"/>
      <c r="H62" s="1949"/>
      <c r="I62" s="1949"/>
      <c r="J62" s="1949"/>
      <c r="K62" s="1949"/>
      <c r="L62" s="1949"/>
      <c r="M62" s="1949"/>
      <c r="N62" s="1949"/>
      <c r="O62" s="1949"/>
      <c r="P62" s="1949"/>
      <c r="Q62" s="1949"/>
      <c r="R62" s="1949"/>
      <c r="S62" s="1949"/>
      <c r="T62" s="1949"/>
      <c r="U62" s="1949"/>
      <c r="V62" s="1949"/>
      <c r="W62" s="1949"/>
      <c r="X62" s="1949"/>
      <c r="Y62" s="1949"/>
      <c r="Z62" s="1949"/>
      <c r="AC62" s="2187" t="str">
        <f>'PIM Model'!$AD$16</f>
        <v/>
      </c>
      <c r="AD62" s="2187"/>
      <c r="AE62" s="2187" t="str">
        <f>'PIM Model'!$D$16</f>
        <v>%</v>
      </c>
      <c r="AF62" s="2187"/>
      <c r="AG62" s="2187" t="str">
        <f>'PIM Model'!$D$16</f>
        <v>%</v>
      </c>
      <c r="AH62" s="2187"/>
      <c r="AI62" s="2184" t="str">
        <f>'PIM Model'!$D$16</f>
        <v>%</v>
      </c>
      <c r="AJ62" s="218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49" t="s">
        <v>97</v>
      </c>
      <c r="D63" s="1949"/>
      <c r="E63" s="1949"/>
      <c r="F63" s="1949"/>
      <c r="G63" s="1949"/>
      <c r="H63" s="1949"/>
      <c r="I63" s="1949"/>
      <c r="J63" s="1949"/>
      <c r="K63" s="1949"/>
      <c r="L63" s="1949"/>
      <c r="M63" s="1949"/>
      <c r="N63" s="1949"/>
      <c r="O63" s="1949"/>
      <c r="P63" s="1949"/>
      <c r="Q63" s="1949"/>
      <c r="R63" s="1949"/>
      <c r="S63" s="1949"/>
      <c r="T63" s="1949"/>
      <c r="U63" s="1949"/>
      <c r="V63" s="1949"/>
      <c r="W63" s="1949"/>
      <c r="X63" s="1949"/>
      <c r="Y63" s="1949"/>
      <c r="Z63" s="1949"/>
      <c r="AC63" s="2187" t="str">
        <f>'PIM Model'!$AD$20</f>
        <v/>
      </c>
      <c r="AD63" s="2187"/>
      <c r="AE63" s="2187" t="str">
        <f>'PIM Model'!$D$20</f>
        <v>%</v>
      </c>
      <c r="AF63" s="2187"/>
      <c r="AG63" s="2187" t="str">
        <f>'PIM Model'!$D$20</f>
        <v>%</v>
      </c>
      <c r="AH63" s="2187"/>
      <c r="AI63" s="2184" t="str">
        <f>'PIM Model'!$D$20</f>
        <v>%</v>
      </c>
      <c r="AJ63" s="218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49" t="s">
        <v>96</v>
      </c>
      <c r="D64" s="1949"/>
      <c r="E64" s="1949"/>
      <c r="F64" s="1949"/>
      <c r="G64" s="1949"/>
      <c r="H64" s="1949"/>
      <c r="I64" s="1949"/>
      <c r="J64" s="1949"/>
      <c r="K64" s="1949"/>
      <c r="L64" s="1949"/>
      <c r="M64" s="1949"/>
      <c r="N64" s="1949"/>
      <c r="O64" s="1949"/>
      <c r="P64" s="1949"/>
      <c r="Q64" s="1949"/>
      <c r="R64" s="1949"/>
      <c r="S64" s="1949"/>
      <c r="T64" s="1949"/>
      <c r="U64" s="1949"/>
      <c r="V64" s="1949"/>
      <c r="W64" s="1949"/>
      <c r="X64" s="1949"/>
      <c r="Y64" s="1949"/>
      <c r="Z64" s="1949"/>
      <c r="AC64" s="2187" t="str">
        <f>'PIM Model'!$AD$18</f>
        <v/>
      </c>
      <c r="AD64" s="2187"/>
      <c r="AE64" s="2187" t="str">
        <f>'PIM Model'!$D$18</f>
        <v>%</v>
      </c>
      <c r="AF64" s="2187"/>
      <c r="AG64" s="2187" t="str">
        <f>'PIM Model'!$D$18</f>
        <v>%</v>
      </c>
      <c r="AH64" s="2187"/>
      <c r="AI64" s="2184" t="str">
        <f>'PIM Model'!$D$18</f>
        <v>%</v>
      </c>
      <c r="AJ64" s="218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49" t="s">
        <v>95</v>
      </c>
      <c r="D65" s="1949"/>
      <c r="E65" s="1949"/>
      <c r="F65" s="1949"/>
      <c r="G65" s="1949"/>
      <c r="H65" s="1949"/>
      <c r="I65" s="1949"/>
      <c r="J65" s="1949"/>
      <c r="K65" s="1949"/>
      <c r="L65" s="1949"/>
      <c r="M65" s="1949"/>
      <c r="N65" s="1949"/>
      <c r="O65" s="1949"/>
      <c r="P65" s="1949"/>
      <c r="Q65" s="1949"/>
      <c r="R65" s="1949"/>
      <c r="S65" s="1949"/>
      <c r="T65" s="1949"/>
      <c r="U65" s="1949"/>
      <c r="V65" s="1949"/>
      <c r="W65" s="1949"/>
      <c r="X65" s="1949"/>
      <c r="Y65" s="1949"/>
      <c r="Z65" s="1949"/>
      <c r="AC65" s="2187" t="str">
        <f>'PIM Model'!$AD$17</f>
        <v/>
      </c>
      <c r="AD65" s="2187"/>
      <c r="AE65" s="2187" t="str">
        <f>'PIM Model'!$D$17</f>
        <v>%</v>
      </c>
      <c r="AF65" s="2187"/>
      <c r="AG65" s="2187" t="str">
        <f>'PIM Model'!$D$17</f>
        <v>%</v>
      </c>
      <c r="AH65" s="2187"/>
      <c r="AI65" s="2184" t="str">
        <f>'PIM Model'!$D$17</f>
        <v>%</v>
      </c>
      <c r="AJ65" s="218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49" t="s">
        <v>94</v>
      </c>
      <c r="D66" s="1949"/>
      <c r="E66" s="1949"/>
      <c r="F66" s="1949"/>
      <c r="G66" s="1949"/>
      <c r="H66" s="1949"/>
      <c r="I66" s="1949"/>
      <c r="J66" s="1949"/>
      <c r="K66" s="1949"/>
      <c r="L66" s="1949"/>
      <c r="M66" s="1949"/>
      <c r="N66" s="1949"/>
      <c r="O66" s="1949"/>
      <c r="P66" s="1949"/>
      <c r="Q66" s="1949"/>
      <c r="R66" s="1949"/>
      <c r="S66" s="1949"/>
      <c r="T66" s="1949"/>
      <c r="U66" s="1949"/>
      <c r="V66" s="1949"/>
      <c r="W66" s="1949"/>
      <c r="X66" s="1949"/>
      <c r="Y66" s="1949"/>
      <c r="Z66" s="1949"/>
      <c r="AC66" s="2187" t="str">
        <f>'PIM Model'!$AD$27</f>
        <v/>
      </c>
      <c r="AD66" s="2187"/>
      <c r="AE66" s="2187" t="str">
        <f>'PIM Model'!$D$27</f>
        <v>%</v>
      </c>
      <c r="AF66" s="2187"/>
      <c r="AG66" s="2187" t="str">
        <f>'PIM Model'!$D$27</f>
        <v>%</v>
      </c>
      <c r="AH66" s="2187"/>
      <c r="AI66" s="2184" t="str">
        <f>'PIM Model'!$D$27</f>
        <v>%</v>
      </c>
      <c r="AJ66" s="218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84" t="s">
        <v>688</v>
      </c>
      <c r="F67" s="2184"/>
      <c r="G67" s="2184"/>
      <c r="H67" s="2184"/>
      <c r="I67" s="2184"/>
      <c r="J67" s="2184"/>
      <c r="K67" s="2184"/>
      <c r="M67" s="2185" t="str">
        <f>'Pricing Schedule'!$F$21</f>
        <v>T</v>
      </c>
      <c r="N67" s="2185"/>
      <c r="O67" s="2185"/>
      <c r="P67" t="s">
        <v>646</v>
      </c>
      <c r="S67" s="2186"/>
      <c r="T67" s="2186"/>
      <c r="U67" s="2186"/>
      <c r="V67" s="2184" t="s">
        <v>648</v>
      </c>
      <c r="W67" s="218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49" t="s">
        <v>93</v>
      </c>
      <c r="D68" s="1949"/>
      <c r="E68" s="1949"/>
      <c r="F68" s="1949"/>
      <c r="G68" s="1949"/>
      <c r="H68" s="1949"/>
      <c r="I68" s="1949"/>
      <c r="J68" s="1949"/>
      <c r="K68" s="1949"/>
      <c r="L68" s="1949"/>
      <c r="M68" s="1949"/>
      <c r="N68" s="1949"/>
      <c r="O68" s="1949"/>
      <c r="P68" s="1949"/>
      <c r="Q68" s="1949"/>
      <c r="R68" s="1949"/>
      <c r="S68" s="1949"/>
      <c r="T68" s="1949"/>
      <c r="U68" s="1949"/>
      <c r="V68" s="1949"/>
      <c r="W68" s="1949"/>
      <c r="X68" s="1949"/>
      <c r="Y68" s="1949"/>
      <c r="Z68" s="1949"/>
      <c r="AC68" s="2187" t="str">
        <f>'PIM Model'!$AD$21</f>
        <v/>
      </c>
      <c r="AD68" s="2187"/>
      <c r="AE68" s="2187" t="str">
        <f>'PIM Model'!$D$21</f>
        <v>%</v>
      </c>
      <c r="AF68" s="2187"/>
      <c r="AG68" s="2187" t="str">
        <f>'PIM Model'!$D$21</f>
        <v>%</v>
      </c>
      <c r="AH68" s="2187"/>
      <c r="AI68" s="2184" t="str">
        <f>'PIM Model'!$D$21</f>
        <v>%</v>
      </c>
      <c r="AJ68" s="218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49" t="s">
        <v>92</v>
      </c>
      <c r="D69" s="1949"/>
      <c r="E69" s="1949"/>
      <c r="F69" s="1949"/>
      <c r="G69" s="1949"/>
      <c r="H69" s="1949"/>
      <c r="I69" s="1949"/>
      <c r="J69" s="1949"/>
      <c r="K69" s="1949"/>
      <c r="L69" s="1949"/>
      <c r="M69" s="1949"/>
      <c r="N69" s="1949"/>
      <c r="O69" s="1949"/>
      <c r="P69" s="1949"/>
      <c r="Q69" s="1949"/>
      <c r="R69" s="1949"/>
      <c r="S69" s="1949"/>
      <c r="T69" s="1949"/>
      <c r="U69" s="1949"/>
      <c r="V69" s="1949"/>
      <c r="W69" s="1949"/>
      <c r="X69" s="1949"/>
      <c r="Y69" s="1949"/>
      <c r="Z69" s="1949"/>
      <c r="AC69" s="2187" t="str">
        <f>'PIM Model'!$AD$23</f>
        <v/>
      </c>
      <c r="AD69" s="2187"/>
      <c r="AE69" s="2187" t="str">
        <f>'PIM Model'!$D$23</f>
        <v>%</v>
      </c>
      <c r="AF69" s="2187"/>
      <c r="AG69" s="2187" t="str">
        <f>'PIM Model'!$D$23</f>
        <v>%</v>
      </c>
      <c r="AH69" s="2187"/>
      <c r="AI69" s="2184" t="str">
        <f>'PIM Model'!$D$23</f>
        <v>%</v>
      </c>
      <c r="AJ69" s="218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49" t="s">
        <v>91</v>
      </c>
      <c r="D70" s="1949"/>
      <c r="E70" s="1949"/>
      <c r="F70" s="1949"/>
      <c r="G70" s="1949"/>
      <c r="H70" s="1949"/>
      <c r="I70" s="1949"/>
      <c r="J70" s="1949"/>
      <c r="K70" s="1949"/>
      <c r="L70" s="1949"/>
      <c r="M70" s="1949"/>
      <c r="N70" s="1949"/>
      <c r="O70" s="1949"/>
      <c r="P70" s="1949"/>
      <c r="Q70" s="1949"/>
      <c r="R70" s="1949"/>
      <c r="S70" s="1949"/>
      <c r="T70" s="1949"/>
      <c r="U70" s="1949"/>
      <c r="V70" s="1949"/>
      <c r="W70" s="1949"/>
      <c r="X70" s="1949"/>
      <c r="Y70" s="1949"/>
      <c r="Z70" s="1949"/>
      <c r="AC70" s="2187" t="str">
        <f>'PIM Model'!$AD$24</f>
        <v/>
      </c>
      <c r="AD70" s="2187"/>
      <c r="AE70" s="2187" t="str">
        <f>'PIM Model'!$D$24</f>
        <v>%</v>
      </c>
      <c r="AF70" s="2187"/>
      <c r="AG70" s="2187" t="str">
        <f>'PIM Model'!$D$24</f>
        <v>%</v>
      </c>
      <c r="AH70" s="2187"/>
      <c r="AI70" s="2184" t="str">
        <f>'PIM Model'!$D$24</f>
        <v>%</v>
      </c>
      <c r="AJ70" s="2184"/>
      <c r="AK70" s="134"/>
      <c r="AL70" s="134"/>
      <c r="AM70" s="134"/>
      <c r="AN70" s="134"/>
      <c r="AO70" s="2031"/>
      <c r="AP70" s="2031"/>
      <c r="AQ70" s="2031"/>
      <c r="AR70" s="134"/>
      <c r="AS70" s="134"/>
      <c r="AT70" s="2031"/>
      <c r="AU70" s="2031"/>
      <c r="AV70" s="2031"/>
      <c r="AW70" s="134"/>
      <c r="AX70" s="134"/>
      <c r="AY70" s="2031"/>
      <c r="AZ70" s="2031"/>
      <c r="BA70" s="2031"/>
      <c r="BB70" s="134"/>
      <c r="BC70" s="134"/>
      <c r="BD70" s="2031"/>
      <c r="BE70" s="2031"/>
      <c r="BF70" s="2164"/>
    </row>
    <row r="71" spans="2:70" x14ac:dyDescent="0.25">
      <c r="B71" s="137"/>
      <c r="C71" s="1949" t="s">
        <v>90</v>
      </c>
      <c r="D71" s="1949"/>
      <c r="E71" s="1949"/>
      <c r="F71" s="1949"/>
      <c r="G71" s="1949"/>
      <c r="H71" s="1949"/>
      <c r="I71" s="1949"/>
      <c r="J71" s="1949"/>
      <c r="K71" s="1949"/>
      <c r="L71" s="1949"/>
      <c r="M71" s="1949"/>
      <c r="N71" s="1949"/>
      <c r="O71" s="1949"/>
      <c r="P71" s="1949"/>
      <c r="Q71" s="1949"/>
      <c r="R71" s="1949"/>
      <c r="S71" s="1949"/>
      <c r="T71" s="1949"/>
      <c r="U71" s="1949"/>
      <c r="V71" s="1949"/>
      <c r="W71" s="1949"/>
      <c r="X71" s="1949"/>
      <c r="Y71" s="1949"/>
      <c r="Z71" s="1949"/>
      <c r="AC71" s="2187" t="str">
        <f>'PIM Model'!$AD$25</f>
        <v/>
      </c>
      <c r="AD71" s="2187"/>
      <c r="AE71" s="2187" t="str">
        <f>'PIM Model'!$D$25</f>
        <v>%</v>
      </c>
      <c r="AF71" s="2187"/>
      <c r="AG71" s="2187" t="str">
        <f>'PIM Model'!$D$25</f>
        <v>%</v>
      </c>
      <c r="AH71" s="2187"/>
      <c r="AI71" s="2184" t="str">
        <f>'PIM Model'!$D$25</f>
        <v>%</v>
      </c>
      <c r="AJ71" s="2184"/>
      <c r="AK71" s="134"/>
      <c r="AL71" s="134"/>
      <c r="AM71" s="134"/>
      <c r="AN71" s="134"/>
      <c r="AO71" s="2031"/>
      <c r="AP71" s="2031"/>
      <c r="AQ71" s="2031"/>
      <c r="AR71" s="134"/>
      <c r="AS71" s="134"/>
      <c r="AT71" s="2031"/>
      <c r="AU71" s="2031"/>
      <c r="AV71" s="2031"/>
      <c r="AW71" s="134"/>
      <c r="AX71" s="134"/>
      <c r="AY71" s="2031"/>
      <c r="AZ71" s="2031"/>
      <c r="BA71" s="2031"/>
      <c r="BB71" s="134"/>
      <c r="BC71" s="134"/>
      <c r="BD71" s="2031"/>
      <c r="BE71" s="2031"/>
      <c r="BF71" s="2164"/>
    </row>
    <row r="72" spans="2:70" x14ac:dyDescent="0.25">
      <c r="B72" s="137"/>
      <c r="C72" s="1949" t="s">
        <v>89</v>
      </c>
      <c r="D72" s="1949"/>
      <c r="E72" s="1949"/>
      <c r="F72" s="1949"/>
      <c r="G72" s="1949"/>
      <c r="H72" s="1949"/>
      <c r="I72" s="1949"/>
      <c r="J72" s="1949"/>
      <c r="K72" s="1949"/>
      <c r="L72" s="1949"/>
      <c r="M72" s="1949"/>
      <c r="N72" s="1949"/>
      <c r="O72" s="1949"/>
      <c r="P72" s="1949"/>
      <c r="Q72" s="1949"/>
      <c r="R72" s="1949"/>
      <c r="S72" s="1949"/>
      <c r="T72" s="1949"/>
      <c r="U72" s="1949"/>
      <c r="V72" s="1949"/>
      <c r="W72" s="1949"/>
      <c r="X72" s="1949"/>
      <c r="Y72" s="1949"/>
      <c r="Z72" s="1949"/>
      <c r="AC72" s="2187" t="str">
        <f>'PIM Model'!$AD$26</f>
        <v/>
      </c>
      <c r="AD72" s="2187"/>
      <c r="AE72" s="2187" t="str">
        <f>'PIM Model'!$D$26</f>
        <v>%</v>
      </c>
      <c r="AF72" s="2187"/>
      <c r="AG72" s="2187" t="str">
        <f>'PIM Model'!$D$26</f>
        <v>%</v>
      </c>
      <c r="AH72" s="2187"/>
      <c r="AI72" s="2184" t="str">
        <f>'PIM Model'!$D$26</f>
        <v>%</v>
      </c>
      <c r="AJ72" s="2184"/>
      <c r="AK72" s="134"/>
      <c r="AL72" s="134"/>
      <c r="AM72" s="134"/>
      <c r="AN72" s="134"/>
      <c r="AO72" s="2031"/>
      <c r="AP72" s="2031"/>
      <c r="AQ72" s="2031"/>
      <c r="AR72" s="134"/>
      <c r="AS72" s="134"/>
      <c r="AT72" s="2031"/>
      <c r="AU72" s="2031"/>
      <c r="AV72" s="2031"/>
      <c r="AW72" s="134"/>
      <c r="AX72" s="134"/>
      <c r="AY72" s="2031"/>
      <c r="AZ72" s="2031"/>
      <c r="BA72" s="2031"/>
      <c r="BB72" s="134"/>
      <c r="BC72" s="134"/>
      <c r="BD72" s="2031"/>
      <c r="BE72" s="2031"/>
      <c r="BF72" s="2164"/>
    </row>
    <row r="73" spans="2:70" x14ac:dyDescent="0.25">
      <c r="B73" s="137"/>
      <c r="C73" s="1949" t="s">
        <v>88</v>
      </c>
      <c r="D73" s="1949"/>
      <c r="E73" s="1949"/>
      <c r="F73" s="1949"/>
      <c r="G73" s="1949"/>
      <c r="H73" s="1949"/>
      <c r="I73" s="1949"/>
      <c r="J73" s="1949"/>
      <c r="K73" s="1949"/>
      <c r="L73" s="1949"/>
      <c r="M73" s="1949"/>
      <c r="N73" s="1949"/>
      <c r="O73" s="1949"/>
      <c r="P73" s="1949"/>
      <c r="Q73" s="1949"/>
      <c r="R73" s="1949"/>
      <c r="S73" s="1949"/>
      <c r="T73" s="1949"/>
      <c r="U73" s="1949"/>
      <c r="V73" s="1949"/>
      <c r="W73" s="1949"/>
      <c r="X73" s="1949"/>
      <c r="Y73" s="1949"/>
      <c r="Z73" s="1949"/>
      <c r="AC73" s="2187" t="str">
        <f>'PIM Model'!$AD$29</f>
        <v/>
      </c>
      <c r="AD73" s="2187"/>
      <c r="AE73" s="2187" t="str">
        <f>'PIM Model'!$D$29</f>
        <v>%</v>
      </c>
      <c r="AF73" s="2187"/>
      <c r="AG73" s="2187" t="str">
        <f>'PIM Model'!$D$29</f>
        <v>%</v>
      </c>
      <c r="AH73" s="2187"/>
      <c r="AI73" s="2184" t="str">
        <f>'PIM Model'!$D$29</f>
        <v>%</v>
      </c>
      <c r="AJ73" s="2184"/>
      <c r="AK73" s="134"/>
      <c r="AL73" s="134"/>
      <c r="AM73" s="134"/>
      <c r="AN73" s="134"/>
      <c r="AO73" s="2031"/>
      <c r="AP73" s="2031"/>
      <c r="AQ73" s="2031"/>
      <c r="AR73" s="134"/>
      <c r="AS73" s="134"/>
      <c r="AT73" s="2031"/>
      <c r="AU73" s="2031"/>
      <c r="AV73" s="2031"/>
      <c r="AW73" s="134"/>
      <c r="AX73" s="134"/>
      <c r="AY73" s="2031"/>
      <c r="AZ73" s="2031"/>
      <c r="BA73" s="2031"/>
      <c r="BB73" s="134"/>
      <c r="BC73" s="134"/>
      <c r="BD73" s="2031"/>
      <c r="BE73" s="2031"/>
      <c r="BF73" s="2164"/>
    </row>
    <row r="74" spans="2:70" x14ac:dyDescent="0.25">
      <c r="B74" s="137"/>
      <c r="C74" s="1949" t="s">
        <v>87</v>
      </c>
      <c r="D74" s="1949"/>
      <c r="E74" s="1949"/>
      <c r="F74" s="1949"/>
      <c r="G74" s="1949"/>
      <c r="H74" s="1949"/>
      <c r="I74" s="1949"/>
      <c r="J74" s="1949"/>
      <c r="K74" s="1949"/>
      <c r="L74" s="1949"/>
      <c r="M74" s="1949"/>
      <c r="N74" s="1949"/>
      <c r="O74" s="1949"/>
      <c r="P74" s="1949"/>
      <c r="Q74" s="1949"/>
      <c r="R74" s="1949"/>
      <c r="S74" s="1949"/>
      <c r="T74" s="1949"/>
      <c r="U74" s="1949"/>
      <c r="V74" s="1949"/>
      <c r="W74" s="1949"/>
      <c r="X74" s="1949"/>
      <c r="Y74" s="1949"/>
      <c r="Z74" s="1949"/>
      <c r="AC74" s="2187" t="str">
        <f>'PIM Model'!$AD$30</f>
        <v/>
      </c>
      <c r="AD74" s="2187"/>
      <c r="AE74" s="2187" t="str">
        <f>'PIM Model'!$D$30</f>
        <v>%</v>
      </c>
      <c r="AF74" s="2187"/>
      <c r="AG74" s="2187" t="str">
        <f>'PIM Model'!$D$30</f>
        <v>%</v>
      </c>
      <c r="AH74" s="2187"/>
      <c r="AI74" s="2184" t="str">
        <f>'PIM Model'!$D$30</f>
        <v>%</v>
      </c>
      <c r="AJ74" s="2184"/>
      <c r="AK74" s="134"/>
      <c r="AL74" s="134"/>
      <c r="AM74" s="134"/>
      <c r="AN74" s="134"/>
      <c r="AO74" s="2031"/>
      <c r="AP74" s="2031"/>
      <c r="AQ74" s="2031"/>
      <c r="AR74" s="134"/>
      <c r="AS74" s="134"/>
      <c r="AT74" s="2031"/>
      <c r="AU74" s="2031"/>
      <c r="AV74" s="2031"/>
      <c r="AW74" s="134"/>
      <c r="AX74" s="134"/>
      <c r="AY74" s="2031"/>
      <c r="AZ74" s="2031"/>
      <c r="BA74" s="2031"/>
      <c r="BB74" s="134"/>
      <c r="BC74" s="134"/>
      <c r="BD74" s="2031"/>
      <c r="BE74" s="2031"/>
      <c r="BF74" s="2164"/>
    </row>
    <row r="75" spans="2:70" x14ac:dyDescent="0.25">
      <c r="B75" s="137"/>
      <c r="C75" s="1949" t="s">
        <v>86</v>
      </c>
      <c r="D75" s="1949"/>
      <c r="E75" s="1949"/>
      <c r="F75" s="1949"/>
      <c r="G75" s="1949"/>
      <c r="H75" s="1949"/>
      <c r="I75" s="1949"/>
      <c r="J75" s="1949"/>
      <c r="K75" s="1949"/>
      <c r="L75" s="1949"/>
      <c r="M75" s="1949"/>
      <c r="N75" s="1949"/>
      <c r="O75" s="1949"/>
      <c r="P75" s="1949"/>
      <c r="Q75" s="1949"/>
      <c r="R75" s="1949"/>
      <c r="S75" s="1949"/>
      <c r="T75" s="1949"/>
      <c r="U75" s="1949"/>
      <c r="V75" s="1949"/>
      <c r="W75" s="1949"/>
      <c r="X75" s="1949"/>
      <c r="Y75" s="1949"/>
      <c r="Z75" s="1949"/>
      <c r="AC75" s="2187" t="str">
        <f>'PIM Model'!$AD$28</f>
        <v/>
      </c>
      <c r="AD75" s="2187"/>
      <c r="AE75" s="2187" t="str">
        <f>'PIM Model'!$D$28</f>
        <v>%</v>
      </c>
      <c r="AF75" s="2187"/>
      <c r="AG75" s="2187" t="str">
        <f>'PIM Model'!$D$28</f>
        <v>%</v>
      </c>
      <c r="AH75" s="2187"/>
      <c r="AI75" s="2184" t="str">
        <f>'PIM Model'!$D$28</f>
        <v>%</v>
      </c>
      <c r="AJ75" s="2184"/>
      <c r="BF75" s="138"/>
    </row>
    <row r="76" spans="2:70" x14ac:dyDescent="0.25">
      <c r="B76" s="137"/>
      <c r="C76" s="1949" t="s">
        <v>105</v>
      </c>
      <c r="D76" s="1949"/>
      <c r="E76" s="1949"/>
      <c r="F76" s="1949"/>
      <c r="G76" s="1949"/>
      <c r="H76" s="1949"/>
      <c r="I76" s="1949"/>
      <c r="J76" s="1949"/>
      <c r="K76" s="1949"/>
      <c r="L76" s="1949"/>
      <c r="M76" s="1949"/>
      <c r="N76" s="1949"/>
      <c r="O76" s="1949"/>
      <c r="P76" s="1949"/>
      <c r="Q76" s="1949"/>
      <c r="R76" s="1949"/>
      <c r="S76" s="1949"/>
      <c r="T76" s="1949"/>
      <c r="U76" s="1949"/>
      <c r="V76" s="1949"/>
      <c r="W76" s="1949"/>
      <c r="X76" s="1949"/>
      <c r="Y76" s="1949"/>
      <c r="Z76" s="1949"/>
      <c r="AC76" s="2187" t="str">
        <f>'PIM Model'!$AD$22</f>
        <v/>
      </c>
      <c r="AD76" s="2187"/>
      <c r="AE76" s="2187" t="str">
        <f>'PIM Model'!$D$22</f>
        <v>%</v>
      </c>
      <c r="AF76" s="2187"/>
      <c r="AG76" s="2187" t="str">
        <f>'PIM Model'!$D$22</f>
        <v>%</v>
      </c>
      <c r="AH76" s="2187"/>
      <c r="AI76" s="2184" t="str">
        <f>'PIM Model'!$D$22</f>
        <v>%</v>
      </c>
      <c r="AJ76" s="2184"/>
      <c r="BF76" s="138"/>
    </row>
    <row r="77" spans="2:70" x14ac:dyDescent="0.25">
      <c r="B77" s="549"/>
      <c r="C77" s="2189" t="s">
        <v>719</v>
      </c>
      <c r="D77" s="2189"/>
      <c r="E77" s="2189"/>
      <c r="F77" s="2189"/>
      <c r="G77" s="2189"/>
      <c r="H77" s="2189"/>
      <c r="I77" s="2189"/>
      <c r="J77" s="2189"/>
      <c r="K77" s="2189"/>
      <c r="L77" s="2189"/>
      <c r="M77" s="2189"/>
      <c r="N77" s="2189"/>
      <c r="O77" s="2189"/>
      <c r="P77" s="2189"/>
      <c r="Q77" s="2189"/>
      <c r="R77" s="2189"/>
      <c r="S77" s="2189"/>
      <c r="T77" s="2189"/>
      <c r="U77" s="2189"/>
      <c r="V77" s="2189"/>
      <c r="W77" s="2189"/>
      <c r="X77" s="2189"/>
      <c r="Y77" s="2189"/>
      <c r="Z77" s="2189"/>
      <c r="AC77" s="2187" t="str">
        <f>'PIM Model'!$AD$12</f>
        <v/>
      </c>
      <c r="AD77" s="2187"/>
      <c r="AE77" s="2187" t="str">
        <f>'PIM Model'!$D$12</f>
        <v>%</v>
      </c>
      <c r="AF77" s="2187"/>
      <c r="AG77" s="2187" t="str">
        <f>'PIM Model'!$D$12</f>
        <v>%</v>
      </c>
      <c r="AH77" s="2187"/>
      <c r="AI77" s="2184" t="str">
        <f>'PIM Model'!$D$12</f>
        <v>%</v>
      </c>
      <c r="AJ77" s="2184"/>
      <c r="BF77" s="138"/>
    </row>
    <row r="78" spans="2:70" x14ac:dyDescent="0.25">
      <c r="B78" s="137"/>
      <c r="C78" s="2189" t="s">
        <v>720</v>
      </c>
      <c r="D78" s="2189"/>
      <c r="E78" s="2189"/>
      <c r="F78" s="2189"/>
      <c r="G78" s="2189"/>
      <c r="H78" s="2189"/>
      <c r="I78" s="2189"/>
      <c r="J78" s="2189"/>
      <c r="K78" s="2189"/>
      <c r="L78" s="2189"/>
      <c r="M78" s="2189"/>
      <c r="N78" s="2189"/>
      <c r="O78" s="2189"/>
      <c r="P78" s="2189"/>
      <c r="Q78" s="2189"/>
      <c r="R78" s="2189"/>
      <c r="S78" s="2189"/>
      <c r="T78" s="2189"/>
      <c r="U78" s="2189"/>
      <c r="V78" s="2189"/>
      <c r="W78" s="2189"/>
      <c r="X78" s="2189"/>
      <c r="Y78" s="2189"/>
      <c r="Z78" s="2189"/>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84" t="s">
        <v>687</v>
      </c>
      <c r="E81" s="2184"/>
      <c r="F81" s="2184"/>
      <c r="G81" s="2184"/>
      <c r="H81" s="2184"/>
      <c r="I81" s="2184"/>
      <c r="J81" s="2184"/>
      <c r="K81" s="2184"/>
      <c r="L81" s="2184"/>
      <c r="M81" s="2184"/>
      <c r="N81" s="2184"/>
      <c r="O81" s="2184"/>
      <c r="P81" s="2184"/>
      <c r="Q81" s="2184"/>
      <c r="R81" s="2184"/>
      <c r="S81" s="2184"/>
      <c r="T81" s="2184"/>
      <c r="U81" s="2184"/>
      <c r="V81" s="2184"/>
      <c r="W81" s="2184"/>
      <c r="X81" s="2184"/>
      <c r="Y81" s="2184"/>
      <c r="Z81" s="2184"/>
      <c r="AA81" s="2184"/>
      <c r="AB81" s="2184"/>
      <c r="AC81" s="2184"/>
      <c r="AD81" s="2184"/>
      <c r="AE81" s="2184"/>
      <c r="AF81" s="2184"/>
      <c r="AG81" s="2184"/>
      <c r="AH81" s="2184"/>
      <c r="AI81" s="2184"/>
      <c r="AJ81" s="2184"/>
      <c r="AK81" s="2184"/>
      <c r="AL81" s="2184"/>
      <c r="AM81" s="2184"/>
      <c r="AN81" s="2184"/>
      <c r="AO81" s="2184"/>
      <c r="AP81" s="2184"/>
      <c r="AQ81" s="2184"/>
      <c r="AR81" s="2184"/>
      <c r="AS81" s="2184"/>
      <c r="AT81" s="2184"/>
      <c r="AU81" s="2184"/>
      <c r="AV81" s="2184"/>
      <c r="AW81" s="2184"/>
      <c r="AX81" s="2184"/>
      <c r="AY81" s="2184"/>
      <c r="AZ81" s="2184"/>
      <c r="BA81" s="2184"/>
      <c r="BB81" s="2184"/>
      <c r="BC81" s="2184"/>
      <c r="BD81" s="2184"/>
      <c r="BF81" s="138"/>
    </row>
    <row r="82" spans="1:70" x14ac:dyDescent="0.25">
      <c r="B82" s="137"/>
      <c r="D82" s="2185" t="s">
        <v>239</v>
      </c>
      <c r="E82" s="2185"/>
      <c r="F82" s="2184" t="s">
        <v>686</v>
      </c>
      <c r="G82" s="2184"/>
      <c r="H82" s="2184"/>
      <c r="I82" s="2184"/>
      <c r="J82" s="2184"/>
      <c r="K82" s="2184"/>
      <c r="L82" s="2184"/>
      <c r="M82" s="2184"/>
      <c r="N82" s="2184"/>
      <c r="O82" s="2184"/>
      <c r="P82" s="2184"/>
      <c r="Q82" s="2184"/>
      <c r="R82" s="2184"/>
      <c r="S82" s="2184"/>
      <c r="T82" s="2184"/>
      <c r="U82" s="2184"/>
      <c r="V82" s="2184"/>
      <c r="W82" s="2184"/>
      <c r="X82" s="2184"/>
      <c r="Y82" s="2184"/>
      <c r="Z82" s="2184"/>
      <c r="AA82" s="2184"/>
      <c r="AB82" s="2184"/>
      <c r="AC82" s="2184"/>
      <c r="AD82" s="2184"/>
      <c r="AE82" s="2184"/>
      <c r="AF82" s="2184"/>
      <c r="AG82" s="2184"/>
      <c r="AH82" s="2184"/>
      <c r="AI82" s="2184"/>
      <c r="AJ82" s="2184"/>
      <c r="AK82" s="2184"/>
      <c r="AL82" s="2184"/>
      <c r="AM82" s="2184"/>
      <c r="AN82" s="2184"/>
      <c r="AO82" s="2184"/>
      <c r="AP82" s="2184"/>
      <c r="AQ82" s="2184"/>
      <c r="AR82" s="2184"/>
      <c r="AS82" s="2184"/>
      <c r="AT82" s="2184"/>
      <c r="AU82" s="2184"/>
      <c r="AV82" s="2184"/>
      <c r="AW82" s="2184"/>
      <c r="AX82" s="2184"/>
      <c r="AY82" s="2184"/>
      <c r="AZ82" s="2184"/>
      <c r="BA82" s="2184"/>
      <c r="BB82" s="2184"/>
      <c r="BC82" s="2184"/>
      <c r="BD82" s="2184"/>
      <c r="BF82" s="138"/>
    </row>
    <row r="83" spans="1:70" x14ac:dyDescent="0.25">
      <c r="B83" s="137"/>
      <c r="D83" s="2186"/>
      <c r="E83" s="2186"/>
      <c r="F83" s="2184" t="s">
        <v>685</v>
      </c>
      <c r="G83" s="2184"/>
      <c r="H83" s="2184"/>
      <c r="I83" s="2184"/>
      <c r="J83" s="2184"/>
      <c r="K83" s="2184"/>
      <c r="L83" s="2184"/>
      <c r="M83" s="2184"/>
      <c r="N83" s="2184"/>
      <c r="O83" s="2184"/>
      <c r="P83" s="2184"/>
      <c r="Q83" s="2184"/>
      <c r="R83" s="2184"/>
      <c r="S83" s="2184"/>
      <c r="T83" s="2184"/>
      <c r="U83" s="2184"/>
      <c r="V83" s="2184"/>
      <c r="W83" s="2184"/>
      <c r="X83" s="2184"/>
      <c r="Y83" s="2184"/>
      <c r="Z83" s="2184"/>
      <c r="AA83" s="2184"/>
      <c r="AB83" s="2184"/>
      <c r="AC83" s="2184"/>
      <c r="AD83" s="2184"/>
      <c r="AE83" s="2184"/>
      <c r="AF83" s="2184"/>
      <c r="AG83" s="2184"/>
      <c r="AH83" s="2184"/>
      <c r="AI83" s="2184"/>
      <c r="AJ83" s="2184"/>
      <c r="AK83" s="2184"/>
      <c r="AL83" s="2184"/>
      <c r="AM83" s="2184"/>
      <c r="AN83" s="2184"/>
      <c r="AO83" s="2184"/>
      <c r="AP83" s="2184"/>
      <c r="AQ83" s="2184"/>
      <c r="AR83" s="2184"/>
      <c r="AS83" s="2184"/>
      <c r="AT83" s="2184"/>
      <c r="AU83" s="2184"/>
      <c r="AV83" s="2184"/>
      <c r="AW83" s="2184"/>
      <c r="AX83" s="2184"/>
      <c r="AY83" s="2184"/>
      <c r="AZ83" s="2184"/>
      <c r="BA83" s="2184"/>
      <c r="BB83" s="2184"/>
      <c r="BC83" s="2184"/>
      <c r="BD83" s="2184"/>
      <c r="BF83" s="138"/>
    </row>
    <row r="84" spans="1:70" x14ac:dyDescent="0.25">
      <c r="A84" s="268"/>
      <c r="B84" s="137"/>
      <c r="D84" s="2186"/>
      <c r="E84" s="2186"/>
      <c r="F84" s="2184" t="s">
        <v>684</v>
      </c>
      <c r="G84" s="2184"/>
      <c r="H84" s="2184"/>
      <c r="I84" s="2184"/>
      <c r="J84" s="2184"/>
      <c r="K84" s="2184"/>
      <c r="L84" s="2184"/>
      <c r="M84" s="2184"/>
      <c r="N84" s="2184"/>
      <c r="O84" s="2184"/>
      <c r="P84" s="2184"/>
      <c r="Q84" s="2184"/>
      <c r="R84" s="2184"/>
      <c r="S84" s="2184"/>
      <c r="T84" s="2184"/>
      <c r="U84" s="2184"/>
      <c r="V84" s="2184"/>
      <c r="W84" s="2184"/>
      <c r="X84" s="2184"/>
      <c r="Y84" s="2184"/>
      <c r="Z84" s="2184"/>
      <c r="AA84" s="2184"/>
      <c r="AB84" s="2184"/>
      <c r="AC84" s="2184"/>
      <c r="AD84" s="2184"/>
      <c r="AE84" s="2184"/>
      <c r="AF84" s="2184"/>
      <c r="AG84" s="2184"/>
      <c r="AH84" s="2184"/>
      <c r="AI84" s="2184"/>
      <c r="AJ84" s="2184"/>
      <c r="AK84" s="2184"/>
      <c r="AL84" s="2184"/>
      <c r="AM84" s="2184"/>
      <c r="AN84" s="2184"/>
      <c r="AO84" s="2184"/>
      <c r="AP84" s="2184"/>
      <c r="AQ84" s="2184"/>
      <c r="AR84" s="2184"/>
      <c r="AS84" s="2184"/>
      <c r="AT84" s="2184"/>
      <c r="AU84" s="2184"/>
      <c r="AV84" s="2184"/>
      <c r="AW84" s="2184"/>
      <c r="AX84" s="2184"/>
      <c r="AY84" s="2184"/>
      <c r="AZ84" s="2184"/>
      <c r="BA84" s="2184"/>
      <c r="BB84" s="2184"/>
      <c r="BC84" s="2184"/>
      <c r="BD84" s="2184"/>
      <c r="BF84" s="138"/>
    </row>
    <row r="85" spans="1:70" x14ac:dyDescent="0.25">
      <c r="B85" s="137"/>
      <c r="BF85" s="138"/>
    </row>
    <row r="86" spans="1:70" x14ac:dyDescent="0.25">
      <c r="B86" s="137"/>
      <c r="D86" s="2184" t="s">
        <v>683</v>
      </c>
      <c r="E86" s="2184"/>
      <c r="F86" s="2184"/>
      <c r="G86" s="2184"/>
      <c r="H86" s="2184"/>
      <c r="I86" s="2184"/>
      <c r="J86" s="2184"/>
      <c r="K86" s="2184"/>
      <c r="L86" s="2184"/>
      <c r="M86" s="2184"/>
      <c r="N86" s="2184"/>
      <c r="O86" s="2184"/>
      <c r="P86" s="2184"/>
      <c r="Q86" s="2184"/>
      <c r="R86" s="2184"/>
      <c r="S86" s="2184"/>
      <c r="T86" s="2184"/>
      <c r="U86" s="2184"/>
      <c r="V86" s="2184"/>
      <c r="W86" s="2184"/>
      <c r="X86" s="2184"/>
      <c r="Y86" s="2184"/>
      <c r="Z86" s="2184"/>
      <c r="AA86" s="2184"/>
      <c r="AB86" s="2184"/>
      <c r="AC86" s="2184"/>
      <c r="AD86" s="2184"/>
      <c r="AE86" s="2184"/>
      <c r="AF86" s="2184"/>
      <c r="AG86" s="2184"/>
      <c r="AH86" s="2184"/>
      <c r="AI86" s="2184"/>
      <c r="AJ86" s="2184"/>
      <c r="AK86" s="2184"/>
      <c r="AL86" s="2184"/>
      <c r="AM86" s="2184"/>
      <c r="AN86" s="2184"/>
      <c r="AO86" s="2184"/>
      <c r="AP86" s="2184"/>
      <c r="AQ86" s="2184"/>
      <c r="AR86" s="2184"/>
      <c r="AS86" s="2184"/>
      <c r="AT86" s="2184"/>
      <c r="AU86" s="2184"/>
      <c r="AV86" s="2184"/>
      <c r="AW86" s="2184"/>
      <c r="AX86" s="2184"/>
      <c r="AY86" s="2184"/>
      <c r="AZ86" s="2184"/>
      <c r="BA86" s="2184"/>
      <c r="BB86" s="2184"/>
      <c r="BC86" s="2184"/>
      <c r="BD86" s="2184"/>
      <c r="BF86" s="138"/>
    </row>
    <row r="87" spans="1:70" x14ac:dyDescent="0.25">
      <c r="B87" s="137"/>
      <c r="D87" s="2185" t="s">
        <v>239</v>
      </c>
      <c r="E87" s="2185"/>
      <c r="F87" s="2184" t="s">
        <v>682</v>
      </c>
      <c r="G87" s="2184"/>
      <c r="H87" s="2184"/>
      <c r="I87" s="2184"/>
      <c r="J87" s="2184"/>
      <c r="K87" s="2184"/>
      <c r="L87" s="2184"/>
      <c r="M87" s="2184"/>
      <c r="N87" s="2184"/>
      <c r="O87" s="2184"/>
      <c r="P87" s="2184"/>
      <c r="Q87" s="2184"/>
      <c r="R87" s="2184"/>
      <c r="S87" s="2184"/>
      <c r="T87" s="2184"/>
      <c r="U87" s="2184"/>
      <c r="V87" s="2184"/>
      <c r="W87" s="2184"/>
      <c r="X87" s="2184"/>
      <c r="Y87" s="2184"/>
      <c r="Z87" s="2184"/>
      <c r="AA87" s="2184"/>
      <c r="AB87" s="2184"/>
      <c r="AC87" s="2184"/>
      <c r="AD87" s="2184"/>
      <c r="AE87" s="2184"/>
      <c r="AF87" s="2184"/>
      <c r="AG87" s="2184"/>
      <c r="AH87" s="2184"/>
      <c r="AI87" s="2184"/>
      <c r="AJ87" s="2184"/>
      <c r="AK87" s="2184"/>
      <c r="AL87" s="2184"/>
      <c r="AM87" s="2184"/>
      <c r="AN87" s="2184"/>
      <c r="AO87" s="2184"/>
      <c r="AP87" s="2184"/>
      <c r="AQ87" s="2184"/>
      <c r="AR87" s="2184"/>
      <c r="AS87" s="2184"/>
      <c r="AT87" s="2184"/>
      <c r="AU87" s="2184"/>
      <c r="AV87" s="2184"/>
      <c r="AW87" s="2184"/>
      <c r="AX87" s="2184"/>
      <c r="AY87" s="2184"/>
      <c r="AZ87" s="2184"/>
      <c r="BA87" s="2184"/>
      <c r="BB87" s="2184"/>
      <c r="BC87" s="2184"/>
      <c r="BD87" s="2184"/>
      <c r="BF87" s="138"/>
    </row>
    <row r="88" spans="1:70" x14ac:dyDescent="0.25">
      <c r="B88" s="137"/>
      <c r="D88" s="2186"/>
      <c r="E88" s="2186"/>
      <c r="F88" s="2184" t="s">
        <v>681</v>
      </c>
      <c r="G88" s="2184"/>
      <c r="H88" s="2184"/>
      <c r="I88" s="2184"/>
      <c r="J88" s="2184"/>
      <c r="K88" s="2184"/>
      <c r="L88" s="2184"/>
      <c r="M88" s="2184"/>
      <c r="N88" s="2184"/>
      <c r="O88" s="2184"/>
      <c r="P88" s="2184"/>
      <c r="Q88" s="2184"/>
      <c r="R88" s="2184"/>
      <c r="S88" s="2184"/>
      <c r="T88" s="2184"/>
      <c r="U88" s="2184"/>
      <c r="V88" s="2184"/>
      <c r="W88" s="2184"/>
      <c r="X88" s="2184"/>
      <c r="Y88" s="2184"/>
      <c r="Z88" s="2184"/>
      <c r="AA88" s="2184"/>
      <c r="AB88" s="2184"/>
      <c r="AC88" s="2184"/>
      <c r="AD88" s="2184"/>
      <c r="AE88" s="2184"/>
      <c r="AF88" s="2184"/>
      <c r="AG88" s="2184"/>
      <c r="AH88" s="2184"/>
      <c r="AI88" s="2184"/>
      <c r="AJ88" s="2184"/>
      <c r="AK88" s="2184"/>
      <c r="AL88" s="2184"/>
      <c r="AM88" s="2184"/>
      <c r="AN88" s="2184"/>
      <c r="AO88" s="2184"/>
      <c r="AP88" s="2184"/>
      <c r="AQ88" s="2184"/>
      <c r="AR88" s="2184"/>
      <c r="AS88" s="2184"/>
      <c r="AT88" s="2184"/>
      <c r="AU88" s="2184"/>
      <c r="AV88" s="2184"/>
      <c r="AW88" s="2184"/>
      <c r="AX88" s="2184"/>
      <c r="AY88" s="2184"/>
      <c r="AZ88" s="2184"/>
      <c r="BA88" s="2184"/>
      <c r="BB88" s="2184"/>
      <c r="BC88" s="2184"/>
      <c r="BD88" s="218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201" t="s">
        <v>952</v>
      </c>
      <c r="C92" s="2202"/>
      <c r="D92" s="2202"/>
      <c r="E92" s="2202"/>
      <c r="F92" s="2202"/>
      <c r="G92" s="2202"/>
      <c r="H92" s="2202"/>
      <c r="I92" s="2202"/>
      <c r="J92" s="2202"/>
      <c r="K92" s="2202"/>
      <c r="L92" s="2202"/>
      <c r="M92" s="2202"/>
      <c r="N92" s="2202"/>
      <c r="O92" s="2202"/>
      <c r="P92" s="2202"/>
      <c r="Q92" s="2202"/>
      <c r="R92" s="2202"/>
      <c r="S92" s="2202"/>
      <c r="T92" s="2202"/>
      <c r="U92" s="2202"/>
      <c r="V92" s="2202"/>
      <c r="W92" s="2202"/>
      <c r="X92" s="2202"/>
      <c r="Y92" s="2202"/>
      <c r="Z92" s="2202"/>
      <c r="AA92" s="2202"/>
      <c r="AB92" s="2202"/>
      <c r="AC92" s="2202"/>
      <c r="AD92" s="2202"/>
      <c r="AE92" s="2202"/>
      <c r="AF92" s="2202"/>
      <c r="AG92" s="2202"/>
      <c r="AH92" s="2202"/>
      <c r="AI92" s="2202"/>
      <c r="AJ92" s="2202"/>
      <c r="AK92" s="2202"/>
      <c r="AL92" s="2202"/>
      <c r="AM92" s="2202"/>
      <c r="AN92" s="2202"/>
      <c r="AO92" s="2202"/>
      <c r="AP92" s="2202"/>
      <c r="AQ92" s="2202"/>
      <c r="AR92" s="2202"/>
      <c r="AS92" s="2202"/>
      <c r="AT92" s="2202"/>
      <c r="AU92" s="2202"/>
      <c r="AV92" s="2202"/>
      <c r="AW92" s="2202"/>
      <c r="AX92" s="2202"/>
      <c r="AY92" s="2202"/>
      <c r="AZ92" s="2202"/>
      <c r="BA92" s="2202"/>
      <c r="BB92" s="2202"/>
      <c r="BC92" s="2202"/>
      <c r="BD92" s="2202"/>
      <c r="BE92" s="2202"/>
      <c r="BF92" s="2203"/>
    </row>
    <row r="93" spans="1:70" ht="15.75" thickBot="1" x14ac:dyDescent="0.3">
      <c r="B93" s="137"/>
      <c r="BF93" s="138"/>
      <c r="BR93" s="261"/>
    </row>
    <row r="94" spans="1:70" ht="15.75" thickBot="1" x14ac:dyDescent="0.3">
      <c r="B94" s="137"/>
      <c r="D94" s="2215" t="s">
        <v>723</v>
      </c>
      <c r="E94" s="2216"/>
      <c r="F94" s="2216"/>
      <c r="G94" s="2216"/>
      <c r="H94" s="2216"/>
      <c r="I94" s="2216"/>
      <c r="J94" s="2216"/>
      <c r="K94" s="2223" t="s">
        <v>724</v>
      </c>
      <c r="L94" s="2216"/>
      <c r="M94" s="2216"/>
      <c r="N94" s="2216"/>
      <c r="O94" s="2216"/>
      <c r="P94" s="2216"/>
      <c r="Q94" s="2216"/>
      <c r="R94" s="2216"/>
      <c r="S94" s="2216"/>
      <c r="T94" s="2216"/>
      <c r="U94" s="2223" t="s">
        <v>767</v>
      </c>
      <c r="V94" s="2216"/>
      <c r="W94" s="2216"/>
      <c r="X94" s="2216"/>
      <c r="Y94" s="2216"/>
      <c r="Z94" s="2216"/>
      <c r="AA94" s="2216"/>
      <c r="AB94" s="2216"/>
      <c r="AC94" s="2216"/>
      <c r="AD94" s="2216"/>
      <c r="AE94" s="2216"/>
      <c r="AF94" s="2216"/>
      <c r="AG94" s="2216"/>
      <c r="AH94" s="2216"/>
      <c r="AI94" s="2216"/>
      <c r="AJ94" s="2223" t="s">
        <v>768</v>
      </c>
      <c r="AK94" s="2216"/>
      <c r="AL94" s="2216"/>
      <c r="AM94" s="2216"/>
      <c r="AN94" s="2216"/>
      <c r="AO94" s="2216"/>
      <c r="AP94" s="2216"/>
      <c r="AQ94" s="2216"/>
      <c r="AR94" s="2216"/>
      <c r="AS94" s="2216"/>
      <c r="AT94" s="2235"/>
      <c r="AU94" s="2223" t="s">
        <v>769</v>
      </c>
      <c r="AV94" s="2216"/>
      <c r="AW94" s="2216"/>
      <c r="AX94" s="2235"/>
      <c r="AY94" s="2223" t="s">
        <v>810</v>
      </c>
      <c r="AZ94" s="2216"/>
      <c r="BA94" s="2216"/>
      <c r="BB94" s="2216"/>
      <c r="BC94" s="2245"/>
      <c r="BF94" s="138"/>
    </row>
    <row r="95" spans="1:70" x14ac:dyDescent="0.25">
      <c r="B95" s="137"/>
      <c r="C95" s="509">
        <v>1</v>
      </c>
      <c r="D95" s="2214">
        <f>'Customer Inputs'!$B$6</f>
        <v>0</v>
      </c>
      <c r="E95" s="2214"/>
      <c r="F95" s="2214"/>
      <c r="G95" s="2214"/>
      <c r="H95" s="2214"/>
      <c r="I95" s="2214"/>
      <c r="J95" s="2214"/>
      <c r="K95" s="2169" t="str">
        <f>IFERROR(IFERROR('Multi-Customer'!$BK$39,VLOOKUP($D95,'Required Info to Submit'!$E$19:$F$28,2,FALSE)),"")</f>
        <v/>
      </c>
      <c r="L95" s="2169"/>
      <c r="M95" s="2169"/>
      <c r="N95" s="2169"/>
      <c r="O95" s="2169"/>
      <c r="P95" s="2169"/>
      <c r="Q95" s="2169"/>
      <c r="R95" s="2169"/>
      <c r="S95" s="2169"/>
      <c r="T95" s="2169"/>
      <c r="U95" s="2169" t="str">
        <f>IFERROR(IFERROR('Multi-Customer'!$BK$41&amp;" "&amp;'Multi-Customer'!$BK$42,VLOOKUP($D95,'Required Info to Submit'!$E$19:$F$28,3,FALSE)),"")</f>
        <v/>
      </c>
      <c r="V95" s="2169"/>
      <c r="W95" s="2169"/>
      <c r="X95" s="2169"/>
      <c r="Y95" s="2169"/>
      <c r="Z95" s="2169"/>
      <c r="AA95" s="2169"/>
      <c r="AB95" s="2169"/>
      <c r="AC95" s="2169"/>
      <c r="AD95" s="2169"/>
      <c r="AE95" s="2169"/>
      <c r="AF95" s="2169"/>
      <c r="AG95" s="2169"/>
      <c r="AH95" s="2169"/>
      <c r="AI95" s="2169"/>
      <c r="AJ95" s="2232" t="str">
        <f>IFERROR(IFERROR('Multi-Customer'!$BK$43,VLOOKUP($D95,'Required Info to Submit'!$E$19:$F$28,4,FALSE)),"")</f>
        <v/>
      </c>
      <c r="AK95" s="2233"/>
      <c r="AL95" s="2233"/>
      <c r="AM95" s="2233"/>
      <c r="AN95" s="2233"/>
      <c r="AO95" s="2233"/>
      <c r="AP95" s="2233"/>
      <c r="AQ95" s="2233"/>
      <c r="AR95" s="2233"/>
      <c r="AS95" s="2233"/>
      <c r="AT95" s="2234"/>
      <c r="AU95" s="2236" t="str">
        <f>IFERROR(IFERROR('Multi-Customer'!$BK$44,VLOOKUP($D95,'Required Info to Submit'!$E$19:$F$28,5,FALSE)),"")</f>
        <v/>
      </c>
      <c r="AV95" s="2237"/>
      <c r="AW95" s="2237"/>
      <c r="AX95" s="2238"/>
      <c r="AY95" s="2242" t="str">
        <f>IFERROR(IFERROR('Multi-Customer'!$BK$45,VLOOKUP($D95,'Required Info to Submit'!$E$19:$F$28,6,FALSE)),"")</f>
        <v/>
      </c>
      <c r="AZ95" s="2243"/>
      <c r="BA95" s="2243"/>
      <c r="BB95" s="2243"/>
      <c r="BC95" s="2244"/>
      <c r="BF95" s="138"/>
    </row>
    <row r="96" spans="1:70" x14ac:dyDescent="0.25">
      <c r="B96" s="137"/>
      <c r="C96" s="510">
        <v>2</v>
      </c>
      <c r="D96" s="2213">
        <f>'Customer Inputs'!$B$7</f>
        <v>0</v>
      </c>
      <c r="E96" s="2213"/>
      <c r="F96" s="2213"/>
      <c r="G96" s="2213"/>
      <c r="H96" s="2213"/>
      <c r="I96" s="2213"/>
      <c r="J96" s="2213"/>
      <c r="K96" s="2155" t="str">
        <f>IFERROR(IFERROR('Multi-Customer'!$CH$39,VLOOKUP($D96,'Required Info to Submit'!$E$19:$F$28,2,FALSE)),"")</f>
        <v/>
      </c>
      <c r="L96" s="2155"/>
      <c r="M96" s="2155"/>
      <c r="N96" s="2155"/>
      <c r="O96" s="2155"/>
      <c r="P96" s="2155"/>
      <c r="Q96" s="2155"/>
      <c r="R96" s="2155"/>
      <c r="S96" s="2155"/>
      <c r="T96" s="2155"/>
      <c r="U96" s="2155" t="str">
        <f>IFERROR(IFERROR('Multi-Customer'!$CH$41&amp;" "&amp;'Multi-Customer'!$CH$42,VLOOKUP($D96,'Required Info to Submit'!$E$19:$F$28,3,FALSE)),"")</f>
        <v/>
      </c>
      <c r="V96" s="2155"/>
      <c r="W96" s="2155"/>
      <c r="X96" s="2155"/>
      <c r="Y96" s="2155"/>
      <c r="Z96" s="2155"/>
      <c r="AA96" s="2155"/>
      <c r="AB96" s="2155"/>
      <c r="AC96" s="2155"/>
      <c r="AD96" s="2155"/>
      <c r="AE96" s="2155"/>
      <c r="AF96" s="2155"/>
      <c r="AG96" s="2155"/>
      <c r="AH96" s="2155"/>
      <c r="AI96" s="2155"/>
      <c r="AJ96" s="2229" t="str">
        <f>IFERROR(IFERROR('Multi-Customer'!$CH$43,VLOOKUP($D96,'Required Info to Submit'!$E$19:$F$28,4,FALSE)),"")</f>
        <v/>
      </c>
      <c r="AK96" s="2230"/>
      <c r="AL96" s="2230"/>
      <c r="AM96" s="2230"/>
      <c r="AN96" s="2230"/>
      <c r="AO96" s="2230"/>
      <c r="AP96" s="2230"/>
      <c r="AQ96" s="2230"/>
      <c r="AR96" s="2230"/>
      <c r="AS96" s="2230"/>
      <c r="AT96" s="2231"/>
      <c r="AU96" s="2099" t="str">
        <f>IFERROR(IFERROR('Multi-Customer'!$CH$44,VLOOKUP($D96,'Required Info to Submit'!$E$19:$F$28,5,FALSE)),"")</f>
        <v/>
      </c>
      <c r="AV96" s="2100"/>
      <c r="AW96" s="2100"/>
      <c r="AX96" s="2101"/>
      <c r="AY96" s="2146" t="str">
        <f>IFERROR(IFERROR('Multi-Customer'!$CH$45,VLOOKUP($D96,'Required Info to Submit'!$E$19:$F$28,6,FALSE)),"")</f>
        <v/>
      </c>
      <c r="AZ96" s="2147"/>
      <c r="BA96" s="2147"/>
      <c r="BB96" s="2147"/>
      <c r="BC96" s="2148"/>
      <c r="BF96" s="138"/>
    </row>
    <row r="97" spans="2:58" x14ac:dyDescent="0.25">
      <c r="B97" s="137"/>
      <c r="C97" s="510">
        <v>3</v>
      </c>
      <c r="D97" s="2213">
        <f>'Customer Inputs'!$B$8</f>
        <v>0</v>
      </c>
      <c r="E97" s="2213"/>
      <c r="F97" s="2213"/>
      <c r="G97" s="2213"/>
      <c r="H97" s="2213"/>
      <c r="I97" s="2213"/>
      <c r="J97" s="2213"/>
      <c r="K97" s="2155" t="str">
        <f>IFERROR(IFERROR('Multi-Customer'!$DE$39,VLOOKUP($D97,'Required Info to Submit'!$E$19:$F$28,2,FALSE)),"")</f>
        <v/>
      </c>
      <c r="L97" s="2155"/>
      <c r="M97" s="2155"/>
      <c r="N97" s="2155"/>
      <c r="O97" s="2155"/>
      <c r="P97" s="2155"/>
      <c r="Q97" s="2155"/>
      <c r="R97" s="2155"/>
      <c r="S97" s="2155"/>
      <c r="T97" s="2155"/>
      <c r="U97" s="2155" t="str">
        <f>IFERROR(IFERROR('Multi-Customer'!$DE$41&amp;" "&amp;'Multi-Customer'!$DE$42,VLOOKUP($D97,'Required Info to Submit'!$E$19:$F$28,3,FALSE)),"")</f>
        <v/>
      </c>
      <c r="V97" s="2155"/>
      <c r="W97" s="2155"/>
      <c r="X97" s="2155"/>
      <c r="Y97" s="2155"/>
      <c r="Z97" s="2155"/>
      <c r="AA97" s="2155"/>
      <c r="AB97" s="2155"/>
      <c r="AC97" s="2155"/>
      <c r="AD97" s="2155"/>
      <c r="AE97" s="2155"/>
      <c r="AF97" s="2155"/>
      <c r="AG97" s="2155"/>
      <c r="AH97" s="2155"/>
      <c r="AI97" s="2155"/>
      <c r="AJ97" s="2229" t="str">
        <f>IFERROR(IFERROR('Multi-Customer'!$DE$43,VLOOKUP($D97,'Required Info to Submit'!$E$19:$F$28,4,FALSE)),"")</f>
        <v/>
      </c>
      <c r="AK97" s="2230"/>
      <c r="AL97" s="2230"/>
      <c r="AM97" s="2230"/>
      <c r="AN97" s="2230"/>
      <c r="AO97" s="2230"/>
      <c r="AP97" s="2230"/>
      <c r="AQ97" s="2230"/>
      <c r="AR97" s="2230"/>
      <c r="AS97" s="2230"/>
      <c r="AT97" s="2231"/>
      <c r="AU97" s="2099" t="str">
        <f>IFERROR(IFERROR('Multi-Customer'!$DE$44,VLOOKUP($D97,'Required Info to Submit'!$E$19:$F$28,5,FALSE)),"")</f>
        <v/>
      </c>
      <c r="AV97" s="2100"/>
      <c r="AW97" s="2100"/>
      <c r="AX97" s="2101"/>
      <c r="AY97" s="2146" t="str">
        <f>IFERROR(IFERROR('Multi-Customer'!$DE$45,VLOOKUP($D97,'Required Info to Submit'!$E$19:$F$28,6,FALSE)),"")</f>
        <v/>
      </c>
      <c r="AZ97" s="2147"/>
      <c r="BA97" s="2147"/>
      <c r="BB97" s="2147"/>
      <c r="BC97" s="2148"/>
      <c r="BF97" s="138"/>
    </row>
    <row r="98" spans="2:58" x14ac:dyDescent="0.25">
      <c r="B98" s="137"/>
      <c r="C98" s="510">
        <v>4</v>
      </c>
      <c r="D98" s="2213">
        <f>'Customer Inputs'!$B$9</f>
        <v>0</v>
      </c>
      <c r="E98" s="2213"/>
      <c r="F98" s="2213"/>
      <c r="G98" s="2213"/>
      <c r="H98" s="2213"/>
      <c r="I98" s="2213"/>
      <c r="J98" s="2213"/>
      <c r="K98" s="2155" t="str">
        <f>IFERROR(IFERROR('Multi-Customer'!$EB$39,VLOOKUP($D98,'Required Info to Submit'!$E$19:$F$28,2,FALSE)),"")</f>
        <v/>
      </c>
      <c r="L98" s="2155"/>
      <c r="M98" s="2155"/>
      <c r="N98" s="2155"/>
      <c r="O98" s="2155"/>
      <c r="P98" s="2155"/>
      <c r="Q98" s="2155"/>
      <c r="R98" s="2155"/>
      <c r="S98" s="2155"/>
      <c r="T98" s="2155"/>
      <c r="U98" s="2155" t="str">
        <f>IFERROR(IFERROR('Multi-Customer'!$EB$41&amp;" "&amp;'Multi-Customer'!$EB$42,VLOOKUP($D98,'Required Info to Submit'!$E$19:$F$28,3,FALSE)),"")</f>
        <v/>
      </c>
      <c r="V98" s="2155"/>
      <c r="W98" s="2155"/>
      <c r="X98" s="2155"/>
      <c r="Y98" s="2155"/>
      <c r="Z98" s="2155"/>
      <c r="AA98" s="2155"/>
      <c r="AB98" s="2155"/>
      <c r="AC98" s="2155"/>
      <c r="AD98" s="2155"/>
      <c r="AE98" s="2155"/>
      <c r="AF98" s="2155"/>
      <c r="AG98" s="2155"/>
      <c r="AH98" s="2155"/>
      <c r="AI98" s="2155"/>
      <c r="AJ98" s="2229" t="str">
        <f>IFERROR(IFERROR('Multi-Customer'!$EB$43,VLOOKUP($D98,'Required Info to Submit'!$E$19:$F$28,4,FALSE)),"")</f>
        <v/>
      </c>
      <c r="AK98" s="2230"/>
      <c r="AL98" s="2230"/>
      <c r="AM98" s="2230"/>
      <c r="AN98" s="2230"/>
      <c r="AO98" s="2230"/>
      <c r="AP98" s="2230"/>
      <c r="AQ98" s="2230"/>
      <c r="AR98" s="2230"/>
      <c r="AS98" s="2230"/>
      <c r="AT98" s="2231"/>
      <c r="AU98" s="2099" t="str">
        <f>IFERROR(IFERROR('Multi-Customer'!$EB$44,VLOOKUP($D98,'Required Info to Submit'!$E$19:$F$28,5,FALSE)),"")</f>
        <v/>
      </c>
      <c r="AV98" s="2100"/>
      <c r="AW98" s="2100"/>
      <c r="AX98" s="2101"/>
      <c r="AY98" s="2146" t="str">
        <f>IFERROR(IFERROR('Multi-Customer'!$EB$45,VLOOKUP($D98,'Required Info to Submit'!$E$19:$F$28,6,FALSE)),"")</f>
        <v/>
      </c>
      <c r="AZ98" s="2147"/>
      <c r="BA98" s="2147"/>
      <c r="BB98" s="2147"/>
      <c r="BC98" s="2148"/>
      <c r="BF98" s="138"/>
    </row>
    <row r="99" spans="2:58" x14ac:dyDescent="0.25">
      <c r="B99" s="137"/>
      <c r="C99" s="510">
        <v>5</v>
      </c>
      <c r="D99" s="2213">
        <f>'Customer Inputs'!$B$10</f>
        <v>0</v>
      </c>
      <c r="E99" s="2213"/>
      <c r="F99" s="2213"/>
      <c r="G99" s="2213"/>
      <c r="H99" s="2213"/>
      <c r="I99" s="2213"/>
      <c r="J99" s="2213"/>
      <c r="K99" s="2155" t="str">
        <f>IFERROR(IFERROR('Multi-Customer'!$EY$39,VLOOKUP($D99,'Required Info to Submit'!$E$19:$F$28,2,FALSE)),"")</f>
        <v/>
      </c>
      <c r="L99" s="2155"/>
      <c r="M99" s="2155"/>
      <c r="N99" s="2155"/>
      <c r="O99" s="2155"/>
      <c r="P99" s="2155"/>
      <c r="Q99" s="2155"/>
      <c r="R99" s="2155"/>
      <c r="S99" s="2155"/>
      <c r="T99" s="2155"/>
      <c r="U99" s="2155" t="str">
        <f>IFERROR(IFERROR('Multi-Customer'!$EY$41&amp;" "&amp;'Multi-Customer'!$EY$42,VLOOKUP($D99,'Required Info to Submit'!$E$19:$F$28,3,FALSE)),"")</f>
        <v/>
      </c>
      <c r="V99" s="2155"/>
      <c r="W99" s="2155"/>
      <c r="X99" s="2155"/>
      <c r="Y99" s="2155"/>
      <c r="Z99" s="2155"/>
      <c r="AA99" s="2155"/>
      <c r="AB99" s="2155"/>
      <c r="AC99" s="2155"/>
      <c r="AD99" s="2155"/>
      <c r="AE99" s="2155"/>
      <c r="AF99" s="2155"/>
      <c r="AG99" s="2155"/>
      <c r="AH99" s="2155"/>
      <c r="AI99" s="2155"/>
      <c r="AJ99" s="2229" t="str">
        <f>IFERROR(IFERROR('Multi-Customer'!$EY$43,VLOOKUP($D99,'Required Info to Submit'!$E$19:$F$28,4,FALSE)),"")</f>
        <v/>
      </c>
      <c r="AK99" s="2230"/>
      <c r="AL99" s="2230"/>
      <c r="AM99" s="2230"/>
      <c r="AN99" s="2230"/>
      <c r="AO99" s="2230"/>
      <c r="AP99" s="2230"/>
      <c r="AQ99" s="2230"/>
      <c r="AR99" s="2230"/>
      <c r="AS99" s="2230"/>
      <c r="AT99" s="2231"/>
      <c r="AU99" s="2099" t="str">
        <f>IFERROR(IFERROR('Multi-Customer'!$EY$44,VLOOKUP($D99,'Required Info to Submit'!$E$19:$F$28,5,FALSE)),"")</f>
        <v/>
      </c>
      <c r="AV99" s="2100"/>
      <c r="AW99" s="2100"/>
      <c r="AX99" s="2101"/>
      <c r="AY99" s="2146" t="str">
        <f>IFERROR(IFERROR('Multi-Customer'!$EY$45,VLOOKUP($D99,'Required Info to Submit'!$E$19:$F$28,6,FALSE)),"")</f>
        <v/>
      </c>
      <c r="AZ99" s="2147"/>
      <c r="BA99" s="2147"/>
      <c r="BB99" s="2147"/>
      <c r="BC99" s="2148"/>
      <c r="BF99" s="138"/>
    </row>
    <row r="100" spans="2:58" x14ac:dyDescent="0.25">
      <c r="B100" s="137"/>
      <c r="C100" s="510">
        <v>6</v>
      </c>
      <c r="D100" s="2213">
        <f>'Customer Inputs'!$B$11</f>
        <v>0</v>
      </c>
      <c r="E100" s="2213"/>
      <c r="F100" s="2213"/>
      <c r="G100" s="2213"/>
      <c r="H100" s="2213"/>
      <c r="I100" s="2213"/>
      <c r="J100" s="2213"/>
      <c r="K100" s="2155" t="str">
        <f>IFERROR(IFERROR('Multi-Customer'!$FV$39,VLOOKUP($D100,'Required Info to Submit'!$E$19:$F$28,2,FALSE)),"")</f>
        <v/>
      </c>
      <c r="L100" s="2155"/>
      <c r="M100" s="2155"/>
      <c r="N100" s="2155"/>
      <c r="O100" s="2155"/>
      <c r="P100" s="2155"/>
      <c r="Q100" s="2155"/>
      <c r="R100" s="2155"/>
      <c r="S100" s="2155"/>
      <c r="T100" s="2155"/>
      <c r="U100" s="2155" t="str">
        <f>IFERROR(IFERROR('Multi-Customer'!$FV$41&amp;" "&amp;'Multi-Customer'!$FV$42,VLOOKUP($D100,'Required Info to Submit'!$E$19:$F$28,3,FALSE)),"")</f>
        <v/>
      </c>
      <c r="V100" s="2155"/>
      <c r="W100" s="2155"/>
      <c r="X100" s="2155"/>
      <c r="Y100" s="2155"/>
      <c r="Z100" s="2155"/>
      <c r="AA100" s="2155"/>
      <c r="AB100" s="2155"/>
      <c r="AC100" s="2155"/>
      <c r="AD100" s="2155"/>
      <c r="AE100" s="2155"/>
      <c r="AF100" s="2155"/>
      <c r="AG100" s="2155"/>
      <c r="AH100" s="2155"/>
      <c r="AI100" s="2155"/>
      <c r="AJ100" s="2229" t="str">
        <f>IFERROR(IFERROR('Multi-Customer'!$FV$43,VLOOKUP($D100,'Required Info to Submit'!$E$19:$F$28,4,FALSE)),"")</f>
        <v/>
      </c>
      <c r="AK100" s="2230"/>
      <c r="AL100" s="2230"/>
      <c r="AM100" s="2230"/>
      <c r="AN100" s="2230"/>
      <c r="AO100" s="2230"/>
      <c r="AP100" s="2230"/>
      <c r="AQ100" s="2230"/>
      <c r="AR100" s="2230"/>
      <c r="AS100" s="2230"/>
      <c r="AT100" s="2231"/>
      <c r="AU100" s="2099" t="str">
        <f>IFERROR(IFERROR('Multi-Customer'!$FV$44,VLOOKUP($D100,'Required Info to Submit'!$E$19:$F$28,5,FALSE)),"")</f>
        <v/>
      </c>
      <c r="AV100" s="2100"/>
      <c r="AW100" s="2100"/>
      <c r="AX100" s="2101"/>
      <c r="AY100" s="2146" t="str">
        <f>IFERROR(IFERROR('Multi-Customer'!$FV$45,VLOOKUP($D100,'Required Info to Submit'!$E$19:$F$28,6,FALSE)),"")</f>
        <v/>
      </c>
      <c r="AZ100" s="2147"/>
      <c r="BA100" s="2147"/>
      <c r="BB100" s="2147"/>
      <c r="BC100" s="2148"/>
      <c r="BF100" s="138"/>
    </row>
    <row r="101" spans="2:58" x14ac:dyDescent="0.25">
      <c r="B101" s="137"/>
      <c r="C101" s="510">
        <v>7</v>
      </c>
      <c r="D101" s="2213">
        <f>'Customer Inputs'!$B$12</f>
        <v>0</v>
      </c>
      <c r="E101" s="2213"/>
      <c r="F101" s="2213"/>
      <c r="G101" s="2213"/>
      <c r="H101" s="2213"/>
      <c r="I101" s="2213"/>
      <c r="J101" s="2213"/>
      <c r="K101" s="2155" t="str">
        <f>IFERROR(IFERROR('Multi-Customer'!$GS$39,VLOOKUP($D101,'Required Info to Submit'!$E$19:$F$28,2,FALSE)),"")</f>
        <v/>
      </c>
      <c r="L101" s="2155"/>
      <c r="M101" s="2155"/>
      <c r="N101" s="2155"/>
      <c r="O101" s="2155"/>
      <c r="P101" s="2155"/>
      <c r="Q101" s="2155"/>
      <c r="R101" s="2155"/>
      <c r="S101" s="2155"/>
      <c r="T101" s="2155"/>
      <c r="U101" s="2155" t="str">
        <f>IFERROR(IFERROR('Multi-Customer'!$GS$41&amp;" "&amp;'Multi-Customer'!$GS$42,VLOOKUP($D101,'Required Info to Submit'!$E$19:$F$28,3,FALSE)),"")</f>
        <v/>
      </c>
      <c r="V101" s="2155"/>
      <c r="W101" s="2155"/>
      <c r="X101" s="2155"/>
      <c r="Y101" s="2155"/>
      <c r="Z101" s="2155"/>
      <c r="AA101" s="2155"/>
      <c r="AB101" s="2155"/>
      <c r="AC101" s="2155"/>
      <c r="AD101" s="2155"/>
      <c r="AE101" s="2155"/>
      <c r="AF101" s="2155"/>
      <c r="AG101" s="2155"/>
      <c r="AH101" s="2155"/>
      <c r="AI101" s="2155"/>
      <c r="AJ101" s="2229" t="str">
        <f>IFERROR(IFERROR('Multi-Customer'!$GS$43,VLOOKUP($D101,'Required Info to Submit'!$E$19:$F$28,4,FALSE)),"")</f>
        <v/>
      </c>
      <c r="AK101" s="2230"/>
      <c r="AL101" s="2230"/>
      <c r="AM101" s="2230"/>
      <c r="AN101" s="2230"/>
      <c r="AO101" s="2230"/>
      <c r="AP101" s="2230"/>
      <c r="AQ101" s="2230"/>
      <c r="AR101" s="2230"/>
      <c r="AS101" s="2230"/>
      <c r="AT101" s="2231"/>
      <c r="AU101" s="2099" t="str">
        <f>IFERROR(IFERROR('Multi-Customer'!$GS$44,VLOOKUP($D101,'Required Info to Submit'!$E$19:$F$28,5,FALSE)),"")</f>
        <v/>
      </c>
      <c r="AV101" s="2100"/>
      <c r="AW101" s="2100"/>
      <c r="AX101" s="2101"/>
      <c r="AY101" s="2146" t="str">
        <f>IFERROR(IFERROR('Multi-Customer'!$GS$45,VLOOKUP($D101,'Required Info to Submit'!$E$19:$F$28,6,FALSE)),"")</f>
        <v/>
      </c>
      <c r="AZ101" s="2147"/>
      <c r="BA101" s="2147"/>
      <c r="BB101" s="2147"/>
      <c r="BC101" s="2148"/>
      <c r="BF101" s="138"/>
    </row>
    <row r="102" spans="2:58" x14ac:dyDescent="0.25">
      <c r="B102" s="137"/>
      <c r="C102" s="510">
        <v>8</v>
      </c>
      <c r="D102" s="2213">
        <f>'Customer Inputs'!$B$13</f>
        <v>0</v>
      </c>
      <c r="E102" s="2213"/>
      <c r="F102" s="2213"/>
      <c r="G102" s="2213"/>
      <c r="H102" s="2213"/>
      <c r="I102" s="2213"/>
      <c r="J102" s="2213"/>
      <c r="K102" s="2155" t="str">
        <f>IFERROR(IFERROR('Multi-Customer'!$HP$39,VLOOKUP($D102,'Required Info to Submit'!$E$19:$F$28,2,FALSE)),"")</f>
        <v/>
      </c>
      <c r="L102" s="2155"/>
      <c r="M102" s="2155"/>
      <c r="N102" s="2155"/>
      <c r="O102" s="2155"/>
      <c r="P102" s="2155"/>
      <c r="Q102" s="2155"/>
      <c r="R102" s="2155"/>
      <c r="S102" s="2155"/>
      <c r="T102" s="2155"/>
      <c r="U102" s="2155" t="str">
        <f>IFERROR(IFERROR('Multi-Customer'!$HP$41&amp;" "&amp;'Multi-Customer'!$HP$42,VLOOKUP($D102,'Required Info to Submit'!$E$19:$F$28,3,FALSE)),"")</f>
        <v/>
      </c>
      <c r="V102" s="2155"/>
      <c r="W102" s="2155"/>
      <c r="X102" s="2155"/>
      <c r="Y102" s="2155"/>
      <c r="Z102" s="2155"/>
      <c r="AA102" s="2155"/>
      <c r="AB102" s="2155"/>
      <c r="AC102" s="2155"/>
      <c r="AD102" s="2155"/>
      <c r="AE102" s="2155"/>
      <c r="AF102" s="2155"/>
      <c r="AG102" s="2155"/>
      <c r="AH102" s="2155"/>
      <c r="AI102" s="2155"/>
      <c r="AJ102" s="2229" t="str">
        <f>IFERROR(IFERROR('Multi-Customer'!$HP$43,VLOOKUP($D102,'Required Info to Submit'!$E$19:$F$28,4,FALSE)),"")</f>
        <v/>
      </c>
      <c r="AK102" s="2230"/>
      <c r="AL102" s="2230"/>
      <c r="AM102" s="2230"/>
      <c r="AN102" s="2230"/>
      <c r="AO102" s="2230"/>
      <c r="AP102" s="2230"/>
      <c r="AQ102" s="2230"/>
      <c r="AR102" s="2230"/>
      <c r="AS102" s="2230"/>
      <c r="AT102" s="2231"/>
      <c r="AU102" s="2099" t="str">
        <f>IFERROR(IFERROR('Multi-Customer'!$HP$44,VLOOKUP($D102,'Required Info to Submit'!$E$19:$F$28,5,FALSE)),"")</f>
        <v/>
      </c>
      <c r="AV102" s="2100"/>
      <c r="AW102" s="2100"/>
      <c r="AX102" s="2101"/>
      <c r="AY102" s="2146" t="str">
        <f>IFERROR(IFERROR('Multi-Customer'!$HP$45,VLOOKUP($D102,'Required Info to Submit'!$E$19:$F$28,6,FALSE)),"")</f>
        <v/>
      </c>
      <c r="AZ102" s="2147"/>
      <c r="BA102" s="2147"/>
      <c r="BB102" s="2147"/>
      <c r="BC102" s="2148"/>
      <c r="BF102" s="138"/>
    </row>
    <row r="103" spans="2:58" x14ac:dyDescent="0.25">
      <c r="B103" s="137"/>
      <c r="C103" s="510">
        <v>9</v>
      </c>
      <c r="D103" s="2213">
        <f>'Customer Inputs'!$B$14</f>
        <v>0</v>
      </c>
      <c r="E103" s="2213"/>
      <c r="F103" s="2213"/>
      <c r="G103" s="2213"/>
      <c r="H103" s="2213"/>
      <c r="I103" s="2213"/>
      <c r="J103" s="2213"/>
      <c r="K103" s="2155" t="str">
        <f>IFERROR(IFERROR('Multi-Customer'!$IM$39,VLOOKUP($D103,'Required Info to Submit'!$E$19:$F$28,2,FALSE)),"")</f>
        <v/>
      </c>
      <c r="L103" s="2155"/>
      <c r="M103" s="2155"/>
      <c r="N103" s="2155"/>
      <c r="O103" s="2155"/>
      <c r="P103" s="2155"/>
      <c r="Q103" s="2155"/>
      <c r="R103" s="2155"/>
      <c r="S103" s="2155"/>
      <c r="T103" s="2155"/>
      <c r="U103" s="2155" t="str">
        <f>IFERROR(IFERROR('Multi-Customer'!$IM$41&amp;" "&amp;'Multi-Customer'!$IM$42,VLOOKUP($D103,'Required Info to Submit'!$E$19:$F$28,3,FALSE)),"")</f>
        <v/>
      </c>
      <c r="V103" s="2155"/>
      <c r="W103" s="2155"/>
      <c r="X103" s="2155"/>
      <c r="Y103" s="2155"/>
      <c r="Z103" s="2155"/>
      <c r="AA103" s="2155"/>
      <c r="AB103" s="2155"/>
      <c r="AC103" s="2155"/>
      <c r="AD103" s="2155"/>
      <c r="AE103" s="2155"/>
      <c r="AF103" s="2155"/>
      <c r="AG103" s="2155"/>
      <c r="AH103" s="2155"/>
      <c r="AI103" s="2155"/>
      <c r="AJ103" s="2229" t="str">
        <f>IFERROR(IFERROR('Multi-Customer'!$IM$43,VLOOKUP($D103,'Required Info to Submit'!$E$19:$F$28,4,FALSE)),"")</f>
        <v/>
      </c>
      <c r="AK103" s="2230"/>
      <c r="AL103" s="2230"/>
      <c r="AM103" s="2230"/>
      <c r="AN103" s="2230"/>
      <c r="AO103" s="2230"/>
      <c r="AP103" s="2230"/>
      <c r="AQ103" s="2230"/>
      <c r="AR103" s="2230"/>
      <c r="AS103" s="2230"/>
      <c r="AT103" s="2231"/>
      <c r="AU103" s="2099" t="str">
        <f>IFERROR(IFERROR('Multi-Customer'!$IM$44,VLOOKUP($D103,'Required Info to Submit'!$E$19:$F$28,5,FALSE)),"")</f>
        <v/>
      </c>
      <c r="AV103" s="2100"/>
      <c r="AW103" s="2100"/>
      <c r="AX103" s="2101"/>
      <c r="AY103" s="2146" t="str">
        <f>IFERROR(IFERROR('Multi-Customer'!$IM$45,VLOOKUP($D103,'Required Info to Submit'!$E$19:$F$28,6,FALSE)),"")</f>
        <v/>
      </c>
      <c r="AZ103" s="2147"/>
      <c r="BA103" s="2147"/>
      <c r="BB103" s="2147"/>
      <c r="BC103" s="2148"/>
      <c r="BF103" s="138"/>
    </row>
    <row r="104" spans="2:58" x14ac:dyDescent="0.25">
      <c r="B104" s="137"/>
      <c r="C104" s="510">
        <v>10</v>
      </c>
      <c r="D104" s="2213">
        <f>'Customer Inputs'!$B$15</f>
        <v>0</v>
      </c>
      <c r="E104" s="2213"/>
      <c r="F104" s="2213"/>
      <c r="G104" s="2213"/>
      <c r="H104" s="2213"/>
      <c r="I104" s="2213"/>
      <c r="J104" s="2213"/>
      <c r="K104" s="2155" t="str">
        <f>IFERROR(IFERROR('Multi-Customer'!$JJ$39,VLOOKUP($D104,'Required Info to Submit'!$E$19:$F$28,2,FALSE)),"")</f>
        <v/>
      </c>
      <c r="L104" s="2155"/>
      <c r="M104" s="2155"/>
      <c r="N104" s="2155"/>
      <c r="O104" s="2155"/>
      <c r="P104" s="2155"/>
      <c r="Q104" s="2155"/>
      <c r="R104" s="2155"/>
      <c r="S104" s="2155"/>
      <c r="T104" s="2155"/>
      <c r="U104" s="2155" t="str">
        <f>IFERROR(IFERROR('Multi-Customer'!$JJ$41&amp;" "&amp;'Multi-Customer'!$JJ$42,VLOOKUP($D104,'Required Info to Submit'!$E$19:$F$28,3,FALSE)),"")</f>
        <v/>
      </c>
      <c r="V104" s="2155"/>
      <c r="W104" s="2155"/>
      <c r="X104" s="2155"/>
      <c r="Y104" s="2155"/>
      <c r="Z104" s="2155"/>
      <c r="AA104" s="2155"/>
      <c r="AB104" s="2155"/>
      <c r="AC104" s="2155"/>
      <c r="AD104" s="2155"/>
      <c r="AE104" s="2155"/>
      <c r="AF104" s="2155"/>
      <c r="AG104" s="2155"/>
      <c r="AH104" s="2155"/>
      <c r="AI104" s="2155"/>
      <c r="AJ104" s="2229" t="str">
        <f>IFERROR(IFERROR('Multi-Customer'!$JJ$43,VLOOKUP($D104,'Required Info to Submit'!$E$19:$F$28,4,FALSE)),"")</f>
        <v/>
      </c>
      <c r="AK104" s="2230"/>
      <c r="AL104" s="2230"/>
      <c r="AM104" s="2230"/>
      <c r="AN104" s="2230"/>
      <c r="AO104" s="2230"/>
      <c r="AP104" s="2230"/>
      <c r="AQ104" s="2230"/>
      <c r="AR104" s="2230"/>
      <c r="AS104" s="2230"/>
      <c r="AT104" s="2231"/>
      <c r="AU104" s="2099" t="str">
        <f>IFERROR(IFERROR('Multi-Customer'!$JJ$44,VLOOKUP($D104,'Required Info to Submit'!$E$19:$F$28,5,FALSE)),"")</f>
        <v/>
      </c>
      <c r="AV104" s="2100"/>
      <c r="AW104" s="2100"/>
      <c r="AX104" s="2101"/>
      <c r="AY104" s="2146" t="str">
        <f>IFERROR(IFERROR('Multi-Customer'!$JJ$45,VLOOKUP($D104,'Required Info to Submit'!$E$19:$F$28,6,FALSE)),"")</f>
        <v/>
      </c>
      <c r="AZ104" s="2147"/>
      <c r="BA104" s="2147"/>
      <c r="BB104" s="2147"/>
      <c r="BC104" s="2148"/>
      <c r="BD104" s="1687"/>
      <c r="BE104" s="1687"/>
      <c r="BF104" s="138"/>
    </row>
    <row r="105" spans="2:58" x14ac:dyDescent="0.25">
      <c r="B105" s="137"/>
      <c r="C105" s="510">
        <v>11</v>
      </c>
      <c r="D105" s="2213">
        <f>'Customer Inputs'!$B$16</f>
        <v>0</v>
      </c>
      <c r="E105" s="2213"/>
      <c r="F105" s="2213"/>
      <c r="G105" s="2213"/>
      <c r="H105" s="2213"/>
      <c r="I105" s="2213"/>
      <c r="J105" s="2213"/>
      <c r="K105" s="2155" t="str">
        <f>IFERROR(IFERROR('Multi-Customer'!$KG$39,VLOOKUP($D105,'Required Info to Submit'!$E$19:$F$28,2,FALSE)),"")</f>
        <v/>
      </c>
      <c r="L105" s="2155"/>
      <c r="M105" s="2155"/>
      <c r="N105" s="2155"/>
      <c r="O105" s="2155"/>
      <c r="P105" s="2155"/>
      <c r="Q105" s="2155"/>
      <c r="R105" s="2155"/>
      <c r="S105" s="2155"/>
      <c r="T105" s="2155"/>
      <c r="U105" s="2155" t="str">
        <f>IFERROR(IFERROR('Multi-Customer'!$KG$41&amp;" "&amp;'Multi-Customer'!$KG$42,VLOOKUP($D105,'Required Info to Submit'!$E$19:$F$28,3,FALSE)),"")</f>
        <v/>
      </c>
      <c r="V105" s="2155"/>
      <c r="W105" s="2155"/>
      <c r="X105" s="2155"/>
      <c r="Y105" s="2155"/>
      <c r="Z105" s="2155"/>
      <c r="AA105" s="2155"/>
      <c r="AB105" s="2155"/>
      <c r="AC105" s="2155"/>
      <c r="AD105" s="2155"/>
      <c r="AE105" s="2155"/>
      <c r="AF105" s="2155"/>
      <c r="AG105" s="2155"/>
      <c r="AH105" s="2155"/>
      <c r="AI105" s="2155"/>
      <c r="AJ105" s="2229" t="str">
        <f>IFERROR(IFERROR('Multi-Customer'!$KG$43,VLOOKUP($D105,'Required Info to Submit'!$E$19:$F$28,4,FALSE)),"")</f>
        <v/>
      </c>
      <c r="AK105" s="2230"/>
      <c r="AL105" s="2230"/>
      <c r="AM105" s="2230"/>
      <c r="AN105" s="2230"/>
      <c r="AO105" s="2230"/>
      <c r="AP105" s="2230"/>
      <c r="AQ105" s="2230"/>
      <c r="AR105" s="2230"/>
      <c r="AS105" s="2230"/>
      <c r="AT105" s="2231"/>
      <c r="AU105" s="2099" t="str">
        <f>IFERROR(IFERROR('Multi-Customer'!$KG$44,VLOOKUP($D105,'Required Info to Submit'!$E$19:$F$28,5,FALSE)),"")</f>
        <v/>
      </c>
      <c r="AV105" s="2100"/>
      <c r="AW105" s="2100"/>
      <c r="AX105" s="2101"/>
      <c r="AY105" s="2146" t="str">
        <f>IFERROR(IFERROR('Multi-Customer'!$KG$45,VLOOKUP($D105,'Required Info to Submit'!$E$19:$F$28,6,FALSE)),"")</f>
        <v/>
      </c>
      <c r="AZ105" s="2147"/>
      <c r="BA105" s="2147"/>
      <c r="BB105" s="2147"/>
      <c r="BC105" s="2148"/>
      <c r="BD105" s="1687"/>
      <c r="BE105" s="1687"/>
      <c r="BF105" s="138"/>
    </row>
    <row r="106" spans="2:58" x14ac:dyDescent="0.25">
      <c r="B106" s="137"/>
      <c r="C106" s="510">
        <v>12</v>
      </c>
      <c r="D106" s="2213">
        <f>'Customer Inputs'!$B$17</f>
        <v>0</v>
      </c>
      <c r="E106" s="2213"/>
      <c r="F106" s="2213"/>
      <c r="G106" s="2213"/>
      <c r="H106" s="2213"/>
      <c r="I106" s="2213"/>
      <c r="J106" s="2213"/>
      <c r="K106" s="2155" t="str">
        <f>IFERROR(IFERROR('Multi-Customer'!$LD$39,VLOOKUP($D106,'Required Info to Submit'!$E$19:$F$28,2,FALSE)),"")</f>
        <v/>
      </c>
      <c r="L106" s="2155"/>
      <c r="M106" s="2155"/>
      <c r="N106" s="2155"/>
      <c r="O106" s="2155"/>
      <c r="P106" s="2155"/>
      <c r="Q106" s="2155"/>
      <c r="R106" s="2155"/>
      <c r="S106" s="2155"/>
      <c r="T106" s="2155"/>
      <c r="U106" s="2155" t="str">
        <f>IFERROR(IFERROR('Multi-Customer'!$LD$41&amp;" "&amp;'Multi-Customer'!$LD$42,VLOOKUP($D106,'Required Info to Submit'!$E$19:$F$28,3,FALSE)),"")</f>
        <v/>
      </c>
      <c r="V106" s="2155"/>
      <c r="W106" s="2155"/>
      <c r="X106" s="2155"/>
      <c r="Y106" s="2155"/>
      <c r="Z106" s="2155"/>
      <c r="AA106" s="2155"/>
      <c r="AB106" s="2155"/>
      <c r="AC106" s="2155"/>
      <c r="AD106" s="2155"/>
      <c r="AE106" s="2155"/>
      <c r="AF106" s="2155"/>
      <c r="AG106" s="2155"/>
      <c r="AH106" s="2155"/>
      <c r="AI106" s="2155"/>
      <c r="AJ106" s="2229" t="str">
        <f>IFERROR(IFERROR('Multi-Customer'!$LD$43,VLOOKUP($D106,'Required Info to Submit'!$E$19:$F$28,4,FALSE)),"")</f>
        <v/>
      </c>
      <c r="AK106" s="2230"/>
      <c r="AL106" s="2230"/>
      <c r="AM106" s="2230"/>
      <c r="AN106" s="2230"/>
      <c r="AO106" s="2230"/>
      <c r="AP106" s="2230"/>
      <c r="AQ106" s="2230"/>
      <c r="AR106" s="2230"/>
      <c r="AS106" s="2230"/>
      <c r="AT106" s="2231"/>
      <c r="AU106" s="2099" t="str">
        <f>IFERROR(IFERROR('Multi-Customer'!$LD$44,VLOOKUP($D106,'Required Info to Submit'!$E$19:$F$28,5,FALSE)),"")</f>
        <v/>
      </c>
      <c r="AV106" s="2100"/>
      <c r="AW106" s="2100"/>
      <c r="AX106" s="2101"/>
      <c r="AY106" s="2146" t="str">
        <f>IFERROR(IFERROR('Multi-Customer'!$LD$45,VLOOKUP($D106,'Required Info to Submit'!$E$19:$F$28,6,FALSE)),"")</f>
        <v/>
      </c>
      <c r="AZ106" s="2147"/>
      <c r="BA106" s="2147"/>
      <c r="BB106" s="2147"/>
      <c r="BC106" s="2148"/>
      <c r="BD106" s="1687"/>
      <c r="BE106" s="1687"/>
      <c r="BF106" s="138"/>
    </row>
    <row r="107" spans="2:58" x14ac:dyDescent="0.25">
      <c r="B107" s="137"/>
      <c r="C107" s="510">
        <v>13</v>
      </c>
      <c r="D107" s="2213">
        <f>'Customer Inputs'!$B$18</f>
        <v>0</v>
      </c>
      <c r="E107" s="2213"/>
      <c r="F107" s="2213"/>
      <c r="G107" s="2213"/>
      <c r="H107" s="2213"/>
      <c r="I107" s="2213"/>
      <c r="J107" s="2213"/>
      <c r="K107" s="2155" t="str">
        <f>IFERROR(IFERROR('Multi-Customer'!$MA$39,VLOOKUP($D107,'Required Info to Submit'!$E$19:$F$28,2,FALSE)),"")</f>
        <v/>
      </c>
      <c r="L107" s="2155"/>
      <c r="M107" s="2155"/>
      <c r="N107" s="2155"/>
      <c r="O107" s="2155"/>
      <c r="P107" s="2155"/>
      <c r="Q107" s="2155"/>
      <c r="R107" s="2155"/>
      <c r="S107" s="2155"/>
      <c r="T107" s="2155"/>
      <c r="U107" s="2155" t="str">
        <f>IFERROR(IFERROR('Multi-Customer'!$MA$41&amp;" "&amp;'Multi-Customer'!$JJ$42,VLOOKUP($D107,'Required Info to Submit'!$E$19:$F$28,3,FALSE)),"")</f>
        <v/>
      </c>
      <c r="V107" s="2155"/>
      <c r="W107" s="2155"/>
      <c r="X107" s="2155"/>
      <c r="Y107" s="2155"/>
      <c r="Z107" s="2155"/>
      <c r="AA107" s="2155"/>
      <c r="AB107" s="2155"/>
      <c r="AC107" s="2155"/>
      <c r="AD107" s="2155"/>
      <c r="AE107" s="2155"/>
      <c r="AF107" s="2155"/>
      <c r="AG107" s="2155"/>
      <c r="AH107" s="2155"/>
      <c r="AI107" s="2155"/>
      <c r="AJ107" s="2229" t="str">
        <f>IFERROR(IFERROR('Multi-Customer'!$MA$43,VLOOKUP($D107,'Required Info to Submit'!$E$19:$F$28,4,FALSE)),"")</f>
        <v/>
      </c>
      <c r="AK107" s="2230"/>
      <c r="AL107" s="2230"/>
      <c r="AM107" s="2230"/>
      <c r="AN107" s="2230"/>
      <c r="AO107" s="2230"/>
      <c r="AP107" s="2230"/>
      <c r="AQ107" s="2230"/>
      <c r="AR107" s="2230"/>
      <c r="AS107" s="2230"/>
      <c r="AT107" s="2231"/>
      <c r="AU107" s="2099" t="str">
        <f>IFERROR(IFERROR('Multi-Customer'!$MA$44,VLOOKUP($D107,'Required Info to Submit'!$E$19:$F$28,5,FALSE)),"")</f>
        <v/>
      </c>
      <c r="AV107" s="2100"/>
      <c r="AW107" s="2100"/>
      <c r="AX107" s="2101"/>
      <c r="AY107" s="2146" t="str">
        <f>IFERROR(IFERROR('Multi-Customer'!$MA$45,VLOOKUP($D107,'Required Info to Submit'!$E$19:$F$28,6,FALSE)),"")</f>
        <v/>
      </c>
      <c r="AZ107" s="2147"/>
      <c r="BA107" s="2147"/>
      <c r="BB107" s="2147"/>
      <c r="BC107" s="2148"/>
      <c r="BD107" s="1687"/>
      <c r="BE107" s="1687"/>
      <c r="BF107" s="138"/>
    </row>
    <row r="108" spans="2:58" x14ac:dyDescent="0.25">
      <c r="B108" s="137"/>
      <c r="C108" s="510">
        <v>14</v>
      </c>
      <c r="D108" s="2213">
        <f>'Customer Inputs'!$B$19</f>
        <v>0</v>
      </c>
      <c r="E108" s="2213"/>
      <c r="F108" s="2213"/>
      <c r="G108" s="2213"/>
      <c r="H108" s="2213"/>
      <c r="I108" s="2213"/>
      <c r="J108" s="2213"/>
      <c r="K108" s="2155" t="str">
        <f>IFERROR(IFERROR('Multi-Customer'!$MX$39,VLOOKUP($D108,'Required Info to Submit'!$E$19:$F$28,2,FALSE)),"")</f>
        <v/>
      </c>
      <c r="L108" s="2155"/>
      <c r="M108" s="2155"/>
      <c r="N108" s="2155"/>
      <c r="O108" s="2155"/>
      <c r="P108" s="2155"/>
      <c r="Q108" s="2155"/>
      <c r="R108" s="2155"/>
      <c r="S108" s="2155"/>
      <c r="T108" s="2155"/>
      <c r="U108" s="2155" t="str">
        <f>IFERROR(IFERROR('Multi-Customer'!$MX$41&amp;" "&amp;'Multi-Customer'!$JJ$42,VLOOKUP($D108,'Required Info to Submit'!$E$19:$F$28,3,FALSE)),"")</f>
        <v/>
      </c>
      <c r="V108" s="2155"/>
      <c r="W108" s="2155"/>
      <c r="X108" s="2155"/>
      <c r="Y108" s="2155"/>
      <c r="Z108" s="2155"/>
      <c r="AA108" s="2155"/>
      <c r="AB108" s="2155"/>
      <c r="AC108" s="2155"/>
      <c r="AD108" s="2155"/>
      <c r="AE108" s="2155"/>
      <c r="AF108" s="2155"/>
      <c r="AG108" s="2155"/>
      <c r="AH108" s="2155"/>
      <c r="AI108" s="2155"/>
      <c r="AJ108" s="2229" t="str">
        <f>IFERROR(IFERROR('Multi-Customer'!$MX$43,VLOOKUP($D108,'Required Info to Submit'!$E$19:$F$28,4,FALSE)),"")</f>
        <v/>
      </c>
      <c r="AK108" s="2230"/>
      <c r="AL108" s="2230"/>
      <c r="AM108" s="2230"/>
      <c r="AN108" s="2230"/>
      <c r="AO108" s="2230"/>
      <c r="AP108" s="2230"/>
      <c r="AQ108" s="2230"/>
      <c r="AR108" s="2230"/>
      <c r="AS108" s="2230"/>
      <c r="AT108" s="2231"/>
      <c r="AU108" s="2099" t="str">
        <f>IFERROR(IFERROR('Multi-Customer'!$MX$44,VLOOKUP($D108,'Required Info to Submit'!$E$19:$F$28,5,FALSE)),"")</f>
        <v/>
      </c>
      <c r="AV108" s="2100"/>
      <c r="AW108" s="2100"/>
      <c r="AX108" s="2101"/>
      <c r="AY108" s="2146" t="str">
        <f>IFERROR(IFERROR('Multi-Customer'!$MX$45,VLOOKUP($D108,'Required Info to Submit'!$E$19:$F$28,6,FALSE)),"")</f>
        <v/>
      </c>
      <c r="AZ108" s="2147"/>
      <c r="BA108" s="2147"/>
      <c r="BB108" s="2147"/>
      <c r="BC108" s="2148"/>
      <c r="BD108" s="1687"/>
      <c r="BE108" s="1687"/>
      <c r="BF108" s="138"/>
    </row>
    <row r="109" spans="2:58" ht="17.25" customHeight="1" x14ac:dyDescent="0.25">
      <c r="B109" s="137"/>
      <c r="C109" s="510">
        <v>15</v>
      </c>
      <c r="D109" s="2213">
        <f>'Customer Inputs'!$B$20</f>
        <v>0</v>
      </c>
      <c r="E109" s="2213"/>
      <c r="F109" s="2213"/>
      <c r="G109" s="2213"/>
      <c r="H109" s="2213"/>
      <c r="I109" s="2213"/>
      <c r="J109" s="2213"/>
      <c r="K109" s="2155" t="str">
        <f>IFERROR(IFERROR('Multi-Customer'!$NU$39,VLOOKUP($D109,'Required Info to Submit'!$E$19:$F$28,2,FALSE)),"")</f>
        <v/>
      </c>
      <c r="L109" s="2155"/>
      <c r="M109" s="2155"/>
      <c r="N109" s="2155"/>
      <c r="O109" s="2155"/>
      <c r="P109" s="2155"/>
      <c r="Q109" s="2155"/>
      <c r="R109" s="2155"/>
      <c r="S109" s="2155"/>
      <c r="T109" s="2155"/>
      <c r="U109" s="2155" t="str">
        <f>IFERROR(IFERROR('Multi-Customer'!$NU$41&amp;" "&amp;'Multi-Customer'!$JJ$42,VLOOKUP($D109,'Required Info to Submit'!$E$19:$F$28,3,FALSE)),"")</f>
        <v/>
      </c>
      <c r="V109" s="2155"/>
      <c r="W109" s="2155"/>
      <c r="X109" s="2155"/>
      <c r="Y109" s="2155"/>
      <c r="Z109" s="2155"/>
      <c r="AA109" s="2155"/>
      <c r="AB109" s="2155"/>
      <c r="AC109" s="2155"/>
      <c r="AD109" s="2155"/>
      <c r="AE109" s="2155"/>
      <c r="AF109" s="2155"/>
      <c r="AG109" s="2155"/>
      <c r="AH109" s="2155"/>
      <c r="AI109" s="2155"/>
      <c r="AJ109" s="2229" t="str">
        <f>IFERROR(IFERROR('Multi-Customer'!$NU$43,VLOOKUP($D109,'Required Info to Submit'!$E$19:$F$28,4,FALSE)),"")</f>
        <v/>
      </c>
      <c r="AK109" s="2230"/>
      <c r="AL109" s="2230"/>
      <c r="AM109" s="2230"/>
      <c r="AN109" s="2230"/>
      <c r="AO109" s="2230"/>
      <c r="AP109" s="2230"/>
      <c r="AQ109" s="2230"/>
      <c r="AR109" s="2230"/>
      <c r="AS109" s="2230"/>
      <c r="AT109" s="2231"/>
      <c r="AU109" s="2099" t="str">
        <f>IFERROR(IFERROR('Multi-Customer'!$NU$44,VLOOKUP($D109,'Required Info to Submit'!$E$19:$F$28,5,FALSE)),"")</f>
        <v/>
      </c>
      <c r="AV109" s="2100"/>
      <c r="AW109" s="2100"/>
      <c r="AX109" s="2101"/>
      <c r="AY109" s="2146" t="str">
        <f>IFERROR(IFERROR('Multi-Customer'!$NU$45,VLOOKUP($D109,'Required Info to Submit'!$E$19:$F$28,6,FALSE)),"")</f>
        <v/>
      </c>
      <c r="AZ109" s="2147"/>
      <c r="BA109" s="2147"/>
      <c r="BB109" s="2147"/>
      <c r="BC109" s="2148"/>
      <c r="BD109" s="1687"/>
      <c r="BE109" s="1687"/>
      <c r="BF109" s="138"/>
    </row>
    <row r="110" spans="2:58" x14ac:dyDescent="0.25">
      <c r="B110" s="137"/>
      <c r="C110" s="510">
        <v>16</v>
      </c>
      <c r="D110" s="2213">
        <f>'Customer Inputs'!$B$21</f>
        <v>0</v>
      </c>
      <c r="E110" s="2213"/>
      <c r="F110" s="2213"/>
      <c r="G110" s="2213"/>
      <c r="H110" s="2213"/>
      <c r="I110" s="2213"/>
      <c r="J110" s="2213"/>
      <c r="K110" s="2155" t="str">
        <f>IFERROR(IFERROR('Multi-Customer'!$OR$39,VLOOKUP($D110,'Required Info to Submit'!$E$19:$F$28,2,FALSE)),"")</f>
        <v/>
      </c>
      <c r="L110" s="2155"/>
      <c r="M110" s="2155"/>
      <c r="N110" s="2155"/>
      <c r="O110" s="2155"/>
      <c r="P110" s="2155"/>
      <c r="Q110" s="2155"/>
      <c r="R110" s="2155"/>
      <c r="S110" s="2155"/>
      <c r="T110" s="2155"/>
      <c r="U110" s="2155" t="str">
        <f>IFERROR(IFERROR('Multi-Customer'!$OR$41&amp;" "&amp;'Multi-Customer'!$JJ$42,VLOOKUP($D110,'Required Info to Submit'!$E$19:$F$28,3,FALSE)),"")</f>
        <v/>
      </c>
      <c r="V110" s="2155"/>
      <c r="W110" s="2155"/>
      <c r="X110" s="2155"/>
      <c r="Y110" s="2155"/>
      <c r="Z110" s="2155"/>
      <c r="AA110" s="2155"/>
      <c r="AB110" s="2155"/>
      <c r="AC110" s="2155"/>
      <c r="AD110" s="2155"/>
      <c r="AE110" s="2155"/>
      <c r="AF110" s="2155"/>
      <c r="AG110" s="2155"/>
      <c r="AH110" s="2155"/>
      <c r="AI110" s="2155"/>
      <c r="AJ110" s="2229" t="str">
        <f>IFERROR(IFERROR('Multi-Customer'!$OR$43,VLOOKUP($D110,'Required Info to Submit'!$E$19:$F$28,4,FALSE)),"")</f>
        <v/>
      </c>
      <c r="AK110" s="2230"/>
      <c r="AL110" s="2230"/>
      <c r="AM110" s="2230"/>
      <c r="AN110" s="2230"/>
      <c r="AO110" s="2230"/>
      <c r="AP110" s="2230"/>
      <c r="AQ110" s="2230"/>
      <c r="AR110" s="2230"/>
      <c r="AS110" s="2230"/>
      <c r="AT110" s="2231"/>
      <c r="AU110" s="2099" t="str">
        <f>IFERROR(IFERROR('Multi-Customer'!$OR$44,VLOOKUP($D110,'Required Info to Submit'!$E$19:$F$28,5,FALSE)),"")</f>
        <v/>
      </c>
      <c r="AV110" s="2100"/>
      <c r="AW110" s="2100"/>
      <c r="AX110" s="2101"/>
      <c r="AY110" s="2146" t="str">
        <f>IFERROR(IFERROR('Multi-Customer'!$OR$45,VLOOKUP($D110,'Required Info to Submit'!$E$19:$F$28,6,FALSE)),"")</f>
        <v/>
      </c>
      <c r="AZ110" s="2147"/>
      <c r="BA110" s="2147"/>
      <c r="BB110" s="2147"/>
      <c r="BC110" s="2148"/>
      <c r="BD110" s="1687"/>
      <c r="BE110" s="1687"/>
      <c r="BF110" s="138"/>
    </row>
    <row r="111" spans="2:58" x14ac:dyDescent="0.25">
      <c r="B111" s="137"/>
      <c r="C111" s="510">
        <v>17</v>
      </c>
      <c r="D111" s="2213">
        <f>'Customer Inputs'!$B$22</f>
        <v>0</v>
      </c>
      <c r="E111" s="2213"/>
      <c r="F111" s="2213"/>
      <c r="G111" s="2213"/>
      <c r="H111" s="2213"/>
      <c r="I111" s="2213"/>
      <c r="J111" s="2213"/>
      <c r="K111" s="2155" t="str">
        <f>IFERROR(IFERROR('Multi-Customer'!$PO$39,VLOOKUP($D111,'Required Info to Submit'!$E$19:$F$28,2,FALSE)),"")</f>
        <v/>
      </c>
      <c r="L111" s="2155"/>
      <c r="M111" s="2155"/>
      <c r="N111" s="2155"/>
      <c r="O111" s="2155"/>
      <c r="P111" s="2155"/>
      <c r="Q111" s="2155"/>
      <c r="R111" s="2155"/>
      <c r="S111" s="2155"/>
      <c r="T111" s="2155"/>
      <c r="U111" s="2155" t="str">
        <f>IFERROR(IFERROR('Multi-Customer'!$PO$41&amp;" "&amp;'Multi-Customer'!$JJ$42,VLOOKUP($D111,'Required Info to Submit'!$E$19:$F$28,3,FALSE)),"")</f>
        <v/>
      </c>
      <c r="V111" s="2155"/>
      <c r="W111" s="2155"/>
      <c r="X111" s="2155"/>
      <c r="Y111" s="2155"/>
      <c r="Z111" s="2155"/>
      <c r="AA111" s="2155"/>
      <c r="AB111" s="2155"/>
      <c r="AC111" s="2155"/>
      <c r="AD111" s="2155"/>
      <c r="AE111" s="2155"/>
      <c r="AF111" s="2155"/>
      <c r="AG111" s="2155"/>
      <c r="AH111" s="2155"/>
      <c r="AI111" s="2155"/>
      <c r="AJ111" s="2229" t="str">
        <f>IFERROR(IFERROR('Multi-Customer'!$PO$43,VLOOKUP($D111,'Required Info to Submit'!$E$19:$F$28,4,FALSE)),"")</f>
        <v/>
      </c>
      <c r="AK111" s="2230"/>
      <c r="AL111" s="2230"/>
      <c r="AM111" s="2230"/>
      <c r="AN111" s="2230"/>
      <c r="AO111" s="2230"/>
      <c r="AP111" s="2230"/>
      <c r="AQ111" s="2230"/>
      <c r="AR111" s="2230"/>
      <c r="AS111" s="2230"/>
      <c r="AT111" s="2231"/>
      <c r="AU111" s="2099" t="str">
        <f>IFERROR(IFERROR('Multi-Customer'!$PO$44,VLOOKUP($D111,'Required Info to Submit'!$E$19:$F$28,5,FALSE)),"")</f>
        <v/>
      </c>
      <c r="AV111" s="2100"/>
      <c r="AW111" s="2100"/>
      <c r="AX111" s="2101"/>
      <c r="AY111" s="2146" t="str">
        <f>IFERROR(IFERROR('Multi-Customer'!$PO$45,VLOOKUP($D111,'Required Info to Submit'!$E$19:$F$28,6,FALSE)),"")</f>
        <v/>
      </c>
      <c r="AZ111" s="2147"/>
      <c r="BA111" s="2147"/>
      <c r="BB111" s="2147"/>
      <c r="BC111" s="2148"/>
      <c r="BD111" s="1687"/>
      <c r="BE111" s="1687"/>
      <c r="BF111" s="138"/>
    </row>
    <row r="112" spans="2:58" x14ac:dyDescent="0.25">
      <c r="B112" s="137"/>
      <c r="C112" s="510">
        <v>18</v>
      </c>
      <c r="D112" s="2213">
        <f>'Customer Inputs'!$B$23</f>
        <v>0</v>
      </c>
      <c r="E112" s="2213"/>
      <c r="F112" s="2213"/>
      <c r="G112" s="2213"/>
      <c r="H112" s="2213"/>
      <c r="I112" s="2213"/>
      <c r="J112" s="2213"/>
      <c r="K112" s="2155" t="str">
        <f>IFERROR(IFERROR('Multi-Customer'!$QL$39,VLOOKUP($D112,'Required Info to Submit'!$E$19:$F$28,2,FALSE)),"")</f>
        <v/>
      </c>
      <c r="L112" s="2155"/>
      <c r="M112" s="2155"/>
      <c r="N112" s="2155"/>
      <c r="O112" s="2155"/>
      <c r="P112" s="2155"/>
      <c r="Q112" s="2155"/>
      <c r="R112" s="2155"/>
      <c r="S112" s="2155"/>
      <c r="T112" s="2155"/>
      <c r="U112" s="2155" t="str">
        <f>IFERROR(IFERROR('Multi-Customer'!$QL$41&amp;" "&amp;'Multi-Customer'!$JJ$42,VLOOKUP($D112,'Required Info to Submit'!$E$19:$F$28,3,FALSE)),"")</f>
        <v/>
      </c>
      <c r="V112" s="2155"/>
      <c r="W112" s="2155"/>
      <c r="X112" s="2155"/>
      <c r="Y112" s="2155"/>
      <c r="Z112" s="2155"/>
      <c r="AA112" s="2155"/>
      <c r="AB112" s="2155"/>
      <c r="AC112" s="2155"/>
      <c r="AD112" s="2155"/>
      <c r="AE112" s="2155"/>
      <c r="AF112" s="2155"/>
      <c r="AG112" s="2155"/>
      <c r="AH112" s="2155"/>
      <c r="AI112" s="2155"/>
      <c r="AJ112" s="2229" t="str">
        <f>IFERROR(IFERROR('Multi-Customer'!$QL$43,VLOOKUP($D112,'Required Info to Submit'!$E$19:$F$28,4,FALSE)),"")</f>
        <v/>
      </c>
      <c r="AK112" s="2230"/>
      <c r="AL112" s="2230"/>
      <c r="AM112" s="2230"/>
      <c r="AN112" s="2230"/>
      <c r="AO112" s="2230"/>
      <c r="AP112" s="2230"/>
      <c r="AQ112" s="2230"/>
      <c r="AR112" s="2230"/>
      <c r="AS112" s="2230"/>
      <c r="AT112" s="2231"/>
      <c r="AU112" s="2099" t="str">
        <f>IFERROR(IFERROR('Multi-Customer'!$QL$44,VLOOKUP($D112,'Required Info to Submit'!$E$19:$F$28,5,FALSE)),"")</f>
        <v/>
      </c>
      <c r="AV112" s="2100"/>
      <c r="AW112" s="2100"/>
      <c r="AX112" s="2101"/>
      <c r="AY112" s="2146" t="str">
        <f>IFERROR(IFERROR('Multi-Customer'!$QL$45,VLOOKUP($D112,'Required Info to Submit'!$E$19:$F$28,6,FALSE)),"")</f>
        <v/>
      </c>
      <c r="AZ112" s="2147"/>
      <c r="BA112" s="2147"/>
      <c r="BB112" s="2147"/>
      <c r="BC112" s="2148"/>
      <c r="BD112" s="1687"/>
      <c r="BE112" s="1687"/>
      <c r="BF112" s="138"/>
    </row>
    <row r="113" spans="2:58" x14ac:dyDescent="0.25">
      <c r="B113" s="137"/>
      <c r="C113" s="510">
        <v>19</v>
      </c>
      <c r="D113" s="2213">
        <f>'Customer Inputs'!$B$24</f>
        <v>0</v>
      </c>
      <c r="E113" s="2213"/>
      <c r="F113" s="2213"/>
      <c r="G113" s="2213"/>
      <c r="H113" s="2213"/>
      <c r="I113" s="2213"/>
      <c r="J113" s="2213"/>
      <c r="K113" s="2155" t="str">
        <f>IFERROR(IFERROR('Multi-Customer'!$RI$39,VLOOKUP($D113,'Required Info to Submit'!$E$19:$F$28,2,FALSE)),"")</f>
        <v/>
      </c>
      <c r="L113" s="2155"/>
      <c r="M113" s="2155"/>
      <c r="N113" s="2155"/>
      <c r="O113" s="2155"/>
      <c r="P113" s="2155"/>
      <c r="Q113" s="2155"/>
      <c r="R113" s="2155"/>
      <c r="S113" s="2155"/>
      <c r="T113" s="2155"/>
      <c r="U113" s="2155" t="str">
        <f>IFERROR(IFERROR('Multi-Customer'!$RI$41&amp;" "&amp;'Multi-Customer'!$JJ$42,VLOOKUP($D113,'Required Info to Submit'!$E$19:$F$28,3,FALSE)),"")</f>
        <v/>
      </c>
      <c r="V113" s="2155"/>
      <c r="W113" s="2155"/>
      <c r="X113" s="2155"/>
      <c r="Y113" s="2155"/>
      <c r="Z113" s="2155"/>
      <c r="AA113" s="2155"/>
      <c r="AB113" s="2155"/>
      <c r="AC113" s="2155"/>
      <c r="AD113" s="2155"/>
      <c r="AE113" s="2155"/>
      <c r="AF113" s="2155"/>
      <c r="AG113" s="2155"/>
      <c r="AH113" s="2155"/>
      <c r="AI113" s="2155"/>
      <c r="AJ113" s="2229" t="str">
        <f>IFERROR(IFERROR('Multi-Customer'!$RI$43,VLOOKUP($D113,'Required Info to Submit'!$E$19:$F$28,4,FALSE)),"")</f>
        <v/>
      </c>
      <c r="AK113" s="2230"/>
      <c r="AL113" s="2230"/>
      <c r="AM113" s="2230"/>
      <c r="AN113" s="2230"/>
      <c r="AO113" s="2230"/>
      <c r="AP113" s="2230"/>
      <c r="AQ113" s="2230"/>
      <c r="AR113" s="2230"/>
      <c r="AS113" s="2230"/>
      <c r="AT113" s="2231"/>
      <c r="AU113" s="2099" t="str">
        <f>IFERROR(IFERROR('Multi-Customer'!$RI$44,VLOOKUP($D113,'Required Info to Submit'!$E$19:$F$28,5,FALSE)),"")</f>
        <v/>
      </c>
      <c r="AV113" s="2100"/>
      <c r="AW113" s="2100"/>
      <c r="AX113" s="2101"/>
      <c r="AY113" s="2146" t="str">
        <f>IFERROR(IFERROR('Multi-Customer'!$RI$45,VLOOKUP($D113,'Required Info to Submit'!$E$19:$F$28,6,FALSE)),"")</f>
        <v/>
      </c>
      <c r="AZ113" s="2147"/>
      <c r="BA113" s="2147"/>
      <c r="BB113" s="2147"/>
      <c r="BC113" s="2148"/>
      <c r="BD113" s="1687"/>
      <c r="BE113" s="1687"/>
      <c r="BF113" s="138"/>
    </row>
    <row r="114" spans="2:58" ht="15.75" thickBot="1" x14ac:dyDescent="0.3">
      <c r="B114" s="137"/>
      <c r="C114" s="511">
        <v>20</v>
      </c>
      <c r="D114" s="2225">
        <f>'Customer Inputs'!$B$25</f>
        <v>0</v>
      </c>
      <c r="E114" s="2225"/>
      <c r="F114" s="2225"/>
      <c r="G114" s="2225"/>
      <c r="H114" s="2225"/>
      <c r="I114" s="2225"/>
      <c r="J114" s="2225"/>
      <c r="K114" s="2224" t="str">
        <f>IFERROR(IFERROR('Multi-Customer'!$SF$39,VLOOKUP($D114,'Required Info to Submit'!$E$19:$F$28,2,FALSE)),"")</f>
        <v/>
      </c>
      <c r="L114" s="2224"/>
      <c r="M114" s="2224"/>
      <c r="N114" s="2224"/>
      <c r="O114" s="2224"/>
      <c r="P114" s="2224"/>
      <c r="Q114" s="2224"/>
      <c r="R114" s="2224"/>
      <c r="S114" s="2224"/>
      <c r="T114" s="2224"/>
      <c r="U114" s="2224" t="str">
        <f>IFERROR(IFERROR('Multi-Customer'!$SF$41&amp;" "&amp;'Multi-Customer'!$JJ$42,VLOOKUP($D114,'Required Info to Submit'!$E$19:$F$28,3,FALSE)),"")</f>
        <v/>
      </c>
      <c r="V114" s="2224"/>
      <c r="W114" s="2224"/>
      <c r="X114" s="2224"/>
      <c r="Y114" s="2224"/>
      <c r="Z114" s="2224"/>
      <c r="AA114" s="2224"/>
      <c r="AB114" s="2224"/>
      <c r="AC114" s="2224"/>
      <c r="AD114" s="2224"/>
      <c r="AE114" s="2224"/>
      <c r="AF114" s="2224"/>
      <c r="AG114" s="2224"/>
      <c r="AH114" s="2224"/>
      <c r="AI114" s="2224"/>
      <c r="AJ114" s="2226" t="str">
        <f>IFERROR(IFERROR('Multi-Customer'!$SF$43,VLOOKUP($D114,'Required Info to Submit'!$E$19:$F$28,4,FALSE)),"")</f>
        <v/>
      </c>
      <c r="AK114" s="2227"/>
      <c r="AL114" s="2227"/>
      <c r="AM114" s="2227"/>
      <c r="AN114" s="2227"/>
      <c r="AO114" s="2227"/>
      <c r="AP114" s="2227"/>
      <c r="AQ114" s="2227"/>
      <c r="AR114" s="2227"/>
      <c r="AS114" s="2227"/>
      <c r="AT114" s="2228"/>
      <c r="AU114" s="2246" t="str">
        <f>IFERROR(IFERROR('Multi-Customer'!$SF$44,VLOOKUP($D114,'Required Info to Submit'!$E$19:$F$28,5,FALSE)),"")</f>
        <v/>
      </c>
      <c r="AV114" s="2247"/>
      <c r="AW114" s="2247"/>
      <c r="AX114" s="2248"/>
      <c r="AY114" s="2239" t="str">
        <f>IFERROR(IFERROR('Multi-Customer'!$SF$45,VLOOKUP($D114,'Required Info to Submit'!$E$19:$F$28,6,FALSE)),"")</f>
        <v/>
      </c>
      <c r="AZ114" s="2240"/>
      <c r="BA114" s="2240"/>
      <c r="BB114" s="2240"/>
      <c r="BC114" s="2241"/>
      <c r="BF114" s="138"/>
    </row>
    <row r="115" spans="2:58" x14ac:dyDescent="0.25">
      <c r="B115" s="137"/>
      <c r="BF115" s="138"/>
    </row>
    <row r="116" spans="2:58" x14ac:dyDescent="0.25">
      <c r="B116" s="137"/>
      <c r="BF116" s="138"/>
    </row>
    <row r="117" spans="2:58" ht="18.75" x14ac:dyDescent="0.3">
      <c r="B117" s="2201" t="s">
        <v>960</v>
      </c>
      <c r="C117" s="2202"/>
      <c r="D117" s="2202"/>
      <c r="E117" s="2202"/>
      <c r="F117" s="2202"/>
      <c r="G117" s="2202"/>
      <c r="H117" s="2202"/>
      <c r="I117" s="2202"/>
      <c r="J117" s="2202"/>
      <c r="K117" s="2202"/>
      <c r="L117" s="2202"/>
      <c r="M117" s="2202"/>
      <c r="N117" s="2202"/>
      <c r="O117" s="2202"/>
      <c r="P117" s="2202"/>
      <c r="Q117" s="2202"/>
      <c r="R117" s="2202"/>
      <c r="S117" s="2202"/>
      <c r="T117" s="2202"/>
      <c r="U117" s="2202"/>
      <c r="V117" s="2202"/>
      <c r="W117" s="2202"/>
      <c r="X117" s="2202"/>
      <c r="Y117" s="2202"/>
      <c r="Z117" s="2202"/>
      <c r="AA117" s="2202"/>
      <c r="AB117" s="2202"/>
      <c r="AC117" s="2202"/>
      <c r="AD117" s="2202"/>
      <c r="AE117" s="2202"/>
      <c r="AF117" s="2202"/>
      <c r="AG117" s="2202"/>
      <c r="AH117" s="2202"/>
      <c r="AI117" s="2202"/>
      <c r="AJ117" s="2202"/>
      <c r="AK117" s="2202"/>
      <c r="AL117" s="2202"/>
      <c r="AM117" s="2202"/>
      <c r="AN117" s="2202"/>
      <c r="AO117" s="2202"/>
      <c r="AP117" s="2202"/>
      <c r="AQ117" s="2202"/>
      <c r="AR117" s="2202"/>
      <c r="AS117" s="2202"/>
      <c r="AT117" s="2202"/>
      <c r="AU117" s="2202"/>
      <c r="AV117" s="2202"/>
      <c r="AW117" s="2202"/>
      <c r="AX117" s="2202"/>
      <c r="AY117" s="2202"/>
      <c r="AZ117" s="2202"/>
      <c r="BA117" s="2202"/>
      <c r="BB117" s="2202"/>
      <c r="BC117" s="2202"/>
      <c r="BD117" s="2202"/>
      <c r="BE117" s="2202"/>
      <c r="BF117" s="2203"/>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71" t="s">
        <v>961</v>
      </c>
      <c r="V119" s="2141"/>
      <c r="W119" s="2141"/>
      <c r="X119" s="2141"/>
      <c r="Y119" s="2141"/>
      <c r="Z119" s="2141" t="s">
        <v>954</v>
      </c>
      <c r="AA119" s="2141"/>
      <c r="AB119" s="2141"/>
      <c r="AC119" s="2141"/>
      <c r="AD119" s="2141"/>
      <c r="AE119" s="2141"/>
      <c r="AF119" s="2141" t="s">
        <v>955</v>
      </c>
      <c r="AG119" s="2141"/>
      <c r="AH119" s="2141"/>
      <c r="AI119" s="2141"/>
      <c r="AJ119" s="2141"/>
      <c r="AK119" s="2141"/>
      <c r="AL119" s="2141"/>
      <c r="AM119" s="2141" t="s">
        <v>958</v>
      </c>
      <c r="AN119" s="2141"/>
      <c r="AO119" s="2141"/>
      <c r="AP119" s="2141"/>
      <c r="AQ119" s="2141"/>
      <c r="AR119" s="2141"/>
      <c r="AS119" s="2142"/>
      <c r="AT119" s="240"/>
      <c r="AU119" s="240"/>
      <c r="AV119" s="240"/>
      <c r="AW119" s="240"/>
      <c r="AX119" s="240"/>
      <c r="AY119" s="240"/>
      <c r="AZ119" s="240"/>
      <c r="BA119" s="240"/>
      <c r="BB119" s="240"/>
      <c r="BC119" s="240"/>
      <c r="BD119" s="240"/>
      <c r="BE119" s="240"/>
      <c r="BF119" s="513"/>
    </row>
    <row r="120" spans="2:58" x14ac:dyDescent="0.25">
      <c r="B120" s="137"/>
      <c r="D120" s="2168" t="s">
        <v>99</v>
      </c>
      <c r="E120" s="2169"/>
      <c r="F120" s="2169"/>
      <c r="G120" s="2169"/>
      <c r="H120" s="2169"/>
      <c r="I120" s="2169"/>
      <c r="J120" s="2169"/>
      <c r="K120" s="2169"/>
      <c r="L120" s="2169"/>
      <c r="M120" s="2169"/>
      <c r="N120" s="2169"/>
      <c r="O120" s="2169"/>
      <c r="P120" s="2169"/>
      <c r="Q120" s="2169"/>
      <c r="R120" s="2169"/>
      <c r="S120" s="2169"/>
      <c r="T120" s="2170"/>
      <c r="U120" s="2158" t="str">
        <f>IF('PIM Model'!$B$10=0,"",'PIM Model'!$B$10)</f>
        <v/>
      </c>
      <c r="V120" s="2159"/>
      <c r="W120" s="2159"/>
      <c r="X120" s="2159"/>
      <c r="Y120" s="2159"/>
      <c r="Z120" s="2159" t="str">
        <f>'PIM Model'!$AF$10</f>
        <v/>
      </c>
      <c r="AA120" s="2159"/>
      <c r="AB120" s="2159"/>
      <c r="AC120" s="2159"/>
      <c r="AD120" s="2159"/>
      <c r="AE120" s="2159"/>
      <c r="AF120" s="2143" t="str">
        <f>'PIM Model'!$AG$10</f>
        <v/>
      </c>
      <c r="AG120" s="2144"/>
      <c r="AH120" s="2144"/>
      <c r="AI120" s="2144"/>
      <c r="AJ120" s="2144"/>
      <c r="AK120" s="2144"/>
      <c r="AL120" s="2151"/>
      <c r="AM120" s="2143" t="str">
        <f>'PIM Model'!$AH$10</f>
        <v/>
      </c>
      <c r="AN120" s="2144"/>
      <c r="AO120" s="2144"/>
      <c r="AP120" s="2144"/>
      <c r="AQ120" s="2144"/>
      <c r="AR120" s="2144"/>
      <c r="AS120" s="2145"/>
      <c r="BF120" s="138"/>
    </row>
    <row r="121" spans="2:58" x14ac:dyDescent="0.25">
      <c r="B121" s="137"/>
      <c r="D121" s="2154" t="s">
        <v>103</v>
      </c>
      <c r="E121" s="2155"/>
      <c r="F121" s="2155"/>
      <c r="G121" s="2155"/>
      <c r="H121" s="2155"/>
      <c r="I121" s="2155"/>
      <c r="J121" s="2155"/>
      <c r="K121" s="2155"/>
      <c r="L121" s="2155"/>
      <c r="M121" s="2155"/>
      <c r="N121" s="2155"/>
      <c r="O121" s="2155"/>
      <c r="P121" s="2155"/>
      <c r="Q121" s="2155"/>
      <c r="R121" s="2155"/>
      <c r="S121" s="2155"/>
      <c r="T121" s="2156"/>
      <c r="U121" s="2153" t="str">
        <f>IF('PIM Model'!$B$11=0,"",'PIM Model'!$B$11)</f>
        <v/>
      </c>
      <c r="V121" s="2098"/>
      <c r="W121" s="2098"/>
      <c r="X121" s="2098"/>
      <c r="Y121" s="2098"/>
      <c r="Z121" s="2098" t="str">
        <f>'PIM Model'!$AF$11</f>
        <v/>
      </c>
      <c r="AA121" s="2098"/>
      <c r="AB121" s="2098"/>
      <c r="AC121" s="2098"/>
      <c r="AD121" s="2098"/>
      <c r="AE121" s="2098"/>
      <c r="AF121" s="2146" t="str">
        <f>'PIM Model'!$AG$11</f>
        <v/>
      </c>
      <c r="AG121" s="2147"/>
      <c r="AH121" s="2147"/>
      <c r="AI121" s="2147"/>
      <c r="AJ121" s="2147"/>
      <c r="AK121" s="2147"/>
      <c r="AL121" s="2152"/>
      <c r="AM121" s="2146" t="str">
        <f>'PIM Model'!$AH$11</f>
        <v/>
      </c>
      <c r="AN121" s="2147"/>
      <c r="AO121" s="2147"/>
      <c r="AP121" s="2147"/>
      <c r="AQ121" s="2147"/>
      <c r="AR121" s="2147"/>
      <c r="AS121" s="2148"/>
      <c r="BF121" s="138"/>
    </row>
    <row r="122" spans="2:58" x14ac:dyDescent="0.25">
      <c r="B122" s="137"/>
      <c r="D122" s="2154" t="s">
        <v>1289</v>
      </c>
      <c r="E122" s="2155"/>
      <c r="F122" s="2155"/>
      <c r="G122" s="2155"/>
      <c r="H122" s="2155"/>
      <c r="I122" s="2155"/>
      <c r="J122" s="2155"/>
      <c r="K122" s="2155"/>
      <c r="L122" s="2155"/>
      <c r="M122" s="2155"/>
      <c r="N122" s="2155"/>
      <c r="O122" s="2155"/>
      <c r="P122" s="2155"/>
      <c r="Q122" s="2155"/>
      <c r="R122" s="2155"/>
      <c r="S122" s="2155"/>
      <c r="T122" s="2156"/>
      <c r="U122" s="2153" t="str">
        <f>IF('PIM Model'!$B$12=0,"",'PIM Model'!$B$12)</f>
        <v/>
      </c>
      <c r="V122" s="2098"/>
      <c r="W122" s="2098"/>
      <c r="X122" s="2098"/>
      <c r="Y122" s="2098"/>
      <c r="Z122" s="2098" t="str">
        <f>'PIM Model'!$AF$12</f>
        <v/>
      </c>
      <c r="AA122" s="2098"/>
      <c r="AB122" s="2098"/>
      <c r="AC122" s="2098"/>
      <c r="AD122" s="2098"/>
      <c r="AE122" s="2098"/>
      <c r="AF122" s="2146" t="str">
        <f>'PIM Model'!$AG$12</f>
        <v/>
      </c>
      <c r="AG122" s="2147"/>
      <c r="AH122" s="2147"/>
      <c r="AI122" s="2147"/>
      <c r="AJ122" s="2147"/>
      <c r="AK122" s="2147"/>
      <c r="AL122" s="2152"/>
      <c r="AM122" s="2146" t="str">
        <f>'PIM Model'!$AH$12</f>
        <v/>
      </c>
      <c r="AN122" s="2147"/>
      <c r="AO122" s="2147"/>
      <c r="AP122" s="2147"/>
      <c r="AQ122" s="2147"/>
      <c r="AR122" s="2147"/>
      <c r="AS122" s="2148"/>
      <c r="BF122" s="138"/>
    </row>
    <row r="123" spans="2:58" x14ac:dyDescent="0.25">
      <c r="B123" s="137"/>
      <c r="D123" s="2154" t="s">
        <v>102</v>
      </c>
      <c r="E123" s="2155"/>
      <c r="F123" s="2155"/>
      <c r="G123" s="2155"/>
      <c r="H123" s="2155"/>
      <c r="I123" s="2155"/>
      <c r="J123" s="2155"/>
      <c r="K123" s="2155"/>
      <c r="L123" s="2155"/>
      <c r="M123" s="2155"/>
      <c r="N123" s="2155"/>
      <c r="O123" s="2155"/>
      <c r="P123" s="2155"/>
      <c r="Q123" s="2155"/>
      <c r="R123" s="2155"/>
      <c r="S123" s="2155"/>
      <c r="T123" s="2156"/>
      <c r="U123" s="2153" t="str">
        <f>IF('PIM Model'!$B$13=0,"",'PIM Model'!$B$13)</f>
        <v/>
      </c>
      <c r="V123" s="2098"/>
      <c r="W123" s="2098"/>
      <c r="X123" s="2098"/>
      <c r="Y123" s="2098"/>
      <c r="Z123" s="2098" t="str">
        <f>'PIM Model'!$AF$13</f>
        <v/>
      </c>
      <c r="AA123" s="2098"/>
      <c r="AB123" s="2098"/>
      <c r="AC123" s="2098"/>
      <c r="AD123" s="2098"/>
      <c r="AE123" s="2098"/>
      <c r="AF123" s="2146" t="str">
        <f>'PIM Model'!$AG$13</f>
        <v/>
      </c>
      <c r="AG123" s="2147"/>
      <c r="AH123" s="2147"/>
      <c r="AI123" s="2147"/>
      <c r="AJ123" s="2147"/>
      <c r="AK123" s="2147"/>
      <c r="AL123" s="2152"/>
      <c r="AM123" s="2146" t="str">
        <f>'PIM Model'!$AH$13</f>
        <v/>
      </c>
      <c r="AN123" s="2147"/>
      <c r="AO123" s="2147"/>
      <c r="AP123" s="2147"/>
      <c r="AQ123" s="2147"/>
      <c r="AR123" s="2147"/>
      <c r="AS123" s="2148"/>
      <c r="BF123" s="138"/>
    </row>
    <row r="124" spans="2:58" x14ac:dyDescent="0.25">
      <c r="B124" s="137"/>
      <c r="D124" s="2154" t="s">
        <v>100</v>
      </c>
      <c r="E124" s="2155"/>
      <c r="F124" s="2155"/>
      <c r="G124" s="2155"/>
      <c r="H124" s="2155"/>
      <c r="I124" s="2155"/>
      <c r="J124" s="2155"/>
      <c r="K124" s="2155"/>
      <c r="L124" s="2155"/>
      <c r="M124" s="2155"/>
      <c r="N124" s="2155"/>
      <c r="O124" s="2155"/>
      <c r="P124" s="2155"/>
      <c r="Q124" s="2155"/>
      <c r="R124" s="2155"/>
      <c r="S124" s="2155"/>
      <c r="T124" s="2156"/>
      <c r="U124" s="2153" t="str">
        <f>IF('PIM Model'!$B$14=0,"",'PIM Model'!$B$14)</f>
        <v/>
      </c>
      <c r="V124" s="2098"/>
      <c r="W124" s="2098"/>
      <c r="X124" s="2098"/>
      <c r="Y124" s="2098"/>
      <c r="Z124" s="2098" t="str">
        <f>'PIM Model'!$AF$14</f>
        <v/>
      </c>
      <c r="AA124" s="2098"/>
      <c r="AB124" s="2098"/>
      <c r="AC124" s="2098"/>
      <c r="AD124" s="2098"/>
      <c r="AE124" s="2098"/>
      <c r="AF124" s="2146" t="str">
        <f>'PIM Model'!$AG$14</f>
        <v/>
      </c>
      <c r="AG124" s="2147"/>
      <c r="AH124" s="2147"/>
      <c r="AI124" s="2147"/>
      <c r="AJ124" s="2147"/>
      <c r="AK124" s="2147"/>
      <c r="AL124" s="2152"/>
      <c r="AM124" s="2146" t="str">
        <f>'PIM Model'!$AH$14</f>
        <v/>
      </c>
      <c r="AN124" s="2147"/>
      <c r="AO124" s="2147"/>
      <c r="AP124" s="2147"/>
      <c r="AQ124" s="2147"/>
      <c r="AR124" s="2147"/>
      <c r="AS124" s="2148"/>
      <c r="BF124" s="138"/>
    </row>
    <row r="125" spans="2:58" x14ac:dyDescent="0.25">
      <c r="B125" s="137"/>
      <c r="D125" s="2154" t="s">
        <v>104</v>
      </c>
      <c r="E125" s="2155"/>
      <c r="F125" s="2155"/>
      <c r="G125" s="2155"/>
      <c r="H125" s="2155"/>
      <c r="I125" s="2155"/>
      <c r="J125" s="2155"/>
      <c r="K125" s="2155"/>
      <c r="L125" s="2155"/>
      <c r="M125" s="2155"/>
      <c r="N125" s="2155"/>
      <c r="O125" s="2155"/>
      <c r="P125" s="2155"/>
      <c r="Q125" s="2155"/>
      <c r="R125" s="2155"/>
      <c r="S125" s="2155"/>
      <c r="T125" s="2156"/>
      <c r="U125" s="2153" t="str">
        <f>IF('PIM Model'!$B$15=0,"",'PIM Model'!$B$15)</f>
        <v/>
      </c>
      <c r="V125" s="2098"/>
      <c r="W125" s="2098"/>
      <c r="X125" s="2098"/>
      <c r="Y125" s="2098"/>
      <c r="Z125" s="2098" t="str">
        <f>'PIM Model'!$AF$15</f>
        <v/>
      </c>
      <c r="AA125" s="2098"/>
      <c r="AB125" s="2098"/>
      <c r="AC125" s="2098"/>
      <c r="AD125" s="2098"/>
      <c r="AE125" s="2098"/>
      <c r="AF125" s="2146" t="str">
        <f>'PIM Model'!$AG$15</f>
        <v/>
      </c>
      <c r="AG125" s="2147"/>
      <c r="AH125" s="2147"/>
      <c r="AI125" s="2147"/>
      <c r="AJ125" s="2147"/>
      <c r="AK125" s="2147"/>
      <c r="AL125" s="2152"/>
      <c r="AM125" s="2146" t="str">
        <f>'PIM Model'!$AH$15</f>
        <v/>
      </c>
      <c r="AN125" s="2147"/>
      <c r="AO125" s="2147"/>
      <c r="AP125" s="2147"/>
      <c r="AQ125" s="2147"/>
      <c r="AR125" s="2147"/>
      <c r="AS125" s="2148"/>
      <c r="BF125" s="138"/>
    </row>
    <row r="126" spans="2:58" x14ac:dyDescent="0.25">
      <c r="B126" s="137"/>
      <c r="D126" s="2154" t="s">
        <v>98</v>
      </c>
      <c r="E126" s="2155"/>
      <c r="F126" s="2155"/>
      <c r="G126" s="2155"/>
      <c r="H126" s="2155"/>
      <c r="I126" s="2155"/>
      <c r="J126" s="2155"/>
      <c r="K126" s="2155"/>
      <c r="L126" s="2155"/>
      <c r="M126" s="2155"/>
      <c r="N126" s="2155"/>
      <c r="O126" s="2155"/>
      <c r="P126" s="2155"/>
      <c r="Q126" s="2155"/>
      <c r="R126" s="2155"/>
      <c r="S126" s="2155"/>
      <c r="T126" s="2156"/>
      <c r="U126" s="2153" t="str">
        <f>IF('PIM Model'!$B$16=0,"",'PIM Model'!$B$16)</f>
        <v/>
      </c>
      <c r="V126" s="2098"/>
      <c r="W126" s="2098"/>
      <c r="X126" s="2098"/>
      <c r="Y126" s="2098"/>
      <c r="Z126" s="2098" t="str">
        <f>'PIM Model'!$AF$16</f>
        <v/>
      </c>
      <c r="AA126" s="2098"/>
      <c r="AB126" s="2098"/>
      <c r="AC126" s="2098"/>
      <c r="AD126" s="2098"/>
      <c r="AE126" s="2098"/>
      <c r="AF126" s="2146" t="str">
        <f>'PIM Model'!$AG$16</f>
        <v/>
      </c>
      <c r="AG126" s="2147"/>
      <c r="AH126" s="2147"/>
      <c r="AI126" s="2147"/>
      <c r="AJ126" s="2147"/>
      <c r="AK126" s="2147"/>
      <c r="AL126" s="2152"/>
      <c r="AM126" s="2146" t="str">
        <f>'PIM Model'!$AH$16</f>
        <v/>
      </c>
      <c r="AN126" s="2147"/>
      <c r="AO126" s="2147"/>
      <c r="AP126" s="2147"/>
      <c r="AQ126" s="2147"/>
      <c r="AR126" s="2147"/>
      <c r="AS126" s="2148"/>
      <c r="BF126" s="138"/>
    </row>
    <row r="127" spans="2:58" x14ac:dyDescent="0.25">
      <c r="B127" s="137"/>
      <c r="D127" s="2154" t="s">
        <v>95</v>
      </c>
      <c r="E127" s="2155"/>
      <c r="F127" s="2155"/>
      <c r="G127" s="2155"/>
      <c r="H127" s="2155"/>
      <c r="I127" s="2155"/>
      <c r="J127" s="2155"/>
      <c r="K127" s="2155"/>
      <c r="L127" s="2155"/>
      <c r="M127" s="2155"/>
      <c r="N127" s="2155"/>
      <c r="O127" s="2155"/>
      <c r="P127" s="2155"/>
      <c r="Q127" s="2155"/>
      <c r="R127" s="2155"/>
      <c r="S127" s="2155"/>
      <c r="T127" s="2156"/>
      <c r="U127" s="2153" t="str">
        <f>IF('PIM Model'!$B$17=0,"",'PIM Model'!$B$17)</f>
        <v/>
      </c>
      <c r="V127" s="2098"/>
      <c r="W127" s="2098"/>
      <c r="X127" s="2098"/>
      <c r="Y127" s="2098"/>
      <c r="Z127" s="2098" t="str">
        <f>'PIM Model'!$AF$17</f>
        <v/>
      </c>
      <c r="AA127" s="2098"/>
      <c r="AB127" s="2098"/>
      <c r="AC127" s="2098"/>
      <c r="AD127" s="2098"/>
      <c r="AE127" s="2098"/>
      <c r="AF127" s="2146" t="str">
        <f>'PIM Model'!$AG$17</f>
        <v/>
      </c>
      <c r="AG127" s="2147"/>
      <c r="AH127" s="2147"/>
      <c r="AI127" s="2147"/>
      <c r="AJ127" s="2147"/>
      <c r="AK127" s="2147"/>
      <c r="AL127" s="2152"/>
      <c r="AM127" s="2146" t="str">
        <f>'PIM Model'!$AH$17</f>
        <v/>
      </c>
      <c r="AN127" s="2147"/>
      <c r="AO127" s="2147"/>
      <c r="AP127" s="2147"/>
      <c r="AQ127" s="2147"/>
      <c r="AR127" s="2147"/>
      <c r="AS127" s="2148"/>
      <c r="BF127" s="138"/>
    </row>
    <row r="128" spans="2:58" x14ac:dyDescent="0.25">
      <c r="B128" s="137"/>
      <c r="D128" s="2154" t="s">
        <v>96</v>
      </c>
      <c r="E128" s="2155"/>
      <c r="F128" s="2155"/>
      <c r="G128" s="2155"/>
      <c r="H128" s="2155"/>
      <c r="I128" s="2155"/>
      <c r="J128" s="2155"/>
      <c r="K128" s="2155"/>
      <c r="L128" s="2155"/>
      <c r="M128" s="2155"/>
      <c r="N128" s="2155"/>
      <c r="O128" s="2155"/>
      <c r="P128" s="2155"/>
      <c r="Q128" s="2155"/>
      <c r="R128" s="2155"/>
      <c r="S128" s="2155"/>
      <c r="T128" s="2156"/>
      <c r="U128" s="2153" t="str">
        <f>IF('PIM Model'!$B$18=0,"",'PIM Model'!$B$18)</f>
        <v/>
      </c>
      <c r="V128" s="2098"/>
      <c r="W128" s="2098"/>
      <c r="X128" s="2098"/>
      <c r="Y128" s="2098"/>
      <c r="Z128" s="2098" t="str">
        <f>'PIM Model'!$AF$18</f>
        <v/>
      </c>
      <c r="AA128" s="2098"/>
      <c r="AB128" s="2098"/>
      <c r="AC128" s="2098"/>
      <c r="AD128" s="2098"/>
      <c r="AE128" s="2098"/>
      <c r="AF128" s="2146" t="str">
        <f>'PIM Model'!$AG$18</f>
        <v/>
      </c>
      <c r="AG128" s="2147"/>
      <c r="AH128" s="2147"/>
      <c r="AI128" s="2147"/>
      <c r="AJ128" s="2147"/>
      <c r="AK128" s="2147"/>
      <c r="AL128" s="2152"/>
      <c r="AM128" s="2146" t="str">
        <f>'PIM Model'!$AH$18</f>
        <v/>
      </c>
      <c r="AN128" s="2147"/>
      <c r="AO128" s="2147"/>
      <c r="AP128" s="2147"/>
      <c r="AQ128" s="2147"/>
      <c r="AR128" s="2147"/>
      <c r="AS128" s="2148"/>
      <c r="BF128" s="138"/>
    </row>
    <row r="129" spans="2:58" x14ac:dyDescent="0.25">
      <c r="B129" s="137"/>
      <c r="D129" s="2154" t="s">
        <v>101</v>
      </c>
      <c r="E129" s="2155"/>
      <c r="F129" s="2155"/>
      <c r="G129" s="2155"/>
      <c r="H129" s="2155"/>
      <c r="I129" s="2155"/>
      <c r="J129" s="2155"/>
      <c r="K129" s="2155"/>
      <c r="L129" s="2155"/>
      <c r="M129" s="2155"/>
      <c r="N129" s="2155"/>
      <c r="O129" s="2155"/>
      <c r="P129" s="2155"/>
      <c r="Q129" s="2155"/>
      <c r="R129" s="2155"/>
      <c r="S129" s="2155"/>
      <c r="T129" s="2156"/>
      <c r="U129" s="2153" t="str">
        <f>IF('PIM Model'!$B$19=0,"",'PIM Model'!$B$19)</f>
        <v/>
      </c>
      <c r="V129" s="2098"/>
      <c r="W129" s="2098"/>
      <c r="X129" s="2098"/>
      <c r="Y129" s="2098"/>
      <c r="Z129" s="2098" t="str">
        <f>'PIM Model'!$AF$19</f>
        <v/>
      </c>
      <c r="AA129" s="2098"/>
      <c r="AB129" s="2098"/>
      <c r="AC129" s="2098"/>
      <c r="AD129" s="2098"/>
      <c r="AE129" s="2098"/>
      <c r="AF129" s="2146" t="str">
        <f>'PIM Model'!$AG$19</f>
        <v/>
      </c>
      <c r="AG129" s="2147"/>
      <c r="AH129" s="2147"/>
      <c r="AI129" s="2147"/>
      <c r="AJ129" s="2147"/>
      <c r="AK129" s="2147"/>
      <c r="AL129" s="2152"/>
      <c r="AM129" s="2146" t="str">
        <f>'PIM Model'!$AH$19</f>
        <v/>
      </c>
      <c r="AN129" s="2147"/>
      <c r="AO129" s="2147"/>
      <c r="AP129" s="2147"/>
      <c r="AQ129" s="2147"/>
      <c r="AR129" s="2147"/>
      <c r="AS129" s="2148"/>
      <c r="BF129" s="138"/>
    </row>
    <row r="130" spans="2:58" x14ac:dyDescent="0.25">
      <c r="B130" s="137"/>
      <c r="D130" s="2154" t="s">
        <v>97</v>
      </c>
      <c r="E130" s="2155"/>
      <c r="F130" s="2155"/>
      <c r="G130" s="2155"/>
      <c r="H130" s="2155"/>
      <c r="I130" s="2155"/>
      <c r="J130" s="2155"/>
      <c r="K130" s="2155"/>
      <c r="L130" s="2155"/>
      <c r="M130" s="2155"/>
      <c r="N130" s="2155"/>
      <c r="O130" s="2155"/>
      <c r="P130" s="2155"/>
      <c r="Q130" s="2155"/>
      <c r="R130" s="2155"/>
      <c r="S130" s="2155"/>
      <c r="T130" s="2156"/>
      <c r="U130" s="2153" t="str">
        <f>IF('PIM Model'!$B$20=0,"",'PIM Model'!$B$20)</f>
        <v/>
      </c>
      <c r="V130" s="2098"/>
      <c r="W130" s="2098"/>
      <c r="X130" s="2098"/>
      <c r="Y130" s="2098"/>
      <c r="Z130" s="2098" t="str">
        <f>'PIM Model'!$AF$20</f>
        <v/>
      </c>
      <c r="AA130" s="2098"/>
      <c r="AB130" s="2098"/>
      <c r="AC130" s="2098"/>
      <c r="AD130" s="2098"/>
      <c r="AE130" s="2098"/>
      <c r="AF130" s="2146" t="str">
        <f>'PIM Model'!$AG$20</f>
        <v/>
      </c>
      <c r="AG130" s="2147"/>
      <c r="AH130" s="2147"/>
      <c r="AI130" s="2147"/>
      <c r="AJ130" s="2147"/>
      <c r="AK130" s="2147"/>
      <c r="AL130" s="2152"/>
      <c r="AM130" s="2146" t="str">
        <f>'PIM Model'!$AH$20</f>
        <v/>
      </c>
      <c r="AN130" s="2147"/>
      <c r="AO130" s="2147"/>
      <c r="AP130" s="2147"/>
      <c r="AQ130" s="2147"/>
      <c r="AR130" s="2147"/>
      <c r="AS130" s="2148"/>
      <c r="BF130" s="138"/>
    </row>
    <row r="131" spans="2:58" x14ac:dyDescent="0.25">
      <c r="B131" s="137"/>
      <c r="D131" s="2154" t="s">
        <v>93</v>
      </c>
      <c r="E131" s="2155"/>
      <c r="F131" s="2155"/>
      <c r="G131" s="2155"/>
      <c r="H131" s="2155"/>
      <c r="I131" s="2155"/>
      <c r="J131" s="2155"/>
      <c r="K131" s="2155"/>
      <c r="L131" s="2155"/>
      <c r="M131" s="2155"/>
      <c r="N131" s="2155"/>
      <c r="O131" s="2155"/>
      <c r="P131" s="2155"/>
      <c r="Q131" s="2155"/>
      <c r="R131" s="2155"/>
      <c r="S131" s="2155"/>
      <c r="T131" s="2156"/>
      <c r="U131" s="2153" t="str">
        <f>IF('PIM Model'!$B$21=0,"",'PIM Model'!$B$21)</f>
        <v/>
      </c>
      <c r="V131" s="2098"/>
      <c r="W131" s="2098"/>
      <c r="X131" s="2098"/>
      <c r="Y131" s="2098"/>
      <c r="Z131" s="2098" t="str">
        <f>'PIM Model'!$AF$21</f>
        <v/>
      </c>
      <c r="AA131" s="2098"/>
      <c r="AB131" s="2098"/>
      <c r="AC131" s="2098"/>
      <c r="AD131" s="2098"/>
      <c r="AE131" s="2098"/>
      <c r="AF131" s="2146" t="str">
        <f>'PIM Model'!$AG$21</f>
        <v/>
      </c>
      <c r="AG131" s="2147"/>
      <c r="AH131" s="2147"/>
      <c r="AI131" s="2147"/>
      <c r="AJ131" s="2147"/>
      <c r="AK131" s="2147"/>
      <c r="AL131" s="2152"/>
      <c r="AM131" s="2146" t="str">
        <f>'PIM Model'!$AH$21</f>
        <v/>
      </c>
      <c r="AN131" s="2147"/>
      <c r="AO131" s="2147"/>
      <c r="AP131" s="2147"/>
      <c r="AQ131" s="2147"/>
      <c r="AR131" s="2147"/>
      <c r="AS131" s="2148"/>
      <c r="BF131" s="138"/>
    </row>
    <row r="132" spans="2:58" x14ac:dyDescent="0.25">
      <c r="B132" s="137"/>
      <c r="D132" s="2154" t="s">
        <v>105</v>
      </c>
      <c r="E132" s="2155"/>
      <c r="F132" s="2155"/>
      <c r="G132" s="2155"/>
      <c r="H132" s="2155"/>
      <c r="I132" s="2155"/>
      <c r="J132" s="2155"/>
      <c r="K132" s="2155"/>
      <c r="L132" s="2155"/>
      <c r="M132" s="2155"/>
      <c r="N132" s="2155"/>
      <c r="O132" s="2155"/>
      <c r="P132" s="2155"/>
      <c r="Q132" s="2155"/>
      <c r="R132" s="2155"/>
      <c r="S132" s="2155"/>
      <c r="T132" s="2156"/>
      <c r="U132" s="2153" t="str">
        <f>IF('PIM Model'!$B$22=0,"",'PIM Model'!$B$22)</f>
        <v/>
      </c>
      <c r="V132" s="2098"/>
      <c r="W132" s="2098"/>
      <c r="X132" s="2098"/>
      <c r="Y132" s="2098"/>
      <c r="Z132" s="2098" t="str">
        <f>'PIM Model'!$AF$22</f>
        <v/>
      </c>
      <c r="AA132" s="2098"/>
      <c r="AB132" s="2098"/>
      <c r="AC132" s="2098"/>
      <c r="AD132" s="2098"/>
      <c r="AE132" s="2098"/>
      <c r="AF132" s="2146" t="str">
        <f>'PIM Model'!$AG$22</f>
        <v/>
      </c>
      <c r="AG132" s="2147"/>
      <c r="AH132" s="2147"/>
      <c r="AI132" s="2147"/>
      <c r="AJ132" s="2147"/>
      <c r="AK132" s="2147"/>
      <c r="AL132" s="2152"/>
      <c r="AM132" s="2146" t="str">
        <f>'PIM Model'!$AH$22</f>
        <v/>
      </c>
      <c r="AN132" s="2147"/>
      <c r="AO132" s="2147"/>
      <c r="AP132" s="2147"/>
      <c r="AQ132" s="2147"/>
      <c r="AR132" s="2147"/>
      <c r="AS132" s="2148"/>
      <c r="BF132" s="138"/>
    </row>
    <row r="133" spans="2:58" x14ac:dyDescent="0.25">
      <c r="B133" s="137"/>
      <c r="D133" s="2154" t="s">
        <v>92</v>
      </c>
      <c r="E133" s="2155"/>
      <c r="F133" s="2155"/>
      <c r="G133" s="2155"/>
      <c r="H133" s="2155"/>
      <c r="I133" s="2155"/>
      <c r="J133" s="2155"/>
      <c r="K133" s="2155"/>
      <c r="L133" s="2155"/>
      <c r="M133" s="2155"/>
      <c r="N133" s="2155"/>
      <c r="O133" s="2155"/>
      <c r="P133" s="2155"/>
      <c r="Q133" s="2155"/>
      <c r="R133" s="2155"/>
      <c r="S133" s="2155"/>
      <c r="T133" s="2156"/>
      <c r="U133" s="2153" t="str">
        <f>IF('PIM Model'!$B$23=0,"",'PIM Model'!$B$23)</f>
        <v/>
      </c>
      <c r="V133" s="2098"/>
      <c r="W133" s="2098"/>
      <c r="X133" s="2098"/>
      <c r="Y133" s="2098"/>
      <c r="Z133" s="2098" t="str">
        <f>'PIM Model'!$AF$23</f>
        <v/>
      </c>
      <c r="AA133" s="2098"/>
      <c r="AB133" s="2098"/>
      <c r="AC133" s="2098"/>
      <c r="AD133" s="2098"/>
      <c r="AE133" s="2098"/>
      <c r="AF133" s="2146" t="str">
        <f>'PIM Model'!$AG$23</f>
        <v/>
      </c>
      <c r="AG133" s="2147"/>
      <c r="AH133" s="2147"/>
      <c r="AI133" s="2147"/>
      <c r="AJ133" s="2147"/>
      <c r="AK133" s="2147"/>
      <c r="AL133" s="2152"/>
      <c r="AM133" s="2146" t="str">
        <f>'PIM Model'!$AH$23</f>
        <v/>
      </c>
      <c r="AN133" s="2147"/>
      <c r="AO133" s="2147"/>
      <c r="AP133" s="2147"/>
      <c r="AQ133" s="2147"/>
      <c r="AR133" s="2147"/>
      <c r="AS133" s="2148"/>
      <c r="BF133" s="138"/>
    </row>
    <row r="134" spans="2:58" x14ac:dyDescent="0.25">
      <c r="B134" s="137"/>
      <c r="D134" s="2154" t="s">
        <v>91</v>
      </c>
      <c r="E134" s="2155"/>
      <c r="F134" s="2155"/>
      <c r="G134" s="2155"/>
      <c r="H134" s="2155"/>
      <c r="I134" s="2155"/>
      <c r="J134" s="2155"/>
      <c r="K134" s="2155"/>
      <c r="L134" s="2155"/>
      <c r="M134" s="2155"/>
      <c r="N134" s="2155"/>
      <c r="O134" s="2155"/>
      <c r="P134" s="2155"/>
      <c r="Q134" s="2155"/>
      <c r="R134" s="2155"/>
      <c r="S134" s="2155"/>
      <c r="T134" s="2156"/>
      <c r="U134" s="2153" t="str">
        <f>IF('PIM Model'!$B$24=0,"",'PIM Model'!$B$24)</f>
        <v/>
      </c>
      <c r="V134" s="2098"/>
      <c r="W134" s="2098"/>
      <c r="X134" s="2098"/>
      <c r="Y134" s="2098"/>
      <c r="Z134" s="2098" t="str">
        <f>'PIM Model'!$AF$24</f>
        <v/>
      </c>
      <c r="AA134" s="2098"/>
      <c r="AB134" s="2098"/>
      <c r="AC134" s="2098"/>
      <c r="AD134" s="2098"/>
      <c r="AE134" s="2098"/>
      <c r="AF134" s="2146" t="str">
        <f>'PIM Model'!$AG$24</f>
        <v/>
      </c>
      <c r="AG134" s="2147"/>
      <c r="AH134" s="2147"/>
      <c r="AI134" s="2147"/>
      <c r="AJ134" s="2147"/>
      <c r="AK134" s="2147"/>
      <c r="AL134" s="2152"/>
      <c r="AM134" s="2146" t="str">
        <f>'PIM Model'!$AH$24</f>
        <v/>
      </c>
      <c r="AN134" s="2147"/>
      <c r="AO134" s="2147"/>
      <c r="AP134" s="2147"/>
      <c r="AQ134" s="2147"/>
      <c r="AR134" s="2147"/>
      <c r="AS134" s="2148"/>
      <c r="BF134" s="138"/>
    </row>
    <row r="135" spans="2:58" x14ac:dyDescent="0.25">
      <c r="B135" s="137"/>
      <c r="D135" s="2154" t="s">
        <v>90</v>
      </c>
      <c r="E135" s="2155"/>
      <c r="F135" s="2155"/>
      <c r="G135" s="2155"/>
      <c r="H135" s="2155"/>
      <c r="I135" s="2155"/>
      <c r="J135" s="2155"/>
      <c r="K135" s="2155"/>
      <c r="L135" s="2155"/>
      <c r="M135" s="2155"/>
      <c r="N135" s="2155"/>
      <c r="O135" s="2155"/>
      <c r="P135" s="2155"/>
      <c r="Q135" s="2155"/>
      <c r="R135" s="2155"/>
      <c r="S135" s="2155"/>
      <c r="T135" s="2156"/>
      <c r="U135" s="2153" t="str">
        <f>IF('PIM Model'!$B$25=0,"",'PIM Model'!$B$25)</f>
        <v/>
      </c>
      <c r="V135" s="2098"/>
      <c r="W135" s="2098"/>
      <c r="X135" s="2098"/>
      <c r="Y135" s="2098"/>
      <c r="Z135" s="2098" t="str">
        <f>'PIM Model'!$AF$25</f>
        <v/>
      </c>
      <c r="AA135" s="2098"/>
      <c r="AB135" s="2098"/>
      <c r="AC135" s="2098"/>
      <c r="AD135" s="2098"/>
      <c r="AE135" s="2098"/>
      <c r="AF135" s="2146" t="str">
        <f>'PIM Model'!$AG$25</f>
        <v/>
      </c>
      <c r="AG135" s="2147"/>
      <c r="AH135" s="2147"/>
      <c r="AI135" s="2147"/>
      <c r="AJ135" s="2147"/>
      <c r="AK135" s="2147"/>
      <c r="AL135" s="2152"/>
      <c r="AM135" s="2146" t="str">
        <f>'PIM Model'!$AH$25</f>
        <v/>
      </c>
      <c r="AN135" s="2147"/>
      <c r="AO135" s="2147"/>
      <c r="AP135" s="2147"/>
      <c r="AQ135" s="2147"/>
      <c r="AR135" s="2147"/>
      <c r="AS135" s="2148"/>
      <c r="BF135" s="138"/>
    </row>
    <row r="136" spans="2:58" x14ac:dyDescent="0.25">
      <c r="B136" s="137"/>
      <c r="D136" s="2154" t="s">
        <v>89</v>
      </c>
      <c r="E136" s="2155"/>
      <c r="F136" s="2155"/>
      <c r="G136" s="2155"/>
      <c r="H136" s="2155"/>
      <c r="I136" s="2155"/>
      <c r="J136" s="2155"/>
      <c r="K136" s="2155"/>
      <c r="L136" s="2155"/>
      <c r="M136" s="2155"/>
      <c r="N136" s="2155"/>
      <c r="O136" s="2155"/>
      <c r="P136" s="2155"/>
      <c r="Q136" s="2155"/>
      <c r="R136" s="2155"/>
      <c r="S136" s="2155"/>
      <c r="T136" s="2156"/>
      <c r="U136" s="2153" t="str">
        <f>IF('PIM Model'!$B$26=0,"",'PIM Model'!$B$26)</f>
        <v/>
      </c>
      <c r="V136" s="2098"/>
      <c r="W136" s="2098"/>
      <c r="X136" s="2098"/>
      <c r="Y136" s="2098"/>
      <c r="Z136" s="2098" t="str">
        <f>'PIM Model'!$AF$26</f>
        <v/>
      </c>
      <c r="AA136" s="2098"/>
      <c r="AB136" s="2098"/>
      <c r="AC136" s="2098"/>
      <c r="AD136" s="2098"/>
      <c r="AE136" s="2098"/>
      <c r="AF136" s="2146" t="str">
        <f>'PIM Model'!$AG$26</f>
        <v/>
      </c>
      <c r="AG136" s="2147"/>
      <c r="AH136" s="2147"/>
      <c r="AI136" s="2147"/>
      <c r="AJ136" s="2147"/>
      <c r="AK136" s="2147"/>
      <c r="AL136" s="2152"/>
      <c r="AM136" s="2146" t="str">
        <f>'PIM Model'!$AH$26</f>
        <v/>
      </c>
      <c r="AN136" s="2147"/>
      <c r="AO136" s="2147"/>
      <c r="AP136" s="2147"/>
      <c r="AQ136" s="2147"/>
      <c r="AR136" s="2147"/>
      <c r="AS136" s="2148"/>
      <c r="BF136" s="138"/>
    </row>
    <row r="137" spans="2:58" x14ac:dyDescent="0.25">
      <c r="B137" s="137"/>
      <c r="D137" s="2154" t="s">
        <v>94</v>
      </c>
      <c r="E137" s="2155"/>
      <c r="F137" s="2155"/>
      <c r="G137" s="2155"/>
      <c r="H137" s="2155"/>
      <c r="I137" s="2155"/>
      <c r="J137" s="2155"/>
      <c r="K137" s="2155"/>
      <c r="L137" s="2155"/>
      <c r="M137" s="2155"/>
      <c r="N137" s="2155"/>
      <c r="O137" s="2155"/>
      <c r="P137" s="2155"/>
      <c r="Q137" s="2155"/>
      <c r="R137" s="2155"/>
      <c r="S137" s="2155"/>
      <c r="T137" s="2156"/>
      <c r="U137" s="2153" t="str">
        <f>IF('PIM Model'!$B$27=0,"",'PIM Model'!$B$27)</f>
        <v/>
      </c>
      <c r="V137" s="2098"/>
      <c r="W137" s="2098"/>
      <c r="X137" s="2098"/>
      <c r="Y137" s="2098"/>
      <c r="Z137" s="2098" t="str">
        <f>'PIM Model'!$AF$27</f>
        <v/>
      </c>
      <c r="AA137" s="2098"/>
      <c r="AB137" s="2098"/>
      <c r="AC137" s="2098"/>
      <c r="AD137" s="2098"/>
      <c r="AE137" s="2098"/>
      <c r="AF137" s="2146" t="str">
        <f>'PIM Model'!$AG$27</f>
        <v/>
      </c>
      <c r="AG137" s="2147"/>
      <c r="AH137" s="2147"/>
      <c r="AI137" s="2147"/>
      <c r="AJ137" s="2147"/>
      <c r="AK137" s="2147"/>
      <c r="AL137" s="2152"/>
      <c r="AM137" s="2146" t="str">
        <f>'PIM Model'!$AH$27</f>
        <v/>
      </c>
      <c r="AN137" s="2147"/>
      <c r="AO137" s="2147"/>
      <c r="AP137" s="2147"/>
      <c r="AQ137" s="2147"/>
      <c r="AR137" s="2147"/>
      <c r="AS137" s="2148"/>
      <c r="BF137" s="138"/>
    </row>
    <row r="138" spans="2:58" x14ac:dyDescent="0.25">
      <c r="B138" s="137"/>
      <c r="D138" s="2154" t="s">
        <v>86</v>
      </c>
      <c r="E138" s="2155"/>
      <c r="F138" s="2155"/>
      <c r="G138" s="2155"/>
      <c r="H138" s="2155"/>
      <c r="I138" s="2155"/>
      <c r="J138" s="2155"/>
      <c r="K138" s="2155"/>
      <c r="L138" s="2155"/>
      <c r="M138" s="2155"/>
      <c r="N138" s="2155"/>
      <c r="O138" s="2155"/>
      <c r="P138" s="2155"/>
      <c r="Q138" s="2155"/>
      <c r="R138" s="2155"/>
      <c r="S138" s="2155"/>
      <c r="T138" s="2156"/>
      <c r="U138" s="2153" t="str">
        <f>IF('PIM Model'!$B$28=0,"",'PIM Model'!$B$28)</f>
        <v/>
      </c>
      <c r="V138" s="2098"/>
      <c r="W138" s="2098"/>
      <c r="X138" s="2098"/>
      <c r="Y138" s="2098"/>
      <c r="Z138" s="2098" t="str">
        <f>'PIM Model'!$AF$28</f>
        <v/>
      </c>
      <c r="AA138" s="2098"/>
      <c r="AB138" s="2098"/>
      <c r="AC138" s="2098"/>
      <c r="AD138" s="2098"/>
      <c r="AE138" s="2098"/>
      <c r="AF138" s="2146" t="str">
        <f>'PIM Model'!$AG$28</f>
        <v/>
      </c>
      <c r="AG138" s="2147"/>
      <c r="AH138" s="2147"/>
      <c r="AI138" s="2147"/>
      <c r="AJ138" s="2147"/>
      <c r="AK138" s="2147"/>
      <c r="AL138" s="2152"/>
      <c r="AM138" s="2146" t="str">
        <f>'PIM Model'!$AH$28</f>
        <v/>
      </c>
      <c r="AN138" s="2147"/>
      <c r="AO138" s="2147"/>
      <c r="AP138" s="2147"/>
      <c r="AQ138" s="2147"/>
      <c r="AR138" s="2147"/>
      <c r="AS138" s="2148"/>
      <c r="BF138" s="138"/>
    </row>
    <row r="139" spans="2:58" x14ac:dyDescent="0.25">
      <c r="B139" s="137"/>
      <c r="D139" s="2154" t="s">
        <v>88</v>
      </c>
      <c r="E139" s="2155"/>
      <c r="F139" s="2155"/>
      <c r="G139" s="2155"/>
      <c r="H139" s="2155"/>
      <c r="I139" s="2155"/>
      <c r="J139" s="2155"/>
      <c r="K139" s="2155"/>
      <c r="L139" s="2155"/>
      <c r="M139" s="2155"/>
      <c r="N139" s="2155"/>
      <c r="O139" s="2155"/>
      <c r="P139" s="2155"/>
      <c r="Q139" s="2155"/>
      <c r="R139" s="2155"/>
      <c r="S139" s="2155"/>
      <c r="T139" s="2156"/>
      <c r="U139" s="2153" t="str">
        <f>IF('PIM Model'!$B$29=0,"",'PIM Model'!$B$29)</f>
        <v/>
      </c>
      <c r="V139" s="2098"/>
      <c r="W139" s="2098"/>
      <c r="X139" s="2098"/>
      <c r="Y139" s="2098"/>
      <c r="Z139" s="2098" t="str">
        <f>'PIM Model'!$AF$29</f>
        <v/>
      </c>
      <c r="AA139" s="2098"/>
      <c r="AB139" s="2098"/>
      <c r="AC139" s="2098"/>
      <c r="AD139" s="2098"/>
      <c r="AE139" s="2098"/>
      <c r="AF139" s="2146" t="str">
        <f>'PIM Model'!$AG$29</f>
        <v/>
      </c>
      <c r="AG139" s="2147"/>
      <c r="AH139" s="2147"/>
      <c r="AI139" s="2147"/>
      <c r="AJ139" s="2147"/>
      <c r="AK139" s="2147"/>
      <c r="AL139" s="2152"/>
      <c r="AM139" s="2146" t="str">
        <f>'PIM Model'!$AH$29</f>
        <v/>
      </c>
      <c r="AN139" s="2147"/>
      <c r="AO139" s="2147"/>
      <c r="AP139" s="2147"/>
      <c r="AQ139" s="2147"/>
      <c r="AR139" s="2147"/>
      <c r="AS139" s="2148"/>
      <c r="BF139" s="138"/>
    </row>
    <row r="140" spans="2:58" ht="15.75" thickBot="1" x14ac:dyDescent="0.3">
      <c r="B140" s="137"/>
      <c r="D140" s="2160" t="s">
        <v>87</v>
      </c>
      <c r="E140" s="2161"/>
      <c r="F140" s="2161"/>
      <c r="G140" s="2161"/>
      <c r="H140" s="2161"/>
      <c r="I140" s="2161"/>
      <c r="J140" s="2161"/>
      <c r="K140" s="2161"/>
      <c r="L140" s="2161"/>
      <c r="M140" s="2161"/>
      <c r="N140" s="2161"/>
      <c r="O140" s="2161"/>
      <c r="P140" s="2161"/>
      <c r="Q140" s="2161"/>
      <c r="R140" s="2161"/>
      <c r="S140" s="2161"/>
      <c r="T140" s="2162"/>
      <c r="U140" s="2157" t="str">
        <f>IF('PIM Model'!$B$30=0,"",'PIM Model'!$B$30)</f>
        <v/>
      </c>
      <c r="V140" s="2150"/>
      <c r="W140" s="2150"/>
      <c r="X140" s="2150"/>
      <c r="Y140" s="2150"/>
      <c r="Z140" s="2150" t="str">
        <f>'PIM Model'!$AF$30</f>
        <v/>
      </c>
      <c r="AA140" s="2150"/>
      <c r="AB140" s="2150"/>
      <c r="AC140" s="2150"/>
      <c r="AD140" s="2150"/>
      <c r="AE140" s="2150"/>
      <c r="AF140" s="2138" t="str">
        <f>'PIM Model'!$AG$30</f>
        <v/>
      </c>
      <c r="AG140" s="2139"/>
      <c r="AH140" s="2139"/>
      <c r="AI140" s="2139"/>
      <c r="AJ140" s="2139"/>
      <c r="AK140" s="2139"/>
      <c r="AL140" s="2140"/>
      <c r="AM140" s="2138" t="str">
        <f>'PIM Model'!$AH$30</f>
        <v/>
      </c>
      <c r="AN140" s="2139"/>
      <c r="AO140" s="2139"/>
      <c r="AP140" s="2139"/>
      <c r="AQ140" s="2139"/>
      <c r="AR140" s="2139"/>
      <c r="AS140" s="2149"/>
      <c r="BF140" s="138"/>
    </row>
    <row r="141" spans="2:58" ht="16.5" thickTop="1" thickBot="1" x14ac:dyDescent="0.3">
      <c r="B141" s="137"/>
      <c r="D141" s="2129" t="s">
        <v>959</v>
      </c>
      <c r="E141" s="2130"/>
      <c r="F141" s="2130"/>
      <c r="G141" s="2130"/>
      <c r="H141" s="2130"/>
      <c r="I141" s="2130"/>
      <c r="J141" s="2130"/>
      <c r="K141" s="2130"/>
      <c r="L141" s="2130"/>
      <c r="M141" s="2130"/>
      <c r="N141" s="2130"/>
      <c r="O141" s="2130"/>
      <c r="P141" s="2130"/>
      <c r="Q141" s="2130"/>
      <c r="R141" s="2130"/>
      <c r="S141" s="2130"/>
      <c r="T141" s="2131"/>
      <c r="U141" s="2132">
        <f>COUNT($U$120:$Y$140)</f>
        <v>0</v>
      </c>
      <c r="V141" s="2133"/>
      <c r="W141" s="2133"/>
      <c r="X141" s="2133"/>
      <c r="Y141" s="2133"/>
      <c r="Z141" s="2130">
        <f>COUNTIF($Z$120:$AE$140,"ABOVE")+COUNTIF($Z$120:$AE$140,"BELOW")</f>
        <v>0</v>
      </c>
      <c r="AA141" s="2130"/>
      <c r="AB141" s="2130"/>
      <c r="AC141" s="2130"/>
      <c r="AD141" s="2130"/>
      <c r="AE141" s="2130"/>
      <c r="AF141" s="2134"/>
      <c r="AG141" s="2135"/>
      <c r="AH141" s="2135"/>
      <c r="AI141" s="2135"/>
      <c r="AJ141" s="2135"/>
      <c r="AK141" s="2135"/>
      <c r="AL141" s="2136"/>
      <c r="AM141" s="2134"/>
      <c r="AN141" s="2135"/>
      <c r="AO141" s="2135"/>
      <c r="AP141" s="2135"/>
      <c r="AQ141" s="2135"/>
      <c r="AR141" s="2135"/>
      <c r="AS141" s="2137"/>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0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0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0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0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0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2251" t="s">
        <v>983</v>
      </c>
      <c r="C2" s="2252"/>
      <c r="D2" s="134"/>
      <c r="E2" s="134"/>
      <c r="F2" s="134"/>
    </row>
    <row r="3" spans="1:6" x14ac:dyDescent="0.25">
      <c r="A3" s="134"/>
      <c r="B3" s="505" t="s">
        <v>811</v>
      </c>
      <c r="C3" s="182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9" t="s">
        <v>819</v>
      </c>
      <c r="C6" s="2250"/>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9" t="s">
        <v>820</v>
      </c>
      <c r="C13" s="2250"/>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XMN7kynHwb/UGzELl0r29INReF/DGgphvnrArRbN8ujjueBsxEdoxhNvx1/pM+0diRecmz96Ey4JOYPd39Ky0Q==" saltValue="wsN5pDUNB/pVT16o/xfYZ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1422</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1422</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1422</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1422</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1422</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1422</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1422</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1422</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1422</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1422</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1422</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1422</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1422</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1422</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1422</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1422</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1422</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1422</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8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85"/>
    </row>
    <row r="1759" spans="1:5" x14ac:dyDescent="0.25">
      <c r="A1759" s="1785"/>
    </row>
    <row r="1760" spans="1:5" x14ac:dyDescent="0.25">
      <c r="A1760" s="1785"/>
    </row>
    <row r="1761" spans="1:1" x14ac:dyDescent="0.25">
      <c r="A1761" s="1785"/>
    </row>
  </sheetData>
  <sheetProtection algorithmName="SHA-512" hashValue="+5zoyLWmVLKN/ayuw+gX86YkkDqYUti49CnZ45BJEJd8+rOXVEuBrM5rSS6hCuHNW2ijweBYKDXgyjI31BMM4g==" saltValue="zpOLW2pCU6BDQwiIyIM7Cw=="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2"/>
    <col min="2" max="2" width="27.42578125" style="1712" customWidth="1"/>
    <col min="3" max="4" width="27.5703125" style="1712" customWidth="1"/>
    <col min="5" max="5" width="27.42578125" style="1712" customWidth="1"/>
    <col min="6" max="43"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2" customWidth="1"/>
    <col min="2" max="2" width="26.28515625" style="1712" customWidth="1"/>
    <col min="3" max="3" width="25.85546875" style="1712" customWidth="1"/>
    <col min="4" max="4" width="27.5703125" style="1712" customWidth="1"/>
    <col min="5" max="5" width="27.42578125" style="1712" customWidth="1"/>
    <col min="6" max="39"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53" t="s">
        <v>1334</v>
      </c>
      <c r="B1" s="2253"/>
      <c r="C1" s="2253"/>
      <c r="D1" s="2253"/>
      <c r="E1" s="2253"/>
      <c r="F1" s="2253" t="s">
        <v>1335</v>
      </c>
      <c r="G1" s="2253"/>
      <c r="H1" s="2253"/>
      <c r="I1" s="2253" t="s">
        <v>1336</v>
      </c>
      <c r="J1" s="2253"/>
      <c r="K1" s="2253"/>
      <c r="L1" s="2253" t="s">
        <v>1337</v>
      </c>
      <c r="M1" s="2254"/>
      <c r="N1" s="2253"/>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IF(J4&lt;&gt;"",A4,"")</f>
        <v>Lead Market</v>
      </c>
      <c r="J4" s="1280" t="str">
        <f>IF(M4&lt;&gt;"",Q$1&amp;M4,"")</f>
        <v>F22</v>
      </c>
      <c r="K4" s="1280" t="str">
        <f>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0">IF(J5&lt;&gt;"",A5,"")</f>
        <v/>
      </c>
      <c r="J5" s="1280"/>
      <c r="K5" s="1280" t="str">
        <f t="shared" ref="K5:K67" si="1">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0"/>
        <v/>
      </c>
      <c r="J6" s="1280"/>
      <c r="K6" s="1280" t="str">
        <f t="shared" si="1"/>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0"/>
        <v/>
      </c>
      <c r="J7" s="1280"/>
      <c r="K7" s="1280" t="str">
        <f t="shared" si="1"/>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0"/>
        <v/>
      </c>
      <c r="J8" s="1280"/>
      <c r="K8" s="1280" t="str">
        <f t="shared" si="1"/>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0"/>
        <v/>
      </c>
      <c r="J9" s="1280"/>
      <c r="K9" s="1280" t="str">
        <f t="shared" si="1"/>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0"/>
        <v/>
      </c>
      <c r="J10" s="1280"/>
      <c r="K10" s="1280" t="str">
        <f t="shared" si="1"/>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0"/>
        <v/>
      </c>
      <c r="J11" s="1280"/>
      <c r="K11" s="1280" t="str">
        <f t="shared" si="1"/>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0"/>
        <v>Minimum Percentage of Purchases to be Directed to USF</v>
      </c>
      <c r="J12" s="1280" t="str">
        <f t="shared" ref="J12:J62" si="2">IF(M12&lt;&gt;"",Q$1&amp;M12,"")</f>
        <v>F9</v>
      </c>
      <c r="K12" s="1280" t="str">
        <f t="shared" si="1"/>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0"/>
        <v/>
      </c>
      <c r="J13" s="1280" t="str">
        <f t="shared" si="2"/>
        <v/>
      </c>
      <c r="K13" s="1280" t="str">
        <f t="shared" si="1"/>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0"/>
        <v/>
      </c>
      <c r="J14" s="1280" t="str">
        <f t="shared" si="2"/>
        <v/>
      </c>
      <c r="K14" s="1280" t="str">
        <f t="shared" si="1"/>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0"/>
        <v/>
      </c>
      <c r="J15" s="1280" t="str">
        <f t="shared" si="2"/>
        <v/>
      </c>
      <c r="K15" s="1280" t="str">
        <f t="shared" si="1"/>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0"/>
        <v/>
      </c>
      <c r="J16" s="1280"/>
      <c r="K16" s="1280" t="str">
        <f t="shared" si="1"/>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0"/>
        <v/>
      </c>
      <c r="J17" s="1280" t="str">
        <f t="shared" si="2"/>
        <v/>
      </c>
      <c r="K17" s="1280" t="str">
        <f t="shared" si="1"/>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0"/>
        <v>Maximum Distance From USF DC to Shipping Locations (miles)</v>
      </c>
      <c r="J18" s="1280" t="str">
        <f t="shared" si="2"/>
        <v>F10</v>
      </c>
      <c r="K18" s="1280" t="str">
        <f t="shared" si="1"/>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0"/>
        <v/>
      </c>
      <c r="J19" s="1280" t="str">
        <f t="shared" si="2"/>
        <v/>
      </c>
      <c r="K19" s="1280" t="str">
        <f t="shared" si="1"/>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0"/>
        <v/>
      </c>
      <c r="J20" s="1280" t="str">
        <f t="shared" si="2"/>
        <v/>
      </c>
      <c r="K20" s="1280" t="str">
        <f t="shared" si="1"/>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0"/>
        <v>Split Case Surcharge Amount</v>
      </c>
      <c r="J21" s="1280" t="str">
        <f t="shared" si="2"/>
        <v>F13</v>
      </c>
      <c r="K21" s="1280" t="str">
        <f t="shared" si="1"/>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0"/>
        <v>Split Case Per</v>
      </c>
      <c r="J22" s="1280" t="str">
        <f t="shared" si="2"/>
        <v>F14</v>
      </c>
      <c r="K22" s="1280" t="str">
        <f t="shared" si="1"/>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0"/>
        <v>Minimum per Case Markup</v>
      </c>
      <c r="J23" s="1280" t="str">
        <f t="shared" si="2"/>
        <v>F15</v>
      </c>
      <c r="K23" s="1280" t="str">
        <f t="shared" si="1"/>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0"/>
        <v>Special Order Product Surcharge Amount</v>
      </c>
      <c r="J24" s="1280" t="str">
        <f t="shared" si="2"/>
        <v>F16</v>
      </c>
      <c r="K24" s="1280" t="str">
        <f t="shared" si="1"/>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0"/>
        <v>Special Order Products Surcharge Amount Type Code</v>
      </c>
      <c r="J25" s="1280" t="str">
        <f t="shared" si="2"/>
        <v>F17</v>
      </c>
      <c r="K25" s="1280" t="str">
        <f t="shared" si="1"/>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0"/>
        <v>Primary Form of Payment</v>
      </c>
      <c r="J26" s="1280" t="str">
        <f t="shared" si="2"/>
        <v>F11</v>
      </c>
      <c r="K26" s="1280" t="str">
        <f t="shared" si="1"/>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0"/>
        <v/>
      </c>
      <c r="J27" s="1280" t="str">
        <f t="shared" si="2"/>
        <v/>
      </c>
      <c r="K27" s="1280" t="str">
        <f t="shared" si="1"/>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0"/>
        <v xml:space="preserve">Cost Basis </v>
      </c>
      <c r="J28" s="1280" t="str">
        <f t="shared" si="2"/>
        <v>F244</v>
      </c>
      <c r="K28" s="1280" t="str">
        <f t="shared" si="1"/>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0"/>
        <v>Margin Basis Code</v>
      </c>
      <c r="J29" s="1280" t="str">
        <f t="shared" si="2"/>
        <v>F245</v>
      </c>
      <c r="K29" s="1280" t="str">
        <f t="shared" si="1"/>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0"/>
        <v>Margin Calculation Code</v>
      </c>
      <c r="J30" s="1280" t="str">
        <f t="shared" si="2"/>
        <v>F246</v>
      </c>
      <c r="K30" s="1280" t="str">
        <f t="shared" si="1"/>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0"/>
        <v>Proprietary Slots Additional Markup:</v>
      </c>
      <c r="J31" s="1280" t="str">
        <f t="shared" si="2"/>
        <v>F28</v>
      </c>
      <c r="K31" s="1280" t="str">
        <f t="shared" si="1"/>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3">_xlfn.CONCAT(IFERROR(SUBSTITUTE(ADDRESS(1,MATCH(A32,INDIRECT("'"&amp;E32&amp;"'"&amp;"!A29:Z29"),0),4),1,""),""),29)</f>
        <v>C29</v>
      </c>
      <c r="C32" s="766" t="str">
        <f t="shared" ref="C32:C37" ca="1" si="4">_xlfn.CONCAT(IFERROR(SUBSTITUTE(ADDRESS(1,MATCH(A32,INDIRECT("'"&amp;E32&amp;"'"&amp;"!A29:Z29"),0),4),1,""),""),30)</f>
        <v>C30</v>
      </c>
      <c r="D32" s="766" t="s">
        <v>1343</v>
      </c>
      <c r="E32" s="766" t="s">
        <v>1367</v>
      </c>
      <c r="F32" s="766"/>
      <c r="G32" s="766"/>
      <c r="H32" s="766"/>
      <c r="I32" s="1241" t="str">
        <f t="shared" si="0"/>
        <v/>
      </c>
      <c r="J32" s="1280" t="str">
        <f t="shared" si="2"/>
        <v/>
      </c>
      <c r="K32" s="1280" t="str">
        <f t="shared" si="1"/>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3"/>
        <v>G29</v>
      </c>
      <c r="C33" s="766" t="str">
        <f t="shared" ca="1" si="4"/>
        <v>G30</v>
      </c>
      <c r="D33" s="766" t="s">
        <v>1343</v>
      </c>
      <c r="E33" s="766" t="s">
        <v>1367</v>
      </c>
      <c r="F33" s="766" t="s">
        <v>264</v>
      </c>
      <c r="G33" s="766" t="s">
        <v>1348</v>
      </c>
      <c r="H33" s="766" t="s">
        <v>2069</v>
      </c>
      <c r="I33" s="1241" t="str">
        <f t="shared" si="0"/>
        <v/>
      </c>
      <c r="J33" s="1280" t="str">
        <f t="shared" si="2"/>
        <v/>
      </c>
      <c r="K33" s="1280" t="str">
        <f t="shared" si="1"/>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3"/>
        <v>D29</v>
      </c>
      <c r="C34" s="766" t="str">
        <f t="shared" ca="1" si="4"/>
        <v>D30</v>
      </c>
      <c r="D34" s="766" t="s">
        <v>1343</v>
      </c>
      <c r="E34" s="766" t="s">
        <v>1367</v>
      </c>
      <c r="F34" s="766" t="s">
        <v>651</v>
      </c>
      <c r="G34" s="766" t="s">
        <v>1363</v>
      </c>
      <c r="H34" s="766" t="s">
        <v>2069</v>
      </c>
      <c r="I34" s="1241" t="str">
        <f t="shared" si="0"/>
        <v>Dry</v>
      </c>
      <c r="J34" s="1280" t="str">
        <f t="shared" si="2"/>
        <v>F29</v>
      </c>
      <c r="K34" s="1280" t="str">
        <f t="shared" si="1"/>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3"/>
        <v>E29</v>
      </c>
      <c r="C35" s="766" t="str">
        <f t="shared" ca="1" si="4"/>
        <v>E30</v>
      </c>
      <c r="D35" s="766" t="s">
        <v>1343</v>
      </c>
      <c r="E35" s="766" t="s">
        <v>1367</v>
      </c>
      <c r="F35" s="766" t="s">
        <v>1152</v>
      </c>
      <c r="G35" s="766" t="s">
        <v>656</v>
      </c>
      <c r="H35" s="766" t="s">
        <v>2069</v>
      </c>
      <c r="I35" s="1241" t="str">
        <f t="shared" si="0"/>
        <v>Frozen</v>
      </c>
      <c r="J35" s="1280" t="str">
        <f t="shared" si="2"/>
        <v>F30</v>
      </c>
      <c r="K35" s="1280" t="str">
        <f t="shared" si="1"/>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3"/>
        <v>F29</v>
      </c>
      <c r="C36" s="766" t="str">
        <f t="shared" ca="1" si="4"/>
        <v>F30</v>
      </c>
      <c r="D36" s="766" t="s">
        <v>1343</v>
      </c>
      <c r="E36" s="766" t="s">
        <v>1367</v>
      </c>
      <c r="F36" s="766" t="s">
        <v>1153</v>
      </c>
      <c r="G36" s="766" t="s">
        <v>1349</v>
      </c>
      <c r="H36" s="766" t="s">
        <v>2069</v>
      </c>
      <c r="I36" s="1241" t="str">
        <f t="shared" si="0"/>
        <v>Refrigerated</v>
      </c>
      <c r="J36" s="1280" t="str">
        <f t="shared" si="2"/>
        <v>F31</v>
      </c>
      <c r="K36" s="1280" t="str">
        <f t="shared" si="1"/>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3"/>
        <v>H29</v>
      </c>
      <c r="C37" s="766" t="str">
        <f t="shared" ca="1" si="4"/>
        <v>H30</v>
      </c>
      <c r="D37" s="766" t="s">
        <v>1343</v>
      </c>
      <c r="E37" s="766" t="s">
        <v>1367</v>
      </c>
      <c r="F37" s="766" t="s">
        <v>1154</v>
      </c>
      <c r="G37" s="766" t="s">
        <v>1354</v>
      </c>
      <c r="H37" s="766" t="s">
        <v>2069</v>
      </c>
      <c r="I37" s="1241" t="str">
        <f t="shared" si="0"/>
        <v>Proprietary Inventory Turn</v>
      </c>
      <c r="J37" s="1280" t="str">
        <f t="shared" si="2"/>
        <v>F32</v>
      </c>
      <c r="K37" s="1280" t="str">
        <f t="shared" si="1"/>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0"/>
        <v>Agreement Classification:</v>
      </c>
      <c r="J38" s="1280" t="str">
        <f t="shared" si="2"/>
        <v>F5</v>
      </c>
      <c r="K38" s="1280" t="str">
        <f t="shared" si="1"/>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0"/>
        <v>Initial Agreement Terms:</v>
      </c>
      <c r="J39" s="1280" t="str">
        <f t="shared" si="2"/>
        <v>F6</v>
      </c>
      <c r="K39" s="1280" t="str">
        <f t="shared" si="1"/>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0"/>
        <v>Credit Card Payment:</v>
      </c>
      <c r="J40" s="1280" t="str">
        <f t="shared" si="2"/>
        <v>F26</v>
      </c>
      <c r="K40" s="1280" t="str">
        <f t="shared" si="1"/>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0"/>
        <v>Proprietary Slots Included Flag:</v>
      </c>
      <c r="J41" s="1280" t="str">
        <f t="shared" si="2"/>
        <v>F27</v>
      </c>
      <c r="K41" s="1280" t="str">
        <f t="shared" si="1"/>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0"/>
        <v># of Locations:</v>
      </c>
      <c r="J42" s="1280" t="str">
        <f t="shared" si="2"/>
        <v>F33</v>
      </c>
      <c r="K42" s="1280" t="str">
        <f t="shared" si="1"/>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0"/>
        <v>Pyramid Segment</v>
      </c>
      <c r="J43" s="1280" t="str">
        <f>IF(AND(P1221="",M43&lt;&gt;""),Q$1&amp;M43,"")</f>
        <v>F35</v>
      </c>
      <c r="K43" s="1280" t="str">
        <f t="shared" si="1"/>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0"/>
        <v>Agreement Annual Purchase Commitment</v>
      </c>
      <c r="J44" s="1280" t="str">
        <f>Q$1&amp;IF(Q44&lt;&gt;"",M44,M46)</f>
        <v>F39</v>
      </c>
      <c r="K44" s="1280" t="str">
        <f t="shared" si="1"/>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0"/>
        <v>Agreement Deliveries Per Customer Unit Per Week</v>
      </c>
      <c r="J45" s="1280" t="str">
        <f>Q$1&amp;IF(Q45&lt;&gt;"",M45,M47)</f>
        <v>F40</v>
      </c>
      <c r="K45" s="1280" t="str">
        <f t="shared" si="1"/>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0"/>
        <v/>
      </c>
      <c r="J46" s="1280"/>
      <c r="K46" s="1280" t="str">
        <f t="shared" si="1"/>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0"/>
        <v/>
      </c>
      <c r="J47" s="1280"/>
      <c r="K47" s="1280" t="str">
        <f t="shared" si="1"/>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IF(J48&lt;&gt;"",A48,"")</f>
        <v/>
      </c>
      <c r="J48" s="1455"/>
      <c r="K48" s="1455" t="str">
        <f>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0"/>
        <v/>
      </c>
      <c r="J49" s="1280"/>
      <c r="K49" s="1280" t="str">
        <f t="shared" si="1"/>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0"/>
        <v/>
      </c>
      <c r="J50" s="1280"/>
      <c r="K50" s="1280" t="str">
        <f t="shared" si="1"/>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0"/>
        <v/>
      </c>
      <c r="J51" s="1280"/>
      <c r="K51" s="1280" t="str">
        <f t="shared" si="1"/>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0"/>
        <v>Add or End Customer</v>
      </c>
      <c r="J52" s="1280" t="str">
        <f t="shared" si="2"/>
        <v>F45</v>
      </c>
      <c r="K52" s="1280" t="str">
        <f t="shared" si="1"/>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5">_xlfn.IFNA(SUBSTITUTE(ADDRESS(1,MATCH(A53,INDIRECT("'"&amp;E53&amp;"'"&amp;"!A5:Z5"),0),4),1,""),"")</f>
        <v>H</v>
      </c>
      <c r="D53" s="766" t="s">
        <v>1350</v>
      </c>
      <c r="E53" s="766" t="s">
        <v>865</v>
      </c>
      <c r="F53" s="766"/>
      <c r="G53" s="766"/>
      <c r="H53" s="766"/>
      <c r="I53" s="1241" t="str">
        <f t="shared" si="0"/>
        <v>Pyramid Segment</v>
      </c>
      <c r="J53" s="1280" t="str">
        <f>IF(AND(P1222="",M53&lt;&gt;""),Q$1&amp;M53,"")</f>
        <v>F56</v>
      </c>
      <c r="K53" s="1280" t="str">
        <f t="shared" si="1"/>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6">_xlfn.IFNA(_xlfn.CONCAT(SUBSTITUTE(ADDRESS(1,MATCH(A54,INDIRECT("'"&amp;E54&amp;"'"&amp;"!A5:Z5"),0),4),1,""),7),"")</f>
        <v>I7</v>
      </c>
      <c r="C54" s="766" t="str">
        <f t="shared" ca="1" si="5"/>
        <v>I</v>
      </c>
      <c r="D54" s="766" t="s">
        <v>1350</v>
      </c>
      <c r="E54" s="766" t="s">
        <v>865</v>
      </c>
      <c r="F54" s="766"/>
      <c r="G54" s="766"/>
      <c r="H54" s="766"/>
      <c r="I54" s="1241" t="str">
        <f t="shared" si="0"/>
        <v>Agreement Annual Purchase Commitment</v>
      </c>
      <c r="J54" s="1280" t="str">
        <f>Q$1&amp;IF(Q54&lt;&gt;"",M54,M56)</f>
        <v>F60</v>
      </c>
      <c r="K54" s="1280" t="str">
        <f t="shared" si="1"/>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6"/>
        <v>J7</v>
      </c>
      <c r="C55" s="766" t="str">
        <f t="shared" ca="1" si="5"/>
        <v>J</v>
      </c>
      <c r="D55" s="766" t="s">
        <v>1350</v>
      </c>
      <c r="E55" s="766" t="s">
        <v>865</v>
      </c>
      <c r="F55" s="766"/>
      <c r="G55" s="766"/>
      <c r="H55" s="766"/>
      <c r="I55" s="1241" t="str">
        <f t="shared" si="0"/>
        <v>Agreement Deliveries Per Customer Unit Per Week</v>
      </c>
      <c r="J55" s="1280" t="str">
        <f>Q$1&amp;IF(Q55&lt;&gt;"",M55,M57)</f>
        <v>F61</v>
      </c>
      <c r="K55" s="1280" t="str">
        <f t="shared" si="1"/>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0"/>
        <v/>
      </c>
      <c r="J56" s="1280"/>
      <c r="K56" s="1280" t="str">
        <f t="shared" si="1"/>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0"/>
        <v/>
      </c>
      <c r="J57" s="1280"/>
      <c r="K57" s="1280" t="str">
        <f t="shared" si="1"/>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0"/>
        <v/>
      </c>
      <c r="J58" s="1455"/>
      <c r="K58" s="1280" t="str">
        <f t="shared" si="1"/>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0"/>
        <v/>
      </c>
      <c r="J59" s="1280"/>
      <c r="K59" s="1280" t="str">
        <f t="shared" si="1"/>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6"/>
        <v>U7</v>
      </c>
      <c r="C60" s="766" t="str">
        <f t="shared" ca="1" si="5"/>
        <v>U</v>
      </c>
      <c r="D60" s="766" t="s">
        <v>1350</v>
      </c>
      <c r="E60" s="766" t="s">
        <v>865</v>
      </c>
      <c r="F60" s="766"/>
      <c r="G60" s="766"/>
      <c r="H60" s="766"/>
      <c r="I60" s="1241" t="str">
        <f t="shared" si="0"/>
        <v/>
      </c>
      <c r="J60" s="1280"/>
      <c r="K60" s="1280" t="str">
        <f t="shared" si="1"/>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6"/>
        <v>V7</v>
      </c>
      <c r="C61" s="766" t="str">
        <f t="shared" ca="1" si="5"/>
        <v>V</v>
      </c>
      <c r="D61" s="766" t="s">
        <v>1350</v>
      </c>
      <c r="E61" s="766" t="s">
        <v>865</v>
      </c>
      <c r="F61" s="766"/>
      <c r="G61" s="766"/>
      <c r="H61" s="766"/>
      <c r="I61" s="1241" t="str">
        <f t="shared" si="0"/>
        <v/>
      </c>
      <c r="J61" s="1280"/>
      <c r="K61" s="1280" t="str">
        <f t="shared" si="1"/>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6"/>
        <v>W7</v>
      </c>
      <c r="C62" s="766" t="str">
        <f t="shared" ca="1" si="5"/>
        <v>W</v>
      </c>
      <c r="D62" s="766" t="s">
        <v>1350</v>
      </c>
      <c r="E62" s="766" t="s">
        <v>865</v>
      </c>
      <c r="F62" s="766"/>
      <c r="G62" s="766"/>
      <c r="H62" s="766"/>
      <c r="I62" s="1241" t="str">
        <f t="shared" si="0"/>
        <v>Add or End Customer</v>
      </c>
      <c r="J62" s="1280" t="str">
        <f t="shared" si="2"/>
        <v>F66</v>
      </c>
      <c r="K62" s="1280" t="str">
        <f t="shared" si="1"/>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5"/>
        <v>H</v>
      </c>
      <c r="D63" s="766" t="s">
        <v>1350</v>
      </c>
      <c r="E63" s="766" t="s">
        <v>865</v>
      </c>
      <c r="F63" s="766"/>
      <c r="G63" s="766"/>
      <c r="H63" s="766"/>
      <c r="I63" s="1241" t="str">
        <f t="shared" si="0"/>
        <v>Pyramid Segment</v>
      </c>
      <c r="J63" s="1280" t="str">
        <f>IF(AND(P1223="",M63&lt;&gt;""),Q$1&amp;M63,"")</f>
        <v>F77</v>
      </c>
      <c r="K63" s="1280" t="str">
        <f t="shared" si="1"/>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7">_xlfn.IFNA(_xlfn.CONCAT(SUBSTITUTE(ADDRESS(1,MATCH(A64,INDIRECT("'"&amp;E64&amp;"'"&amp;"!A5:Z5"),0),4),1,""),8),"")</f>
        <v>I8</v>
      </c>
      <c r="C64" s="766" t="str">
        <f t="shared" ca="1" si="5"/>
        <v>I</v>
      </c>
      <c r="D64" s="766" t="s">
        <v>1350</v>
      </c>
      <c r="E64" s="766" t="s">
        <v>865</v>
      </c>
      <c r="F64" s="766"/>
      <c r="G64" s="766"/>
      <c r="H64" s="766"/>
      <c r="I64" s="1241" t="str">
        <f t="shared" si="0"/>
        <v>Agreement Annual Purchase Commitment</v>
      </c>
      <c r="J64" s="1280" t="str">
        <f>Q$1&amp;IF(Q64&lt;&gt;"",M64,M66)</f>
        <v>F81</v>
      </c>
      <c r="K64" s="1280" t="str">
        <f t="shared" si="1"/>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7"/>
        <v>J8</v>
      </c>
      <c r="C65" s="766" t="str">
        <f t="shared" ca="1" si="5"/>
        <v>J</v>
      </c>
      <c r="D65" s="766" t="s">
        <v>1350</v>
      </c>
      <c r="E65" s="766" t="s">
        <v>865</v>
      </c>
      <c r="F65" s="766"/>
      <c r="G65" s="766"/>
      <c r="H65" s="766"/>
      <c r="I65" s="1241" t="str">
        <f t="shared" si="0"/>
        <v>Agreement Deliveries Per Customer Unit Per Week</v>
      </c>
      <c r="J65" s="1280" t="str">
        <f>Q$1&amp;IF(Q65&lt;&gt;"",M65,M67)</f>
        <v>F82</v>
      </c>
      <c r="K65" s="1280" t="str">
        <f t="shared" si="1"/>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0"/>
        <v/>
      </c>
      <c r="J66" s="1280"/>
      <c r="K66" s="1280" t="str">
        <f t="shared" si="1"/>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0"/>
        <v/>
      </c>
      <c r="J67" s="1280"/>
      <c r="K67" s="1280" t="str">
        <f t="shared" si="1"/>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8">IF(J68&lt;&gt;"",A68,"")</f>
        <v/>
      </c>
      <c r="J68" s="1455"/>
      <c r="K68" s="1280" t="str">
        <f t="shared" ref="K68:K131" si="9">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8"/>
        <v/>
      </c>
      <c r="J69" s="1280"/>
      <c r="K69" s="1280" t="str">
        <f t="shared" si="9"/>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7"/>
        <v>U8</v>
      </c>
      <c r="C70" s="766" t="str">
        <f t="shared" ca="1" si="5"/>
        <v>U</v>
      </c>
      <c r="D70" s="766" t="s">
        <v>1350</v>
      </c>
      <c r="E70" s="766" t="s">
        <v>865</v>
      </c>
      <c r="F70" s="766"/>
      <c r="G70" s="766"/>
      <c r="H70" s="766"/>
      <c r="I70" s="1241" t="str">
        <f t="shared" si="8"/>
        <v/>
      </c>
      <c r="J70" s="1280"/>
      <c r="K70" s="1280" t="str">
        <f t="shared" si="9"/>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7"/>
        <v>V8</v>
      </c>
      <c r="C71" s="766" t="str">
        <f t="shared" ca="1" si="5"/>
        <v>V</v>
      </c>
      <c r="D71" s="766" t="s">
        <v>1350</v>
      </c>
      <c r="E71" s="766" t="s">
        <v>865</v>
      </c>
      <c r="F71" s="766"/>
      <c r="G71" s="766"/>
      <c r="H71" s="766"/>
      <c r="I71" s="1241" t="str">
        <f t="shared" si="8"/>
        <v/>
      </c>
      <c r="J71" s="1280"/>
      <c r="K71" s="1280" t="str">
        <f t="shared" si="9"/>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7"/>
        <v>W8</v>
      </c>
      <c r="C72" s="766" t="str">
        <f t="shared" ca="1" si="5"/>
        <v>W</v>
      </c>
      <c r="D72" s="766" t="s">
        <v>1350</v>
      </c>
      <c r="E72" s="766" t="s">
        <v>865</v>
      </c>
      <c r="F72" s="766"/>
      <c r="G72" s="766"/>
      <c r="H72" s="766"/>
      <c r="I72" s="1241" t="str">
        <f t="shared" si="8"/>
        <v>Add or End Customer</v>
      </c>
      <c r="J72" s="1280" t="str">
        <f>IF(M72&lt;&gt;"",Q$1&amp;M72,"")</f>
        <v>F87</v>
      </c>
      <c r="K72" s="1280" t="str">
        <f t="shared" si="9"/>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5"/>
        <v>H</v>
      </c>
      <c r="D73" s="766" t="s">
        <v>1350</v>
      </c>
      <c r="E73" s="766" t="s">
        <v>865</v>
      </c>
      <c r="F73" s="766"/>
      <c r="G73" s="766"/>
      <c r="H73" s="766"/>
      <c r="I73" s="1241" t="str">
        <f t="shared" si="8"/>
        <v>Pyramid Segment</v>
      </c>
      <c r="J73" s="1280" t="str">
        <f>IF(AND(P1224="",M73&lt;&gt;""),Q$1&amp;M73,"")</f>
        <v>F98</v>
      </c>
      <c r="K73" s="1280" t="str">
        <f t="shared" si="9"/>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0">_xlfn.IFNA(_xlfn.CONCAT(SUBSTITUTE(ADDRESS(1,MATCH(A74,INDIRECT("'"&amp;E74&amp;"'"&amp;"!A5:Z5"),0),4),1,""),9),"")</f>
        <v>I9</v>
      </c>
      <c r="C74" s="766" t="str">
        <f t="shared" ca="1" si="5"/>
        <v>I</v>
      </c>
      <c r="D74" s="766" t="s">
        <v>1350</v>
      </c>
      <c r="E74" s="766" t="s">
        <v>865</v>
      </c>
      <c r="F74" s="766"/>
      <c r="G74" s="766"/>
      <c r="H74" s="766"/>
      <c r="I74" s="1241" t="str">
        <f t="shared" si="8"/>
        <v>Agreement Annual Purchase Commitment</v>
      </c>
      <c r="J74" s="1280" t="str">
        <f>Q$1&amp;IF(Q74&lt;&gt;"",M74,M76)</f>
        <v>F102</v>
      </c>
      <c r="K74" s="1280" t="str">
        <f t="shared" si="9"/>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0"/>
        <v>J9</v>
      </c>
      <c r="C75" s="766" t="str">
        <f t="shared" ca="1" si="5"/>
        <v>J</v>
      </c>
      <c r="D75" s="766" t="s">
        <v>1350</v>
      </c>
      <c r="E75" s="766" t="s">
        <v>865</v>
      </c>
      <c r="F75" s="766"/>
      <c r="G75" s="766"/>
      <c r="H75" s="766"/>
      <c r="I75" s="1241" t="str">
        <f t="shared" si="8"/>
        <v>Agreement Deliveries Per Customer Unit Per Week</v>
      </c>
      <c r="J75" s="1280" t="str">
        <f>Q$1&amp;IF(Q75&lt;&gt;"",M75,M77)</f>
        <v>F103</v>
      </c>
      <c r="K75" s="1280" t="str">
        <f t="shared" si="9"/>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8"/>
        <v/>
      </c>
      <c r="J76" s="1280"/>
      <c r="K76" s="1280" t="str">
        <f t="shared" si="9"/>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8"/>
        <v/>
      </c>
      <c r="J77" s="1280"/>
      <c r="K77" s="1280" t="str">
        <f t="shared" si="9"/>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8"/>
        <v/>
      </c>
      <c r="J78" s="1455"/>
      <c r="K78" s="1280" t="str">
        <f t="shared" si="9"/>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8"/>
        <v/>
      </c>
      <c r="J79" s="1280"/>
      <c r="K79" s="1280" t="str">
        <f t="shared" si="9"/>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0"/>
        <v>U9</v>
      </c>
      <c r="C80" s="766" t="str">
        <f t="shared" ca="1" si="5"/>
        <v>U</v>
      </c>
      <c r="D80" s="766" t="s">
        <v>1350</v>
      </c>
      <c r="E80" s="766" t="s">
        <v>865</v>
      </c>
      <c r="F80" s="766"/>
      <c r="G80" s="766"/>
      <c r="H80" s="766"/>
      <c r="I80" s="1241" t="str">
        <f t="shared" si="8"/>
        <v/>
      </c>
      <c r="J80" s="1280"/>
      <c r="K80" s="1280" t="str">
        <f t="shared" si="9"/>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0"/>
        <v>V9</v>
      </c>
      <c r="C81" s="766" t="str">
        <f t="shared" ca="1" si="5"/>
        <v>V</v>
      </c>
      <c r="D81" s="766" t="s">
        <v>1350</v>
      </c>
      <c r="E81" s="766" t="s">
        <v>865</v>
      </c>
      <c r="F81" s="766"/>
      <c r="G81" s="766"/>
      <c r="H81" s="766"/>
      <c r="I81" s="1241" t="str">
        <f t="shared" si="8"/>
        <v/>
      </c>
      <c r="J81" s="1280"/>
      <c r="K81" s="1280" t="str">
        <f t="shared" si="9"/>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0"/>
        <v>W9</v>
      </c>
      <c r="C82" s="766" t="str">
        <f t="shared" ca="1" si="5"/>
        <v>W</v>
      </c>
      <c r="D82" s="766" t="s">
        <v>1350</v>
      </c>
      <c r="E82" s="766" t="s">
        <v>865</v>
      </c>
      <c r="F82" s="766"/>
      <c r="G82" s="766"/>
      <c r="H82" s="766"/>
      <c r="I82" s="1241" t="str">
        <f t="shared" si="8"/>
        <v>Add or End Customer</v>
      </c>
      <c r="J82" s="1280" t="str">
        <f>IF(M82&lt;&gt;"",Q$1&amp;M82,"")</f>
        <v>F108</v>
      </c>
      <c r="K82" s="1280" t="str">
        <f t="shared" si="9"/>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5"/>
        <v>H</v>
      </c>
      <c r="D83" s="766" t="s">
        <v>1350</v>
      </c>
      <c r="E83" s="766" t="s">
        <v>865</v>
      </c>
      <c r="F83" s="766"/>
      <c r="G83" s="766"/>
      <c r="H83" s="766"/>
      <c r="I83" s="1241" t="str">
        <f t="shared" si="8"/>
        <v>Pyramid Segment</v>
      </c>
      <c r="J83" s="1280" t="str">
        <f>IF(AND(P1225="",M83&lt;&gt;""),Q$1&amp;M83,"")</f>
        <v>F119</v>
      </c>
      <c r="K83" s="1280" t="str">
        <f t="shared" si="9"/>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1">_xlfn.IFNA(_xlfn.CONCAT(SUBSTITUTE(ADDRESS(1,MATCH(A84,INDIRECT("'"&amp;E84&amp;"'"&amp;"!A5:Z5"),0),4),1,""),10),"")</f>
        <v>I10</v>
      </c>
      <c r="C84" s="766" t="str">
        <f t="shared" ca="1" si="5"/>
        <v>I</v>
      </c>
      <c r="D84" s="766" t="s">
        <v>1350</v>
      </c>
      <c r="E84" s="766" t="s">
        <v>865</v>
      </c>
      <c r="F84" s="766"/>
      <c r="G84" s="766"/>
      <c r="H84" s="766"/>
      <c r="I84" s="1241" t="str">
        <f t="shared" si="8"/>
        <v>Agreement Annual Purchase Commitment</v>
      </c>
      <c r="J84" s="1280" t="str">
        <f>Q$1&amp;IF(Q84&lt;&gt;"",M84,M86)</f>
        <v>F123</v>
      </c>
      <c r="K84" s="1280" t="str">
        <f t="shared" si="9"/>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1"/>
        <v>J10</v>
      </c>
      <c r="C85" s="766" t="str">
        <f t="shared" ca="1" si="5"/>
        <v>J</v>
      </c>
      <c r="D85" s="766" t="s">
        <v>1350</v>
      </c>
      <c r="E85" s="766" t="s">
        <v>865</v>
      </c>
      <c r="F85" s="766"/>
      <c r="G85" s="766"/>
      <c r="H85" s="766"/>
      <c r="I85" s="1241" t="str">
        <f t="shared" si="8"/>
        <v>Agreement Deliveries Per Customer Unit Per Week</v>
      </c>
      <c r="J85" s="1280" t="str">
        <f>Q$1&amp;IF(Q85&lt;&gt;"",M85,M87)</f>
        <v>F124</v>
      </c>
      <c r="K85" s="1280" t="str">
        <f t="shared" si="9"/>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8"/>
        <v/>
      </c>
      <c r="J86" s="1280"/>
      <c r="K86" s="1280" t="str">
        <f t="shared" si="9"/>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8"/>
        <v/>
      </c>
      <c r="J87" s="1280"/>
      <c r="K87" s="1280" t="str">
        <f t="shared" si="9"/>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8"/>
        <v/>
      </c>
      <c r="J88" s="1455"/>
      <c r="K88" s="1280" t="str">
        <f t="shared" si="9"/>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8"/>
        <v/>
      </c>
      <c r="J89" s="1280"/>
      <c r="K89" s="1280" t="str">
        <f t="shared" si="9"/>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1"/>
        <v>U10</v>
      </c>
      <c r="C90" s="766" t="str">
        <f t="shared" ca="1" si="5"/>
        <v>U</v>
      </c>
      <c r="D90" s="766" t="s">
        <v>1350</v>
      </c>
      <c r="E90" s="766" t="s">
        <v>865</v>
      </c>
      <c r="F90" s="766"/>
      <c r="G90" s="766"/>
      <c r="H90" s="766"/>
      <c r="I90" s="1241" t="str">
        <f t="shared" si="8"/>
        <v/>
      </c>
      <c r="J90" s="1280"/>
      <c r="K90" s="1280" t="str">
        <f t="shared" si="9"/>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1"/>
        <v>V10</v>
      </c>
      <c r="C91" s="766" t="str">
        <f t="shared" ca="1" si="5"/>
        <v>V</v>
      </c>
      <c r="D91" s="766" t="s">
        <v>1350</v>
      </c>
      <c r="E91" s="766" t="s">
        <v>865</v>
      </c>
      <c r="F91" s="766"/>
      <c r="G91" s="766"/>
      <c r="H91" s="766"/>
      <c r="I91" s="1241" t="str">
        <f t="shared" si="8"/>
        <v/>
      </c>
      <c r="J91" s="1280"/>
      <c r="K91" s="1280" t="str">
        <f t="shared" si="9"/>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1"/>
        <v>W10</v>
      </c>
      <c r="C92" s="766" t="str">
        <f t="shared" ca="1" si="5"/>
        <v>W</v>
      </c>
      <c r="D92" s="766" t="s">
        <v>1350</v>
      </c>
      <c r="E92" s="766" t="s">
        <v>865</v>
      </c>
      <c r="F92" s="766"/>
      <c r="G92" s="766"/>
      <c r="H92" s="766"/>
      <c r="I92" s="1241" t="str">
        <f t="shared" si="8"/>
        <v>Add or End Customer</v>
      </c>
      <c r="J92" s="1280" t="str">
        <f>IF(M92&lt;&gt;"",Q$1&amp;M92,"")</f>
        <v>F129</v>
      </c>
      <c r="K92" s="1280" t="str">
        <f t="shared" si="9"/>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5"/>
        <v>H</v>
      </c>
      <c r="D93" s="766" t="s">
        <v>1350</v>
      </c>
      <c r="E93" s="766" t="s">
        <v>865</v>
      </c>
      <c r="F93" s="766"/>
      <c r="G93" s="766"/>
      <c r="H93" s="766"/>
      <c r="I93" s="1241" t="str">
        <f t="shared" si="8"/>
        <v>Pyramid Segment</v>
      </c>
      <c r="J93" s="1280" t="str">
        <f>IF(AND(P1226="",M93&lt;&gt;""),Q$1&amp;M93,"")</f>
        <v>F140</v>
      </c>
      <c r="K93" s="1280" t="str">
        <f t="shared" si="9"/>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2">_xlfn.IFNA(_xlfn.CONCAT(SUBSTITUTE(ADDRESS(1,MATCH(A94,INDIRECT("'"&amp;E94&amp;"'"&amp;"!A5:Z5"),0),4),1,""),11),"")</f>
        <v>I11</v>
      </c>
      <c r="C94" s="766" t="str">
        <f t="shared" ca="1" si="5"/>
        <v>I</v>
      </c>
      <c r="D94" s="766" t="s">
        <v>1350</v>
      </c>
      <c r="E94" s="766" t="s">
        <v>865</v>
      </c>
      <c r="F94" s="766"/>
      <c r="G94" s="766"/>
      <c r="H94" s="766"/>
      <c r="I94" s="1241" t="str">
        <f t="shared" si="8"/>
        <v>Agreement Annual Purchase Commitment</v>
      </c>
      <c r="J94" s="1280" t="str">
        <f>Q$1&amp;IF(Q94&lt;&gt;"",M94,M96)</f>
        <v>F144</v>
      </c>
      <c r="K94" s="1280" t="str">
        <f t="shared" si="9"/>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2"/>
        <v>J11</v>
      </c>
      <c r="C95" s="766" t="str">
        <f t="shared" ca="1" si="5"/>
        <v>J</v>
      </c>
      <c r="D95" s="766" t="s">
        <v>1350</v>
      </c>
      <c r="E95" s="766" t="s">
        <v>865</v>
      </c>
      <c r="F95" s="766"/>
      <c r="G95" s="766"/>
      <c r="H95" s="766"/>
      <c r="I95" s="1241" t="str">
        <f t="shared" si="8"/>
        <v>Agreement Deliveries Per Customer Unit Per Week</v>
      </c>
      <c r="J95" s="1280" t="str">
        <f>Q$1&amp;IF(Q95&lt;&gt;"",M95,M97)</f>
        <v>F145</v>
      </c>
      <c r="K95" s="1280" t="str">
        <f t="shared" si="9"/>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8"/>
        <v/>
      </c>
      <c r="J96" s="1280"/>
      <c r="K96" s="1280" t="str">
        <f t="shared" si="9"/>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8"/>
        <v/>
      </c>
      <c r="J97" s="1280"/>
      <c r="K97" s="1280" t="str">
        <f t="shared" si="9"/>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8"/>
        <v/>
      </c>
      <c r="J98" s="1455"/>
      <c r="K98" s="1280" t="str">
        <f t="shared" si="9"/>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8"/>
        <v/>
      </c>
      <c r="J99" s="1280"/>
      <c r="K99" s="1280" t="str">
        <f t="shared" si="9"/>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2"/>
        <v>U11</v>
      </c>
      <c r="C100" s="766" t="str">
        <f t="shared" ca="1" si="5"/>
        <v>U</v>
      </c>
      <c r="D100" s="766" t="s">
        <v>1350</v>
      </c>
      <c r="E100" s="766" t="s">
        <v>865</v>
      </c>
      <c r="F100" s="1280"/>
      <c r="G100" s="1280"/>
      <c r="H100" s="1280"/>
      <c r="I100" s="1241" t="str">
        <f t="shared" si="8"/>
        <v/>
      </c>
      <c r="J100" s="1280"/>
      <c r="K100" s="1280" t="str">
        <f t="shared" si="9"/>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2"/>
        <v>V11</v>
      </c>
      <c r="C101" s="766" t="str">
        <f t="shared" ca="1" si="5"/>
        <v>V</v>
      </c>
      <c r="D101" s="766" t="s">
        <v>1350</v>
      </c>
      <c r="E101" s="766" t="s">
        <v>865</v>
      </c>
      <c r="F101" s="1280"/>
      <c r="G101" s="1280"/>
      <c r="H101" s="1280"/>
      <c r="I101" s="1241" t="str">
        <f t="shared" si="8"/>
        <v/>
      </c>
      <c r="J101" s="1280"/>
      <c r="K101" s="1280" t="str">
        <f t="shared" si="9"/>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2"/>
        <v>W11</v>
      </c>
      <c r="C102" s="766" t="str">
        <f t="shared" ca="1" si="5"/>
        <v>W</v>
      </c>
      <c r="D102" s="766" t="s">
        <v>1350</v>
      </c>
      <c r="E102" s="766" t="s">
        <v>865</v>
      </c>
      <c r="F102" s="1280"/>
      <c r="G102" s="1280"/>
      <c r="H102" s="1280"/>
      <c r="I102" s="1241" t="str">
        <f t="shared" si="8"/>
        <v>Add or End Customer</v>
      </c>
      <c r="J102" s="1280" t="str">
        <f>IF(M102&lt;&gt;"",Q$1&amp;M102,"")</f>
        <v>F150</v>
      </c>
      <c r="K102" s="1280" t="str">
        <f t="shared" si="9"/>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5"/>
        <v>H</v>
      </c>
      <c r="D103" s="766" t="s">
        <v>1350</v>
      </c>
      <c r="E103" s="766" t="s">
        <v>865</v>
      </c>
      <c r="F103" s="1280"/>
      <c r="G103" s="1280"/>
      <c r="H103" s="1280"/>
      <c r="I103" s="1241" t="str">
        <f t="shared" si="8"/>
        <v>Pyramid Segment</v>
      </c>
      <c r="J103" s="1280" t="str">
        <f>IF(AND(P1227="",M103&lt;&gt;""),Q$1&amp;M103,"")</f>
        <v>F161</v>
      </c>
      <c r="K103" s="1280" t="str">
        <f t="shared" si="9"/>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3">_xlfn.IFNA(_xlfn.CONCAT(SUBSTITUTE(ADDRESS(1,MATCH(A104,INDIRECT("'"&amp;E104&amp;"'"&amp;"!A5:Z5"),0),4),1,""),12),"")</f>
        <v>I12</v>
      </c>
      <c r="C104" s="766" t="str">
        <f t="shared" ca="1" si="5"/>
        <v>I</v>
      </c>
      <c r="D104" s="766" t="s">
        <v>1350</v>
      </c>
      <c r="E104" s="766" t="s">
        <v>865</v>
      </c>
      <c r="F104" s="1280"/>
      <c r="G104" s="1280"/>
      <c r="H104" s="1280"/>
      <c r="I104" s="1241" t="str">
        <f t="shared" si="8"/>
        <v>Agreement Annual Purchase Commitment</v>
      </c>
      <c r="J104" s="1280" t="str">
        <f>Q$1&amp;IF(Q104&lt;&gt;"",M104,M106)</f>
        <v>F165</v>
      </c>
      <c r="K104" s="1280" t="str">
        <f t="shared" si="9"/>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3"/>
        <v>J12</v>
      </c>
      <c r="C105" s="766" t="str">
        <f t="shared" ca="1" si="5"/>
        <v>J</v>
      </c>
      <c r="D105" s="766" t="s">
        <v>1350</v>
      </c>
      <c r="E105" s="766" t="s">
        <v>865</v>
      </c>
      <c r="F105" s="1280"/>
      <c r="G105" s="1280"/>
      <c r="H105" s="1280"/>
      <c r="I105" s="1241" t="str">
        <f t="shared" si="8"/>
        <v>Agreement Deliveries Per Customer Unit Per Week</v>
      </c>
      <c r="J105" s="1280" t="str">
        <f>Q$1&amp;IF(Q105&lt;&gt;"",M105,M107)</f>
        <v>F166</v>
      </c>
      <c r="K105" s="1280" t="str">
        <f t="shared" si="9"/>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8"/>
        <v/>
      </c>
      <c r="J106" s="1280"/>
      <c r="K106" s="1280" t="str">
        <f t="shared" si="9"/>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8"/>
        <v/>
      </c>
      <c r="J107" s="1280"/>
      <c r="K107" s="1280" t="str">
        <f t="shared" si="9"/>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8"/>
        <v/>
      </c>
      <c r="J108" s="1455"/>
      <c r="K108" s="1280" t="str">
        <f t="shared" si="9"/>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8"/>
        <v/>
      </c>
      <c r="J109" s="1280"/>
      <c r="K109" s="1280" t="str">
        <f t="shared" si="9"/>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3"/>
        <v>U12</v>
      </c>
      <c r="C110" s="766" t="str">
        <f t="shared" ca="1" si="5"/>
        <v>U</v>
      </c>
      <c r="D110" s="766" t="s">
        <v>1350</v>
      </c>
      <c r="E110" s="766" t="s">
        <v>865</v>
      </c>
      <c r="F110" s="1280"/>
      <c r="G110" s="1280"/>
      <c r="H110" s="1280"/>
      <c r="I110" s="1241" t="str">
        <f t="shared" si="8"/>
        <v/>
      </c>
      <c r="J110" s="1280"/>
      <c r="K110" s="1280" t="str">
        <f t="shared" si="9"/>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3"/>
        <v>V12</v>
      </c>
      <c r="C111" s="766" t="str">
        <f t="shared" ca="1" si="5"/>
        <v>V</v>
      </c>
      <c r="D111" s="766" t="s">
        <v>1350</v>
      </c>
      <c r="E111" s="766" t="s">
        <v>865</v>
      </c>
      <c r="F111" s="1280"/>
      <c r="G111" s="1280"/>
      <c r="H111" s="1280"/>
      <c r="I111" s="1241" t="str">
        <f t="shared" si="8"/>
        <v/>
      </c>
      <c r="J111" s="1280"/>
      <c r="K111" s="1280" t="str">
        <f t="shared" si="9"/>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3"/>
        <v>W12</v>
      </c>
      <c r="C112" s="766" t="str">
        <f t="shared" ca="1" si="5"/>
        <v>W</v>
      </c>
      <c r="D112" s="766" t="s">
        <v>1350</v>
      </c>
      <c r="E112" s="766" t="s">
        <v>865</v>
      </c>
      <c r="F112" s="1280"/>
      <c r="G112" s="1280"/>
      <c r="H112" s="1280"/>
      <c r="I112" s="1241" t="str">
        <f t="shared" si="8"/>
        <v>Add or End Customer</v>
      </c>
      <c r="J112" s="1280" t="str">
        <f>IF(M112&lt;&gt;"",Q$1&amp;M112,"")</f>
        <v>F171</v>
      </c>
      <c r="K112" s="1280" t="str">
        <f t="shared" si="9"/>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5"/>
        <v>H</v>
      </c>
      <c r="D113" s="766" t="s">
        <v>1350</v>
      </c>
      <c r="E113" s="766" t="s">
        <v>865</v>
      </c>
      <c r="F113" s="1280"/>
      <c r="G113" s="1280"/>
      <c r="H113" s="1280"/>
      <c r="I113" s="1241" t="str">
        <f t="shared" si="8"/>
        <v>Pyramid Segment</v>
      </c>
      <c r="J113" s="1280" t="str">
        <f>IF(AND(P1228="",M113&lt;&gt;""),Q$1&amp;M113,"")</f>
        <v>F182</v>
      </c>
      <c r="K113" s="1280" t="str">
        <f t="shared" si="9"/>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4">_xlfn.IFNA(_xlfn.CONCAT(SUBSTITUTE(ADDRESS(1,MATCH(A114,INDIRECT("'"&amp;E114&amp;"'"&amp;"!A5:Z5"),0),4),1,""),13),"")</f>
        <v>I13</v>
      </c>
      <c r="C114" s="766" t="str">
        <f t="shared" ca="1" si="5"/>
        <v>I</v>
      </c>
      <c r="D114" s="766" t="s">
        <v>1350</v>
      </c>
      <c r="E114" s="766" t="s">
        <v>865</v>
      </c>
      <c r="F114" s="1280"/>
      <c r="G114" s="1280"/>
      <c r="H114" s="1280"/>
      <c r="I114" s="1241" t="str">
        <f t="shared" si="8"/>
        <v>Agreement Annual Purchase Commitment</v>
      </c>
      <c r="J114" s="1280" t="str">
        <f>Q$1&amp;IF(Q114&lt;&gt;"",M114,M116)</f>
        <v>F186</v>
      </c>
      <c r="K114" s="1280" t="str">
        <f t="shared" si="9"/>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4"/>
        <v>J13</v>
      </c>
      <c r="C115" s="766" t="str">
        <f t="shared" ca="1" si="5"/>
        <v>J</v>
      </c>
      <c r="D115" s="766" t="s">
        <v>1350</v>
      </c>
      <c r="E115" s="766" t="s">
        <v>865</v>
      </c>
      <c r="F115" s="1280"/>
      <c r="G115" s="1280"/>
      <c r="H115" s="1280"/>
      <c r="I115" s="1241" t="str">
        <f t="shared" si="8"/>
        <v>Agreement Deliveries Per Customer Unit Per Week</v>
      </c>
      <c r="J115" s="1280" t="str">
        <f>Q$1&amp;IF(Q115&lt;&gt;"",M115,M117)</f>
        <v>F187</v>
      </c>
      <c r="K115" s="1280" t="str">
        <f t="shared" si="9"/>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8"/>
        <v/>
      </c>
      <c r="J116" s="1280"/>
      <c r="K116" s="1280" t="str">
        <f t="shared" si="9"/>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8"/>
        <v/>
      </c>
      <c r="J117" s="1280"/>
      <c r="K117" s="1280" t="str">
        <f t="shared" si="9"/>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8"/>
        <v/>
      </c>
      <c r="J118" s="1455"/>
      <c r="K118" s="1280" t="str">
        <f t="shared" si="9"/>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8"/>
        <v/>
      </c>
      <c r="J119" s="1280"/>
      <c r="K119" s="1280" t="str">
        <f t="shared" si="9"/>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4"/>
        <v>U13</v>
      </c>
      <c r="C120" s="766" t="str">
        <f t="shared" ref="C120:C135" ca="1" si="15">_xlfn.IFNA(SUBSTITUTE(ADDRESS(1,MATCH(A120,INDIRECT("'"&amp;E120&amp;"'"&amp;"!A5:Z5"),0),4),1,""),"")</f>
        <v>U</v>
      </c>
      <c r="D120" s="766" t="s">
        <v>1350</v>
      </c>
      <c r="E120" s="766" t="s">
        <v>865</v>
      </c>
      <c r="F120" s="1280"/>
      <c r="G120" s="1280"/>
      <c r="H120" s="1280"/>
      <c r="I120" s="1241" t="str">
        <f t="shared" si="8"/>
        <v/>
      </c>
      <c r="J120" s="1280"/>
      <c r="K120" s="1280" t="str">
        <f t="shared" si="9"/>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4"/>
        <v>V13</v>
      </c>
      <c r="C121" s="766" t="str">
        <f t="shared" ca="1" si="15"/>
        <v>V</v>
      </c>
      <c r="D121" s="766" t="s">
        <v>1350</v>
      </c>
      <c r="E121" s="766" t="s">
        <v>865</v>
      </c>
      <c r="F121" s="1280"/>
      <c r="G121" s="1280"/>
      <c r="H121" s="1280"/>
      <c r="I121" s="1241" t="str">
        <f t="shared" si="8"/>
        <v/>
      </c>
      <c r="J121" s="1280"/>
      <c r="K121" s="1280" t="str">
        <f t="shared" si="9"/>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4"/>
        <v>W13</v>
      </c>
      <c r="C122" s="766" t="str">
        <f t="shared" ca="1" si="15"/>
        <v>W</v>
      </c>
      <c r="D122" s="766" t="s">
        <v>1350</v>
      </c>
      <c r="E122" s="766" t="s">
        <v>865</v>
      </c>
      <c r="F122" s="1280"/>
      <c r="G122" s="1280"/>
      <c r="H122" s="1280"/>
      <c r="I122" s="1241" t="str">
        <f t="shared" si="8"/>
        <v>Add or End Customer</v>
      </c>
      <c r="J122" s="1280" t="str">
        <f>IF(M122&lt;&gt;"",Q$1&amp;M122,"")</f>
        <v>F192</v>
      </c>
      <c r="K122" s="1280" t="str">
        <f t="shared" si="9"/>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15"/>
        <v>H</v>
      </c>
      <c r="D123" s="766" t="s">
        <v>1350</v>
      </c>
      <c r="E123" s="766" t="s">
        <v>865</v>
      </c>
      <c r="F123" s="1280"/>
      <c r="G123" s="1280"/>
      <c r="H123" s="1280"/>
      <c r="I123" s="1241" t="str">
        <f t="shared" si="8"/>
        <v>Pyramid Segment</v>
      </c>
      <c r="J123" s="1280" t="str">
        <f>IF(AND(P1229="",M123&lt;&gt;""),Q$1&amp;M123,"")</f>
        <v>F203</v>
      </c>
      <c r="K123" s="1280" t="str">
        <f t="shared" si="9"/>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16">_xlfn.IFNA(_xlfn.CONCAT(SUBSTITUTE(ADDRESS(1,MATCH(A124,INDIRECT("'"&amp;E124&amp;"'"&amp;"!A5:Z5"),0),4),1,""),14),"")</f>
        <v>I14</v>
      </c>
      <c r="C124" s="766" t="str">
        <f t="shared" ca="1" si="15"/>
        <v>I</v>
      </c>
      <c r="D124" s="766" t="s">
        <v>1350</v>
      </c>
      <c r="E124" s="766" t="s">
        <v>865</v>
      </c>
      <c r="F124" s="1280"/>
      <c r="G124" s="1280"/>
      <c r="H124" s="1280"/>
      <c r="I124" s="1241" t="str">
        <f t="shared" si="8"/>
        <v>Agreement Annual Purchase Commitment</v>
      </c>
      <c r="J124" s="1280" t="str">
        <f>Q$1&amp;IF(Q124&lt;&gt;"",M124,M126)</f>
        <v>F207</v>
      </c>
      <c r="K124" s="1280" t="str">
        <f t="shared" si="9"/>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16"/>
        <v>J14</v>
      </c>
      <c r="C125" s="766" t="str">
        <f t="shared" ca="1" si="15"/>
        <v>J</v>
      </c>
      <c r="D125" s="766" t="s">
        <v>1350</v>
      </c>
      <c r="E125" s="766" t="s">
        <v>865</v>
      </c>
      <c r="F125" s="1280"/>
      <c r="G125" s="1280"/>
      <c r="H125" s="1280"/>
      <c r="I125" s="1241" t="str">
        <f t="shared" si="8"/>
        <v>Agreement Deliveries Per Customer Unit Per Week</v>
      </c>
      <c r="J125" s="1280" t="str">
        <f>Q$1&amp;IF(Q125&lt;&gt;"",M125,M127)</f>
        <v>F208</v>
      </c>
      <c r="K125" s="1280" t="str">
        <f t="shared" si="9"/>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8"/>
        <v/>
      </c>
      <c r="J126" s="1280"/>
      <c r="K126" s="1280" t="str">
        <f t="shared" si="9"/>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8"/>
        <v/>
      </c>
      <c r="J127" s="1280"/>
      <c r="K127" s="1280" t="str">
        <f t="shared" si="9"/>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8"/>
        <v/>
      </c>
      <c r="J128" s="1455"/>
      <c r="K128" s="1280" t="str">
        <f t="shared" si="9"/>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8"/>
        <v/>
      </c>
      <c r="J129" s="1280"/>
      <c r="K129" s="1280" t="str">
        <f t="shared" si="9"/>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16"/>
        <v>U14</v>
      </c>
      <c r="C130" s="766" t="str">
        <f t="shared" ca="1" si="15"/>
        <v>U</v>
      </c>
      <c r="D130" s="766" t="s">
        <v>1350</v>
      </c>
      <c r="E130" s="766" t="s">
        <v>865</v>
      </c>
      <c r="F130" s="1280"/>
      <c r="G130" s="1280"/>
      <c r="H130" s="1280"/>
      <c r="I130" s="1241" t="str">
        <f t="shared" si="8"/>
        <v/>
      </c>
      <c r="J130" s="1280"/>
      <c r="K130" s="1280" t="str">
        <f t="shared" si="9"/>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16"/>
        <v>V14</v>
      </c>
      <c r="C131" s="766" t="str">
        <f t="shared" ca="1" si="15"/>
        <v>V</v>
      </c>
      <c r="D131" s="766" t="s">
        <v>1350</v>
      </c>
      <c r="E131" s="766" t="s">
        <v>865</v>
      </c>
      <c r="F131" s="1280"/>
      <c r="G131" s="1280"/>
      <c r="H131" s="1280"/>
      <c r="I131" s="1241" t="str">
        <f t="shared" si="8"/>
        <v/>
      </c>
      <c r="J131" s="1280"/>
      <c r="K131" s="1280" t="str">
        <f t="shared" si="9"/>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16"/>
        <v>W14</v>
      </c>
      <c r="C132" s="766" t="str">
        <f t="shared" ca="1" si="15"/>
        <v>W</v>
      </c>
      <c r="D132" s="766" t="s">
        <v>1350</v>
      </c>
      <c r="E132" s="766" t="s">
        <v>865</v>
      </c>
      <c r="F132" s="1280"/>
      <c r="G132" s="1280"/>
      <c r="H132" s="1280"/>
      <c r="I132" s="1241" t="str">
        <f t="shared" ref="I132:I195" si="17">IF(J132&lt;&gt;"",A132,"")</f>
        <v>Add or End Customer</v>
      </c>
      <c r="J132" s="1280" t="str">
        <f t="shared" ref="J132:J164" si="18">IF(M132&lt;&gt;"",Q$1&amp;M132,"")</f>
        <v>F213</v>
      </c>
      <c r="K132" s="1280" t="str">
        <f t="shared" ref="K132:K195" si="19">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15"/>
        <v>H</v>
      </c>
      <c r="D133" s="766" t="s">
        <v>1350</v>
      </c>
      <c r="E133" s="766" t="s">
        <v>865</v>
      </c>
      <c r="F133" s="1280"/>
      <c r="G133" s="1280"/>
      <c r="H133" s="1280"/>
      <c r="I133" s="1241" t="str">
        <f t="shared" si="17"/>
        <v>Pyramid Segment</v>
      </c>
      <c r="J133" s="1280" t="str">
        <f>IF(AND(P1230="",M133&lt;&gt;""),Q$1&amp;M133,"")</f>
        <v>F224</v>
      </c>
      <c r="K133" s="1280" t="str">
        <f t="shared" si="19"/>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15"/>
        <v>I</v>
      </c>
      <c r="D134" s="766" t="s">
        <v>1350</v>
      </c>
      <c r="E134" s="766" t="s">
        <v>865</v>
      </c>
      <c r="F134" s="1280"/>
      <c r="G134" s="1280"/>
      <c r="H134" s="1280"/>
      <c r="I134" s="1241" t="str">
        <f t="shared" si="17"/>
        <v>Agreement Annual Purchase Commitment</v>
      </c>
      <c r="J134" s="1280" t="str">
        <f>Q$1&amp;IF(Q134&lt;&gt;"",M134,M136)</f>
        <v>F228</v>
      </c>
      <c r="K134" s="1280" t="str">
        <f t="shared" si="19"/>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15"/>
        <v>J</v>
      </c>
      <c r="D135" s="766" t="s">
        <v>1350</v>
      </c>
      <c r="E135" s="766" t="s">
        <v>865</v>
      </c>
      <c r="F135" s="1280"/>
      <c r="G135" s="1280"/>
      <c r="H135" s="1280"/>
      <c r="I135" s="1241" t="str">
        <f t="shared" si="17"/>
        <v>Agreement Deliveries Per Customer Unit Per Week</v>
      </c>
      <c r="J135" s="1280" t="str">
        <f>Q$1&amp;IF(Q135&lt;&gt;"",M135,M137)</f>
        <v>F229</v>
      </c>
      <c r="K135" s="1280" t="str">
        <f t="shared" si="19"/>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17"/>
        <v/>
      </c>
      <c r="J136" s="1280"/>
      <c r="K136" s="1280" t="str">
        <f t="shared" si="19"/>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17"/>
        <v/>
      </c>
      <c r="J137" s="1280"/>
      <c r="K137" s="1280" t="str">
        <f t="shared" si="19"/>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17"/>
        <v/>
      </c>
      <c r="J138" s="1455"/>
      <c r="K138" s="1280" t="str">
        <f t="shared" si="19"/>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17"/>
        <v/>
      </c>
      <c r="J139" s="1280"/>
      <c r="K139" s="1280" t="str">
        <f t="shared" si="19"/>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17"/>
        <v/>
      </c>
      <c r="J140" s="1280"/>
      <c r="K140" s="1280" t="str">
        <f t="shared" si="19"/>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17"/>
        <v/>
      </c>
      <c r="J141" s="1280"/>
      <c r="K141" s="1280" t="str">
        <f t="shared" si="19"/>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17"/>
        <v>Add or End Customer</v>
      </c>
      <c r="J142" s="1280" t="str">
        <f t="shared" si="18"/>
        <v>F234</v>
      </c>
      <c r="K142" s="1280" t="str">
        <f t="shared" si="19"/>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17"/>
        <v>Minimum Delivery Selection</v>
      </c>
      <c r="J143" s="1280" t="str">
        <f t="shared" si="18"/>
        <v>F12</v>
      </c>
      <c r="K143" s="1280" t="str">
        <f t="shared" si="19"/>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17"/>
        <v>Fuel Surcharge Included</v>
      </c>
      <c r="J144" s="1280" t="str">
        <f t="shared" si="18"/>
        <v>F18</v>
      </c>
      <c r="K144" s="1280" t="str">
        <f t="shared" si="19"/>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17"/>
        <v>Fuel Surcharge Per</v>
      </c>
      <c r="J145" s="1280" t="str">
        <f t="shared" si="18"/>
        <v>F19</v>
      </c>
      <c r="K145" s="1280" t="str">
        <f t="shared" si="19"/>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17"/>
        <v>Audit Age of Invoices</v>
      </c>
      <c r="J146" s="1280" t="str">
        <f t="shared" si="18"/>
        <v>F509</v>
      </c>
      <c r="K146" s="1280" t="str">
        <f t="shared" si="19"/>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17"/>
        <v>Audit Frequency Code</v>
      </c>
      <c r="J147" s="1280" t="str">
        <f t="shared" si="18"/>
        <v>F510</v>
      </c>
      <c r="K147" s="1280" t="str">
        <f t="shared" si="19"/>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17"/>
        <v>Audit Nbr of Invoice Line Items</v>
      </c>
      <c r="J148" s="1280" t="str">
        <f t="shared" si="18"/>
        <v>F511</v>
      </c>
      <c r="K148" s="1280" t="str">
        <f t="shared" si="19"/>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17"/>
        <v>CPI ECI</v>
      </c>
      <c r="J149" s="1280" t="str">
        <f t="shared" si="18"/>
        <v>F512</v>
      </c>
      <c r="K149" s="1280" t="str">
        <f t="shared" si="19"/>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17"/>
        <v>Margin Erosion Rate</v>
      </c>
      <c r="J150" s="1280" t="str">
        <f t="shared" si="18"/>
        <v>F513</v>
      </c>
      <c r="K150" s="1280" t="str">
        <f t="shared" si="19"/>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17"/>
        <v>Standard Agreement</v>
      </c>
      <c r="J151" s="1280" t="str">
        <f t="shared" si="18"/>
        <v>F516</v>
      </c>
      <c r="K151" s="1280" t="str">
        <f t="shared" si="19"/>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17"/>
        <v>Agreement Annual Purchase Commitment</v>
      </c>
      <c r="J152" s="1280" t="str">
        <f t="shared" si="18"/>
        <v>F20</v>
      </c>
      <c r="K152" s="1280" t="str">
        <f t="shared" si="19"/>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17"/>
        <v>Multi Market Flag</v>
      </c>
      <c r="J153" s="1280" t="str">
        <f t="shared" si="18"/>
        <v>F21</v>
      </c>
      <c r="K153" s="1280" t="str">
        <f t="shared" si="19"/>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17"/>
        <v>Agreement Sub Classification</v>
      </c>
      <c r="J155" s="1280" t="str">
        <f t="shared" si="18"/>
        <v>F23</v>
      </c>
      <c r="K155" s="1280" t="str">
        <f t="shared" si="19"/>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17"/>
        <v>Legacy Agreement Flag</v>
      </c>
      <c r="J156" s="1280" t="str">
        <f t="shared" si="18"/>
        <v>F24</v>
      </c>
      <c r="K156" s="1280" t="str">
        <f t="shared" si="19"/>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17"/>
        <v>Agreement Calendar</v>
      </c>
      <c r="J157" s="1280" t="str">
        <f t="shared" si="18"/>
        <v>F25</v>
      </c>
      <c r="K157" s="1280" t="str">
        <f t="shared" si="19"/>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17"/>
        <v xml:space="preserve">Agreement Effective Date: </v>
      </c>
      <c r="J158" s="1280" t="str">
        <f t="shared" si="18"/>
        <v>F7</v>
      </c>
      <c r="K158" s="1280" t="str">
        <f t="shared" si="19"/>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17"/>
        <v>Agreement Expiration Date:</v>
      </c>
      <c r="J159" s="1280" t="str">
        <f t="shared" si="18"/>
        <v>F8</v>
      </c>
      <c r="K159" s="1280" t="str">
        <f t="shared" si="19"/>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17"/>
        <v xml:space="preserve">Market Contact: </v>
      </c>
      <c r="J160" s="1280" t="str">
        <f t="shared" si="18"/>
        <v>F502</v>
      </c>
      <c r="K160" s="1280" t="str">
        <f t="shared" si="19"/>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17"/>
        <v xml:space="preserve">Legal Entity Email Address: </v>
      </c>
      <c r="J161" s="1280" t="str">
        <f t="shared" si="18"/>
        <v>F503</v>
      </c>
      <c r="K161" s="1280" t="str">
        <f t="shared" si="19"/>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17"/>
        <v xml:space="preserve">DBA Name: </v>
      </c>
      <c r="J162" s="1280" t="str">
        <f t="shared" si="18"/>
        <v>F504</v>
      </c>
      <c r="K162" s="1280" t="str">
        <f t="shared" si="19"/>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17"/>
        <v xml:space="preserve">Legal Entity Name: </v>
      </c>
      <c r="J164" s="1809" t="str">
        <f t="shared" si="18"/>
        <v>F506</v>
      </c>
      <c r="K164" s="1809" t="str">
        <f t="shared" si="19"/>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0">_xlfn.IFNA(_xlfn.CONCAT(SUBSTITUTE(ADDRESS(1,MATCH(A167,INDIRECT("'"&amp;E167&amp;"'"&amp;"!A18:Z18"),0),4),1,""),19),"")</f>
        <v>E19</v>
      </c>
      <c r="C167" s="766" t="str">
        <f t="shared" ref="C167:C230" ca="1" si="21">_xlfn.IFNA(SUBSTITUTE(ADDRESS(1,MATCH(A167,INDIRECT("'"&amp;E167&amp;"'"&amp;"!A18:Z18"),0),4),1,""),"")</f>
        <v>E</v>
      </c>
      <c r="D167" s="1280" t="s">
        <v>1350</v>
      </c>
      <c r="E167" s="766" t="s">
        <v>1351</v>
      </c>
      <c r="F167" s="1280"/>
      <c r="G167" s="1280"/>
      <c r="H167" s="1280"/>
      <c r="I167" s="1241" t="str">
        <f t="shared" si="17"/>
        <v/>
      </c>
      <c r="J167" s="1280"/>
      <c r="K167" s="1280" t="str">
        <f t="shared" si="19"/>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0"/>
        <v>F19</v>
      </c>
      <c r="C168" s="766" t="str">
        <f t="shared" ca="1" si="21"/>
        <v>F</v>
      </c>
      <c r="D168" s="1280" t="s">
        <v>1350</v>
      </c>
      <c r="E168" s="766" t="s">
        <v>1351</v>
      </c>
      <c r="F168" s="1280"/>
      <c r="G168" s="1280"/>
      <c r="H168" s="1280"/>
      <c r="I168" s="1241" t="str">
        <f t="shared" si="17"/>
        <v>Name</v>
      </c>
      <c r="J168" s="1280" t="str">
        <f>IF(P167="",Q$1&amp;M168,"")</f>
        <v>F36</v>
      </c>
      <c r="K168" s="1280" t="str">
        <f t="shared" si="19"/>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0"/>
        <v>G19</v>
      </c>
      <c r="C169" s="766" t="str">
        <f t="shared" ca="1" si="21"/>
        <v>G</v>
      </c>
      <c r="D169" s="1280" t="s">
        <v>1350</v>
      </c>
      <c r="E169" s="766" t="s">
        <v>1351</v>
      </c>
      <c r="F169" s="1280"/>
      <c r="G169" s="1280"/>
      <c r="H169" s="1280"/>
      <c r="I169" s="1241" t="str">
        <f t="shared" si="17"/>
        <v/>
      </c>
      <c r="J169" s="1280"/>
      <c r="K169" s="1280" t="str">
        <f t="shared" si="19"/>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0"/>
        <v>H19</v>
      </c>
      <c r="C170" s="766" t="str">
        <f t="shared" ca="1" si="21"/>
        <v>H</v>
      </c>
      <c r="D170" s="1280" t="s">
        <v>1350</v>
      </c>
      <c r="E170" s="766" t="s">
        <v>1351</v>
      </c>
      <c r="F170" s="1280"/>
      <c r="G170" s="1280"/>
      <c r="H170" s="1280"/>
      <c r="I170" s="1241" t="str">
        <f t="shared" si="17"/>
        <v/>
      </c>
      <c r="J170" s="1280"/>
      <c r="K170" s="1280" t="str">
        <f t="shared" si="19"/>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0"/>
        <v>I19</v>
      </c>
      <c r="C171" s="766" t="str">
        <f t="shared" ca="1" si="21"/>
        <v>I</v>
      </c>
      <c r="D171" s="1280" t="s">
        <v>1350</v>
      </c>
      <c r="E171" s="766" t="s">
        <v>1351</v>
      </c>
      <c r="F171" s="1280"/>
      <c r="G171" s="1280"/>
      <c r="H171" s="1280"/>
      <c r="I171" s="1241" t="str">
        <f t="shared" si="17"/>
        <v>Secondary or Internal Customer</v>
      </c>
      <c r="J171" s="1280" t="str">
        <f>IF(M171&lt;&gt;"",Q$1&amp;M171,"")</f>
        <v>F48</v>
      </c>
      <c r="K171" s="1280" t="str">
        <f t="shared" si="19"/>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0"/>
        <v>J19</v>
      </c>
      <c r="C172" s="766" t="str">
        <f t="shared" ca="1" si="21"/>
        <v>J</v>
      </c>
      <c r="D172" s="1280" t="s">
        <v>1350</v>
      </c>
      <c r="E172" s="766" t="s">
        <v>1351</v>
      </c>
      <c r="F172" s="1280"/>
      <c r="G172" s="1280"/>
      <c r="H172" s="1280"/>
      <c r="I172" s="1241" t="str">
        <f t="shared" si="17"/>
        <v>Fuel Surcharge Applied</v>
      </c>
      <c r="J172" s="1280" t="str">
        <f>IF(M172&lt;&gt;"",Q$1&amp;M172,"")</f>
        <v>F49</v>
      </c>
      <c r="K172" s="1280" t="str">
        <f t="shared" si="19"/>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0"/>
        <v>K19</v>
      </c>
      <c r="C173" s="766" t="str">
        <f t="shared" ca="1" si="21"/>
        <v>K</v>
      </c>
      <c r="D173" s="1280" t="s">
        <v>1350</v>
      </c>
      <c r="E173" s="766" t="s">
        <v>1351</v>
      </c>
      <c r="F173" s="1280"/>
      <c r="G173" s="1280"/>
      <c r="H173" s="1280"/>
      <c r="I173" s="1241" t="str">
        <f t="shared" si="17"/>
        <v>Minimum Delivery Charge Applied Flag</v>
      </c>
      <c r="J173" s="1280" t="str">
        <f>IF(M173&lt;&gt;"",Q$1&amp;M173,"")</f>
        <v>F50</v>
      </c>
      <c r="K173" s="1280" t="str">
        <f t="shared" si="19"/>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0"/>
        <v/>
      </c>
      <c r="C174" s="766" t="str">
        <f t="shared" ca="1" si="21"/>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0"/>
        <v/>
      </c>
      <c r="C175" s="766" t="str">
        <f t="shared" ca="1" si="21"/>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0"/>
        <v/>
      </c>
      <c r="C176" s="766" t="str">
        <f t="shared" ca="1" si="21"/>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0"/>
        <v/>
      </c>
      <c r="C177" s="766" t="str">
        <f t="shared" ca="1" si="21"/>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1"/>
        <v>E</v>
      </c>
      <c r="D178" s="1280" t="s">
        <v>1350</v>
      </c>
      <c r="E178" s="766" t="s">
        <v>1351</v>
      </c>
      <c r="F178" s="1280"/>
      <c r="G178" s="1280"/>
      <c r="H178" s="1280"/>
      <c r="I178" s="1241" t="str">
        <f t="shared" si="17"/>
        <v/>
      </c>
      <c r="J178" s="1280"/>
      <c r="K178" s="1280" t="str">
        <f t="shared" si="19"/>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2">_xlfn.IFNA(_xlfn.CONCAT(SUBSTITUTE(ADDRESS(1,MATCH(A179,INDIRECT("'"&amp;E179&amp;"'"&amp;"!A18:Z18"),0),4),1,""),20),"")</f>
        <v>F20</v>
      </c>
      <c r="C179" s="766" t="str">
        <f t="shared" ca="1" si="21"/>
        <v>F</v>
      </c>
      <c r="D179" s="1280" t="s">
        <v>1350</v>
      </c>
      <c r="E179" s="766" t="s">
        <v>1351</v>
      </c>
      <c r="F179" s="1280"/>
      <c r="G179" s="1280"/>
      <c r="H179" s="1280"/>
      <c r="I179" s="1241" t="str">
        <f t="shared" si="17"/>
        <v>Name</v>
      </c>
      <c r="J179" s="1280" t="str">
        <f>IF(P178="",Q$1&amp;M179,"")</f>
        <v>F57</v>
      </c>
      <c r="K179" s="1280" t="str">
        <f t="shared" si="19"/>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2"/>
        <v>G20</v>
      </c>
      <c r="C180" s="766" t="str">
        <f t="shared" ca="1" si="21"/>
        <v>G</v>
      </c>
      <c r="D180" s="1280" t="s">
        <v>1350</v>
      </c>
      <c r="E180" s="766" t="s">
        <v>1351</v>
      </c>
      <c r="F180" s="1280"/>
      <c r="G180" s="1280"/>
      <c r="H180" s="1280"/>
      <c r="I180" s="1241" t="str">
        <f t="shared" si="17"/>
        <v/>
      </c>
      <c r="J180" s="1280"/>
      <c r="K180" s="1280" t="str">
        <f t="shared" si="19"/>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2"/>
        <v>H20</v>
      </c>
      <c r="C181" s="766" t="str">
        <f t="shared" ca="1" si="21"/>
        <v>H</v>
      </c>
      <c r="D181" s="1280" t="s">
        <v>1350</v>
      </c>
      <c r="E181" s="766" t="s">
        <v>1351</v>
      </c>
      <c r="F181" s="1280"/>
      <c r="G181" s="1280"/>
      <c r="H181" s="1280"/>
      <c r="I181" s="1241" t="str">
        <f t="shared" si="17"/>
        <v/>
      </c>
      <c r="J181" s="1280"/>
      <c r="K181" s="1280" t="str">
        <f t="shared" si="19"/>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2"/>
        <v>I20</v>
      </c>
      <c r="C182" s="766" t="str">
        <f t="shared" ca="1" si="21"/>
        <v>I</v>
      </c>
      <c r="D182" s="1280" t="s">
        <v>1350</v>
      </c>
      <c r="E182" s="766" t="s">
        <v>1351</v>
      </c>
      <c r="F182" s="1280"/>
      <c r="G182" s="1280"/>
      <c r="H182" s="1280"/>
      <c r="I182" s="1241" t="str">
        <f t="shared" si="17"/>
        <v>Secondary or Internal Customer</v>
      </c>
      <c r="J182" s="1280" t="str">
        <f>IF(M182&lt;&gt;"",Q$1&amp;M182,"")</f>
        <v>F69</v>
      </c>
      <c r="K182" s="1280" t="str">
        <f t="shared" si="19"/>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2"/>
        <v>J20</v>
      </c>
      <c r="C183" s="766" t="str">
        <f t="shared" ca="1" si="21"/>
        <v>J</v>
      </c>
      <c r="D183" s="1280" t="s">
        <v>1350</v>
      </c>
      <c r="E183" s="766" t="s">
        <v>1351</v>
      </c>
      <c r="F183" s="1280"/>
      <c r="G183" s="1280"/>
      <c r="H183" s="1280"/>
      <c r="I183" s="1241" t="str">
        <f t="shared" si="17"/>
        <v>Fuel Surcharge Applied</v>
      </c>
      <c r="J183" s="1280" t="str">
        <f>IF(M183&lt;&gt;"",Q$1&amp;M183,"")</f>
        <v>F70</v>
      </c>
      <c r="K183" s="1280" t="str">
        <f t="shared" si="19"/>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2"/>
        <v>K20</v>
      </c>
      <c r="C184" s="766" t="str">
        <f t="shared" ca="1" si="21"/>
        <v>K</v>
      </c>
      <c r="D184" s="1280" t="s">
        <v>1350</v>
      </c>
      <c r="E184" s="766" t="s">
        <v>1351</v>
      </c>
      <c r="F184" s="1280"/>
      <c r="G184" s="1280"/>
      <c r="H184" s="1280"/>
      <c r="I184" s="1241" t="str">
        <f t="shared" si="17"/>
        <v>Minimum Delivery Charge Applied Flag</v>
      </c>
      <c r="J184" s="1280" t="str">
        <f>IF(M184&lt;&gt;"",Q$1&amp;M184,"")</f>
        <v>F71</v>
      </c>
      <c r="K184" s="1280" t="str">
        <f t="shared" si="19"/>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2"/>
        <v/>
      </c>
      <c r="C185" s="766" t="str">
        <f t="shared" ca="1" si="21"/>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2"/>
        <v/>
      </c>
      <c r="C186" s="766" t="str">
        <f t="shared" ca="1" si="21"/>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2"/>
        <v/>
      </c>
      <c r="C187" s="766" t="str">
        <f t="shared" ca="1" si="21"/>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2"/>
        <v/>
      </c>
      <c r="C188" s="766" t="str">
        <f t="shared" ca="1" si="21"/>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1"/>
        <v>E</v>
      </c>
      <c r="D189" s="1280" t="s">
        <v>1350</v>
      </c>
      <c r="E189" s="766" t="s">
        <v>1351</v>
      </c>
      <c r="F189" s="1280"/>
      <c r="G189" s="1280"/>
      <c r="H189" s="1280"/>
      <c r="I189" s="1241" t="str">
        <f t="shared" si="17"/>
        <v/>
      </c>
      <c r="J189" s="1280"/>
      <c r="K189" s="1280" t="str">
        <f t="shared" si="19"/>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3">_xlfn.IFNA(_xlfn.CONCAT(SUBSTITUTE(ADDRESS(1,MATCH(A190,INDIRECT("'"&amp;E190&amp;"'"&amp;"!A18:Z18"),0),4),1,""),21),"")</f>
        <v>F21</v>
      </c>
      <c r="C190" s="766" t="str">
        <f t="shared" ca="1" si="21"/>
        <v>F</v>
      </c>
      <c r="D190" s="1280" t="s">
        <v>1350</v>
      </c>
      <c r="E190" s="766" t="s">
        <v>1351</v>
      </c>
      <c r="F190" s="1280"/>
      <c r="G190" s="1280"/>
      <c r="H190" s="1280"/>
      <c r="I190" s="1241" t="str">
        <f t="shared" si="17"/>
        <v>Name</v>
      </c>
      <c r="J190" s="1280" t="str">
        <f>IF(P189="",Q$1&amp;M190,"")</f>
        <v>F78</v>
      </c>
      <c r="K190" s="1280" t="str">
        <f t="shared" si="19"/>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3"/>
        <v>G21</v>
      </c>
      <c r="C191" s="766" t="str">
        <f t="shared" ca="1" si="21"/>
        <v>G</v>
      </c>
      <c r="D191" s="1280" t="s">
        <v>1350</v>
      </c>
      <c r="E191" s="766" t="s">
        <v>1351</v>
      </c>
      <c r="F191" s="1280"/>
      <c r="G191" s="1280"/>
      <c r="H191" s="1280"/>
      <c r="I191" s="1241" t="str">
        <f t="shared" si="17"/>
        <v/>
      </c>
      <c r="J191" s="1280"/>
      <c r="K191" s="1280" t="str">
        <f t="shared" si="19"/>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3"/>
        <v>H21</v>
      </c>
      <c r="C192" s="766" t="str">
        <f t="shared" ca="1" si="21"/>
        <v>H</v>
      </c>
      <c r="D192" s="1280" t="s">
        <v>1350</v>
      </c>
      <c r="E192" s="766" t="s">
        <v>1351</v>
      </c>
      <c r="F192" s="1280"/>
      <c r="G192" s="1280"/>
      <c r="H192" s="1280"/>
      <c r="I192" s="1241" t="str">
        <f t="shared" si="17"/>
        <v/>
      </c>
      <c r="J192" s="1280"/>
      <c r="K192" s="1280" t="str">
        <f t="shared" si="19"/>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3"/>
        <v>I21</v>
      </c>
      <c r="C193" s="766" t="str">
        <f t="shared" ca="1" si="21"/>
        <v>I</v>
      </c>
      <c r="D193" s="1280" t="s">
        <v>1350</v>
      </c>
      <c r="E193" s="766" t="s">
        <v>1351</v>
      </c>
      <c r="F193" s="1280"/>
      <c r="G193" s="1280"/>
      <c r="H193" s="1280"/>
      <c r="I193" s="1241" t="str">
        <f t="shared" si="17"/>
        <v>Secondary or Internal Customer</v>
      </c>
      <c r="J193" s="1280" t="str">
        <f>IF(M193&lt;&gt;"",Q$1&amp;M193,"")</f>
        <v>F90</v>
      </c>
      <c r="K193" s="1280" t="str">
        <f t="shared" si="19"/>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3"/>
        <v>J21</v>
      </c>
      <c r="C194" s="766" t="str">
        <f t="shared" ca="1" si="21"/>
        <v>J</v>
      </c>
      <c r="D194" s="1280" t="s">
        <v>1350</v>
      </c>
      <c r="E194" s="766" t="s">
        <v>1351</v>
      </c>
      <c r="F194" s="1280"/>
      <c r="G194" s="1280"/>
      <c r="H194" s="1280"/>
      <c r="I194" s="1241" t="str">
        <f t="shared" si="17"/>
        <v>Fuel Surcharge Applied</v>
      </c>
      <c r="J194" s="1280" t="str">
        <f>IF(M194&lt;&gt;"",Q$1&amp;M194,"")</f>
        <v>F91</v>
      </c>
      <c r="K194" s="1280" t="str">
        <f t="shared" si="19"/>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3"/>
        <v>K21</v>
      </c>
      <c r="C195" s="766" t="str">
        <f t="shared" ca="1" si="21"/>
        <v>K</v>
      </c>
      <c r="D195" s="1280" t="s">
        <v>1350</v>
      </c>
      <c r="E195" s="766" t="s">
        <v>1351</v>
      </c>
      <c r="F195" s="1280"/>
      <c r="G195" s="1280"/>
      <c r="H195" s="1280"/>
      <c r="I195" s="1241" t="str">
        <f t="shared" si="17"/>
        <v>Minimum Delivery Charge Applied Flag</v>
      </c>
      <c r="J195" s="1280" t="str">
        <f>IF(M195&lt;&gt;"",Q$1&amp;M195,"")</f>
        <v>F92</v>
      </c>
      <c r="K195" s="1280" t="str">
        <f t="shared" si="19"/>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3"/>
        <v/>
      </c>
      <c r="C196" s="766" t="str">
        <f t="shared" ca="1" si="21"/>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3"/>
        <v/>
      </c>
      <c r="C197" s="766" t="str">
        <f t="shared" ca="1" si="21"/>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3"/>
        <v/>
      </c>
      <c r="C198" s="766" t="str">
        <f t="shared" ca="1" si="21"/>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3"/>
        <v/>
      </c>
      <c r="C199" s="766" t="str">
        <f t="shared" ca="1" si="21"/>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1"/>
        <v>E</v>
      </c>
      <c r="D200" s="1280" t="s">
        <v>1350</v>
      </c>
      <c r="E200" s="766" t="s">
        <v>1351</v>
      </c>
      <c r="F200" s="1280"/>
      <c r="G200" s="1280"/>
      <c r="H200" s="1280"/>
      <c r="I200" s="1241" t="str">
        <f t="shared" ref="I200:I259" si="24">IF(J200&lt;&gt;"",A200,"")</f>
        <v/>
      </c>
      <c r="J200" s="1280"/>
      <c r="K200" s="1280" t="str">
        <f t="shared" ref="K200:K259" si="25">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26">_xlfn.IFNA(_xlfn.CONCAT(SUBSTITUTE(ADDRESS(1,MATCH(A201,INDIRECT("'"&amp;E201&amp;"'"&amp;"!A18:Z18"),0),4),1,""),22),"")</f>
        <v>F22</v>
      </c>
      <c r="C201" s="766" t="str">
        <f t="shared" ca="1" si="21"/>
        <v>F</v>
      </c>
      <c r="D201" s="1280" t="s">
        <v>1350</v>
      </c>
      <c r="E201" s="766" t="s">
        <v>1351</v>
      </c>
      <c r="F201" s="1280"/>
      <c r="G201" s="1280"/>
      <c r="H201" s="1280"/>
      <c r="I201" s="1241" t="str">
        <f t="shared" si="24"/>
        <v>Name</v>
      </c>
      <c r="J201" s="1280" t="str">
        <f>IF(P200="",Q$1&amp;M201,"")</f>
        <v>F99</v>
      </c>
      <c r="K201" s="1280" t="str">
        <f t="shared" si="25"/>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26"/>
        <v>G22</v>
      </c>
      <c r="C202" s="766" t="str">
        <f t="shared" ca="1" si="21"/>
        <v>G</v>
      </c>
      <c r="D202" s="1280" t="s">
        <v>1350</v>
      </c>
      <c r="E202" s="766" t="s">
        <v>1351</v>
      </c>
      <c r="F202" s="1280"/>
      <c r="G202" s="1280"/>
      <c r="H202" s="1280"/>
      <c r="I202" s="1241" t="str">
        <f t="shared" si="24"/>
        <v/>
      </c>
      <c r="J202" s="1280"/>
      <c r="K202" s="1280" t="str">
        <f t="shared" si="25"/>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26"/>
        <v>H22</v>
      </c>
      <c r="C203" s="766" t="str">
        <f t="shared" ca="1" si="21"/>
        <v>H</v>
      </c>
      <c r="D203" s="1280" t="s">
        <v>1350</v>
      </c>
      <c r="E203" s="766" t="s">
        <v>1351</v>
      </c>
      <c r="F203" s="1280"/>
      <c r="G203" s="1280"/>
      <c r="H203" s="1280"/>
      <c r="I203" s="1241" t="str">
        <f t="shared" si="24"/>
        <v/>
      </c>
      <c r="J203" s="1280"/>
      <c r="K203" s="1280" t="str">
        <f t="shared" si="25"/>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26"/>
        <v>I22</v>
      </c>
      <c r="C204" s="766" t="str">
        <f t="shared" ca="1" si="21"/>
        <v>I</v>
      </c>
      <c r="D204" s="1280" t="s">
        <v>1350</v>
      </c>
      <c r="E204" s="766" t="s">
        <v>1351</v>
      </c>
      <c r="F204" s="1280"/>
      <c r="G204" s="1280"/>
      <c r="H204" s="1280"/>
      <c r="I204" s="1241" t="str">
        <f t="shared" si="24"/>
        <v>Secondary or Internal Customer</v>
      </c>
      <c r="J204" s="1280" t="str">
        <f>IF(M204&lt;&gt;"",Q$1&amp;M204,"")</f>
        <v>F111</v>
      </c>
      <c r="K204" s="1280" t="str">
        <f t="shared" si="25"/>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26"/>
        <v>J22</v>
      </c>
      <c r="C205" s="766" t="str">
        <f t="shared" ca="1" si="21"/>
        <v>J</v>
      </c>
      <c r="D205" s="1280" t="s">
        <v>1350</v>
      </c>
      <c r="E205" s="766" t="s">
        <v>1351</v>
      </c>
      <c r="F205" s="1280"/>
      <c r="G205" s="1280"/>
      <c r="H205" s="1280"/>
      <c r="I205" s="1241" t="str">
        <f t="shared" si="24"/>
        <v>Fuel Surcharge Applied</v>
      </c>
      <c r="J205" s="1280" t="str">
        <f>IF(M205&lt;&gt;"",Q$1&amp;M205,"")</f>
        <v>F112</v>
      </c>
      <c r="K205" s="1280" t="str">
        <f t="shared" si="25"/>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26"/>
        <v>K22</v>
      </c>
      <c r="C206" s="766" t="str">
        <f t="shared" ca="1" si="21"/>
        <v>K</v>
      </c>
      <c r="D206" s="1280" t="s">
        <v>1350</v>
      </c>
      <c r="E206" s="766" t="s">
        <v>1351</v>
      </c>
      <c r="F206" s="1280"/>
      <c r="G206" s="1280"/>
      <c r="H206" s="1280"/>
      <c r="I206" s="1241" t="str">
        <f t="shared" si="24"/>
        <v>Minimum Delivery Charge Applied Flag</v>
      </c>
      <c r="J206" s="1280" t="str">
        <f>IF(M206&lt;&gt;"",Q$1&amp;M206,"")</f>
        <v>F113</v>
      </c>
      <c r="K206" s="1280" t="str">
        <f t="shared" si="25"/>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26"/>
        <v/>
      </c>
      <c r="C207" s="766" t="str">
        <f t="shared" ca="1" si="21"/>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26"/>
        <v/>
      </c>
      <c r="C208" s="766" t="str">
        <f t="shared" ca="1" si="21"/>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26"/>
        <v/>
      </c>
      <c r="C209" s="766" t="str">
        <f t="shared" ca="1" si="21"/>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26"/>
        <v/>
      </c>
      <c r="C210" s="766" t="str">
        <f t="shared" ca="1" si="21"/>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1"/>
        <v>E</v>
      </c>
      <c r="D211" s="1280" t="s">
        <v>1350</v>
      </c>
      <c r="E211" s="766" t="s">
        <v>1351</v>
      </c>
      <c r="F211" s="1280"/>
      <c r="G211" s="1280"/>
      <c r="H211" s="1280"/>
      <c r="I211" s="1241" t="str">
        <f t="shared" si="24"/>
        <v/>
      </c>
      <c r="J211" s="1280"/>
      <c r="K211" s="1280" t="str">
        <f t="shared" si="25"/>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27">_xlfn.IFNA(_xlfn.CONCAT(SUBSTITUTE(ADDRESS(1,MATCH(A212,INDIRECT("'"&amp;E212&amp;"'"&amp;"!A18:Z18"),0),4),1,""),23),"")</f>
        <v>F23</v>
      </c>
      <c r="C212" s="766" t="str">
        <f t="shared" ca="1" si="21"/>
        <v>F</v>
      </c>
      <c r="D212" s="1280" t="s">
        <v>1350</v>
      </c>
      <c r="E212" s="766" t="s">
        <v>1351</v>
      </c>
      <c r="F212" s="1280"/>
      <c r="G212" s="1280"/>
      <c r="H212" s="1280"/>
      <c r="I212" s="1241" t="str">
        <f t="shared" si="24"/>
        <v>Name</v>
      </c>
      <c r="J212" s="1280" t="str">
        <f>IF(P211="",Q$1&amp;M212,"")</f>
        <v>F120</v>
      </c>
      <c r="K212" s="1280" t="str">
        <f t="shared" si="25"/>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27"/>
        <v>G23</v>
      </c>
      <c r="C213" s="766" t="str">
        <f t="shared" ca="1" si="21"/>
        <v>G</v>
      </c>
      <c r="D213" s="1280" t="s">
        <v>1350</v>
      </c>
      <c r="E213" s="766" t="s">
        <v>1351</v>
      </c>
      <c r="F213" s="1280"/>
      <c r="G213" s="1280"/>
      <c r="H213" s="1280"/>
      <c r="I213" s="1241" t="str">
        <f t="shared" si="24"/>
        <v/>
      </c>
      <c r="J213" s="1280"/>
      <c r="K213" s="1280" t="str">
        <f t="shared" si="25"/>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27"/>
        <v>H23</v>
      </c>
      <c r="C214" s="766" t="str">
        <f t="shared" ca="1" si="21"/>
        <v>H</v>
      </c>
      <c r="D214" s="1280" t="s">
        <v>1350</v>
      </c>
      <c r="E214" s="766" t="s">
        <v>1351</v>
      </c>
      <c r="F214" s="1280"/>
      <c r="G214" s="1280"/>
      <c r="H214" s="1280"/>
      <c r="I214" s="1241" t="str">
        <f t="shared" si="24"/>
        <v/>
      </c>
      <c r="J214" s="1280"/>
      <c r="K214" s="1280" t="str">
        <f t="shared" si="25"/>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27"/>
        <v>I23</v>
      </c>
      <c r="C215" s="766" t="str">
        <f t="shared" ca="1" si="21"/>
        <v>I</v>
      </c>
      <c r="D215" s="1280" t="s">
        <v>1350</v>
      </c>
      <c r="E215" s="766" t="s">
        <v>1351</v>
      </c>
      <c r="F215" s="1280"/>
      <c r="G215" s="1280"/>
      <c r="H215" s="1280"/>
      <c r="I215" s="1241" t="str">
        <f t="shared" si="24"/>
        <v>Secondary or Internal Customer</v>
      </c>
      <c r="J215" s="1280" t="str">
        <f>IF(M215&lt;&gt;"",Q$1&amp;M215,"")</f>
        <v>F132</v>
      </c>
      <c r="K215" s="1280" t="str">
        <f t="shared" si="25"/>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27"/>
        <v>J23</v>
      </c>
      <c r="C216" s="766" t="str">
        <f t="shared" ca="1" si="21"/>
        <v>J</v>
      </c>
      <c r="D216" s="1280" t="s">
        <v>1350</v>
      </c>
      <c r="E216" s="766" t="s">
        <v>1351</v>
      </c>
      <c r="F216" s="1280"/>
      <c r="G216" s="1280"/>
      <c r="H216" s="1280"/>
      <c r="I216" s="1241" t="str">
        <f t="shared" si="24"/>
        <v>Fuel Surcharge Applied</v>
      </c>
      <c r="J216" s="1280" t="str">
        <f>IF(M216&lt;&gt;"",Q$1&amp;M216,"")</f>
        <v>F133</v>
      </c>
      <c r="K216" s="1280" t="str">
        <f t="shared" si="25"/>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27"/>
        <v>K23</v>
      </c>
      <c r="C217" s="766" t="str">
        <f t="shared" ca="1" si="21"/>
        <v>K</v>
      </c>
      <c r="D217" s="1280" t="s">
        <v>1350</v>
      </c>
      <c r="E217" s="766" t="s">
        <v>1351</v>
      </c>
      <c r="F217" s="1280"/>
      <c r="G217" s="1280"/>
      <c r="H217" s="1280"/>
      <c r="I217" s="1241" t="str">
        <f t="shared" si="24"/>
        <v>Minimum Delivery Charge Applied Flag</v>
      </c>
      <c r="J217" s="1280" t="str">
        <f>IF(M217&lt;&gt;"",Q$1&amp;M217,"")</f>
        <v>F134</v>
      </c>
      <c r="K217" s="1280" t="str">
        <f t="shared" si="25"/>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27"/>
        <v/>
      </c>
      <c r="C218" s="766" t="str">
        <f t="shared" ca="1" si="21"/>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27"/>
        <v/>
      </c>
      <c r="C219" s="766" t="str">
        <f t="shared" ca="1" si="21"/>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27"/>
        <v/>
      </c>
      <c r="C220" s="766" t="str">
        <f t="shared" ca="1" si="21"/>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27"/>
        <v/>
      </c>
      <c r="C221" s="766" t="str">
        <f t="shared" ca="1" si="21"/>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1"/>
        <v>E</v>
      </c>
      <c r="D222" s="1280" t="s">
        <v>1350</v>
      </c>
      <c r="E222" s="766" t="s">
        <v>1351</v>
      </c>
      <c r="F222" s="1280"/>
      <c r="G222" s="1280"/>
      <c r="H222" s="1280"/>
      <c r="I222" s="1241" t="str">
        <f t="shared" si="24"/>
        <v/>
      </c>
      <c r="J222" s="1280"/>
      <c r="K222" s="1280" t="str">
        <f t="shared" si="25"/>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28">_xlfn.IFNA(_xlfn.CONCAT(SUBSTITUTE(ADDRESS(1,MATCH(A223,INDIRECT("'"&amp;E223&amp;"'"&amp;"!A18:Z18"),0),4),1,""),24),"")</f>
        <v>F24</v>
      </c>
      <c r="C223" s="766" t="str">
        <f t="shared" ca="1" si="21"/>
        <v>F</v>
      </c>
      <c r="D223" s="1280" t="s">
        <v>1350</v>
      </c>
      <c r="E223" s="766" t="s">
        <v>1351</v>
      </c>
      <c r="F223" s="1280"/>
      <c r="G223" s="1280"/>
      <c r="H223" s="1280"/>
      <c r="I223" s="1241" t="str">
        <f t="shared" si="24"/>
        <v>Name</v>
      </c>
      <c r="J223" s="1280" t="str">
        <f>IF(P222="",Q$1&amp;M223,"")</f>
        <v>F141</v>
      </c>
      <c r="K223" s="1280" t="str">
        <f t="shared" si="25"/>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28"/>
        <v>G24</v>
      </c>
      <c r="C224" s="766" t="str">
        <f t="shared" ca="1" si="21"/>
        <v>G</v>
      </c>
      <c r="D224" s="1280" t="s">
        <v>1350</v>
      </c>
      <c r="E224" s="766" t="s">
        <v>1351</v>
      </c>
      <c r="F224" s="1280"/>
      <c r="G224" s="1280"/>
      <c r="H224" s="1280"/>
      <c r="I224" s="1241" t="str">
        <f t="shared" si="24"/>
        <v/>
      </c>
      <c r="J224" s="1280"/>
      <c r="K224" s="1280" t="str">
        <f t="shared" si="25"/>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28"/>
        <v>H24</v>
      </c>
      <c r="C225" s="766" t="str">
        <f t="shared" ca="1" si="21"/>
        <v>H</v>
      </c>
      <c r="D225" s="1280" t="s">
        <v>1350</v>
      </c>
      <c r="E225" s="766" t="s">
        <v>1351</v>
      </c>
      <c r="F225" s="1280"/>
      <c r="G225" s="1280"/>
      <c r="H225" s="1280"/>
      <c r="I225" s="1241" t="str">
        <f t="shared" si="24"/>
        <v/>
      </c>
      <c r="J225" s="1280"/>
      <c r="K225" s="1280" t="str">
        <f t="shared" si="25"/>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28"/>
        <v>I24</v>
      </c>
      <c r="C226" s="766" t="str">
        <f t="shared" ca="1" si="21"/>
        <v>I</v>
      </c>
      <c r="D226" s="1280" t="s">
        <v>1350</v>
      </c>
      <c r="E226" s="766" t="s">
        <v>1351</v>
      </c>
      <c r="F226" s="1280"/>
      <c r="G226" s="1280"/>
      <c r="H226" s="1280"/>
      <c r="I226" s="1241" t="str">
        <f t="shared" si="24"/>
        <v>Secondary or Internal Customer</v>
      </c>
      <c r="J226" s="1280" t="str">
        <f>IF(M226&lt;&gt;"",Q$1&amp;M226,"")</f>
        <v>F153</v>
      </c>
      <c r="K226" s="1280" t="str">
        <f t="shared" si="25"/>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28"/>
        <v>J24</v>
      </c>
      <c r="C227" s="766" t="str">
        <f t="shared" ca="1" si="21"/>
        <v>J</v>
      </c>
      <c r="D227" s="1280" t="s">
        <v>1350</v>
      </c>
      <c r="E227" s="766" t="s">
        <v>1351</v>
      </c>
      <c r="F227" s="1280"/>
      <c r="G227" s="1280"/>
      <c r="H227" s="1280"/>
      <c r="I227" s="1241" t="str">
        <f t="shared" si="24"/>
        <v>Fuel Surcharge Applied</v>
      </c>
      <c r="J227" s="1280" t="str">
        <f>IF(M227&lt;&gt;"",Q$1&amp;M227,"")</f>
        <v>F154</v>
      </c>
      <c r="K227" s="1280" t="str">
        <f t="shared" si="25"/>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28"/>
        <v>K24</v>
      </c>
      <c r="C228" s="766" t="str">
        <f t="shared" ca="1" si="21"/>
        <v>K</v>
      </c>
      <c r="D228" s="1280" t="s">
        <v>1350</v>
      </c>
      <c r="E228" s="766" t="s">
        <v>1351</v>
      </c>
      <c r="F228" s="1280"/>
      <c r="G228" s="1280"/>
      <c r="H228" s="1280"/>
      <c r="I228" s="1241" t="str">
        <f t="shared" si="24"/>
        <v>Minimum Delivery Charge Applied Flag</v>
      </c>
      <c r="J228" s="1280" t="str">
        <f>IF(M228&lt;&gt;"",Q$1&amp;M228,"")</f>
        <v>F155</v>
      </c>
      <c r="K228" s="1280" t="str">
        <f t="shared" si="25"/>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28"/>
        <v/>
      </c>
      <c r="C229" s="766" t="str">
        <f t="shared" ca="1" si="21"/>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28"/>
        <v/>
      </c>
      <c r="C230" s="766" t="str">
        <f t="shared" ca="1" si="21"/>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28"/>
        <v/>
      </c>
      <c r="C231" s="766" t="str">
        <f t="shared" ref="C231:C276" ca="1" si="29">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28"/>
        <v/>
      </c>
      <c r="C232" s="766" t="str">
        <f t="shared" ca="1" si="29"/>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29"/>
        <v>E</v>
      </c>
      <c r="D233" s="1280" t="s">
        <v>1350</v>
      </c>
      <c r="E233" s="766" t="s">
        <v>1351</v>
      </c>
      <c r="F233" s="1280"/>
      <c r="G233" s="1280"/>
      <c r="H233" s="1280"/>
      <c r="I233" s="1241" t="str">
        <f t="shared" si="24"/>
        <v/>
      </c>
      <c r="J233" s="1280"/>
      <c r="K233" s="1280" t="str">
        <f t="shared" si="25"/>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0">_xlfn.IFNA(_xlfn.CONCAT(SUBSTITUTE(ADDRESS(1,MATCH(A234,INDIRECT("'"&amp;E234&amp;"'"&amp;"!A18:Z18"),0),4),1,""),25),"")</f>
        <v>F25</v>
      </c>
      <c r="C234" s="766" t="str">
        <f t="shared" ca="1" si="29"/>
        <v>F</v>
      </c>
      <c r="D234" s="1280" t="s">
        <v>1350</v>
      </c>
      <c r="E234" s="766" t="s">
        <v>1351</v>
      </c>
      <c r="F234" s="1280"/>
      <c r="G234" s="1280"/>
      <c r="H234" s="1280"/>
      <c r="I234" s="1241" t="str">
        <f t="shared" si="24"/>
        <v>Name</v>
      </c>
      <c r="J234" s="1280" t="str">
        <f>IF(P233="",Q$1&amp;M234,"")</f>
        <v>F162</v>
      </c>
      <c r="K234" s="1280" t="str">
        <f t="shared" si="25"/>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0"/>
        <v>G25</v>
      </c>
      <c r="C235" s="766" t="str">
        <f t="shared" ca="1" si="29"/>
        <v>G</v>
      </c>
      <c r="D235" s="1280" t="s">
        <v>1350</v>
      </c>
      <c r="E235" s="766" t="s">
        <v>1351</v>
      </c>
      <c r="F235" s="1280"/>
      <c r="G235" s="1280"/>
      <c r="H235" s="1280"/>
      <c r="I235" s="1241" t="str">
        <f t="shared" si="24"/>
        <v/>
      </c>
      <c r="J235" s="1280"/>
      <c r="K235" s="1280" t="str">
        <f t="shared" si="25"/>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0"/>
        <v>H25</v>
      </c>
      <c r="C236" s="766" t="str">
        <f t="shared" ca="1" si="29"/>
        <v>H</v>
      </c>
      <c r="D236" s="1280" t="s">
        <v>1350</v>
      </c>
      <c r="E236" s="766" t="s">
        <v>1351</v>
      </c>
      <c r="F236" s="1280"/>
      <c r="G236" s="1280"/>
      <c r="H236" s="1280"/>
      <c r="I236" s="1241" t="str">
        <f t="shared" si="24"/>
        <v/>
      </c>
      <c r="J236" s="1280"/>
      <c r="K236" s="1280" t="str">
        <f t="shared" si="25"/>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0"/>
        <v>I25</v>
      </c>
      <c r="C237" s="766" t="str">
        <f t="shared" ca="1" si="29"/>
        <v>I</v>
      </c>
      <c r="D237" s="1280" t="s">
        <v>1350</v>
      </c>
      <c r="E237" s="766" t="s">
        <v>1351</v>
      </c>
      <c r="F237" s="1280"/>
      <c r="G237" s="1280"/>
      <c r="H237" s="1280"/>
      <c r="I237" s="1241" t="str">
        <f t="shared" si="24"/>
        <v>Secondary or Internal Customer</v>
      </c>
      <c r="J237" s="1280" t="str">
        <f>IF(M237&lt;&gt;"",Q$1&amp;M237,"")</f>
        <v>F174</v>
      </c>
      <c r="K237" s="1280" t="str">
        <f t="shared" si="25"/>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0"/>
        <v>J25</v>
      </c>
      <c r="C238" s="766" t="str">
        <f t="shared" ca="1" si="29"/>
        <v>J</v>
      </c>
      <c r="D238" s="1280" t="s">
        <v>1350</v>
      </c>
      <c r="E238" s="766" t="s">
        <v>1351</v>
      </c>
      <c r="F238" s="1280"/>
      <c r="G238" s="1280"/>
      <c r="H238" s="1280"/>
      <c r="I238" s="1241" t="str">
        <f t="shared" si="24"/>
        <v>Fuel Surcharge Applied</v>
      </c>
      <c r="J238" s="1280" t="str">
        <f>IF(M238&lt;&gt;"",Q$1&amp;M238,"")</f>
        <v>F175</v>
      </c>
      <c r="K238" s="1280" t="str">
        <f t="shared" si="25"/>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0"/>
        <v>K25</v>
      </c>
      <c r="C239" s="766" t="str">
        <f t="shared" ca="1" si="29"/>
        <v>K</v>
      </c>
      <c r="D239" s="1280" t="s">
        <v>1350</v>
      </c>
      <c r="E239" s="766" t="s">
        <v>1351</v>
      </c>
      <c r="F239" s="1280"/>
      <c r="G239" s="1280"/>
      <c r="H239" s="1280"/>
      <c r="I239" s="1241" t="str">
        <f t="shared" si="24"/>
        <v>Minimum Delivery Charge Applied Flag</v>
      </c>
      <c r="J239" s="1280" t="str">
        <f>IF(M239&lt;&gt;"",Q$1&amp;M239,"")</f>
        <v>F176</v>
      </c>
      <c r="K239" s="1280" t="str">
        <f t="shared" si="25"/>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0"/>
        <v/>
      </c>
      <c r="C240" s="766" t="str">
        <f t="shared" ca="1" si="29"/>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0"/>
        <v/>
      </c>
      <c r="C241" s="766" t="str">
        <f t="shared" ca="1" si="29"/>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0"/>
        <v/>
      </c>
      <c r="C242" s="766" t="str">
        <f t="shared" ca="1" si="29"/>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0"/>
        <v/>
      </c>
      <c r="C243" s="766" t="str">
        <f t="shared" ca="1" si="29"/>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29"/>
        <v>E</v>
      </c>
      <c r="D244" s="1280" t="s">
        <v>1350</v>
      </c>
      <c r="E244" s="766" t="s">
        <v>1351</v>
      </c>
      <c r="F244" s="1280"/>
      <c r="G244" s="1280"/>
      <c r="H244" s="1280"/>
      <c r="I244" s="1241" t="str">
        <f t="shared" si="24"/>
        <v/>
      </c>
      <c r="J244" s="1280"/>
      <c r="K244" s="1280" t="str">
        <f t="shared" si="25"/>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1">_xlfn.IFNA(_xlfn.CONCAT(SUBSTITUTE(ADDRESS(1,MATCH(A245,INDIRECT("'"&amp;E245&amp;"'"&amp;"!A18:Z18"),0),4),1,""),26),"")</f>
        <v>F26</v>
      </c>
      <c r="C245" s="766" t="str">
        <f t="shared" ca="1" si="29"/>
        <v>F</v>
      </c>
      <c r="D245" s="1280" t="s">
        <v>1350</v>
      </c>
      <c r="E245" s="766" t="s">
        <v>1351</v>
      </c>
      <c r="F245" s="1280"/>
      <c r="G245" s="1280"/>
      <c r="H245" s="1280"/>
      <c r="I245" s="1241" t="str">
        <f t="shared" si="24"/>
        <v>Name</v>
      </c>
      <c r="J245" s="1280" t="str">
        <f>IF(P244="",Q$1&amp;M245,"")</f>
        <v>F183</v>
      </c>
      <c r="K245" s="1280" t="str">
        <f t="shared" si="25"/>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1"/>
        <v>G26</v>
      </c>
      <c r="C246" s="766" t="str">
        <f t="shared" ca="1" si="29"/>
        <v>G</v>
      </c>
      <c r="D246" s="1280" t="s">
        <v>1350</v>
      </c>
      <c r="E246" s="766" t="s">
        <v>1351</v>
      </c>
      <c r="F246" s="1280"/>
      <c r="G246" s="1280"/>
      <c r="H246" s="1280"/>
      <c r="I246" s="1241" t="str">
        <f t="shared" si="24"/>
        <v/>
      </c>
      <c r="J246" s="1280"/>
      <c r="K246" s="1280" t="str">
        <f t="shared" si="25"/>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1"/>
        <v>H26</v>
      </c>
      <c r="C247" s="766" t="str">
        <f t="shared" ca="1" si="29"/>
        <v>H</v>
      </c>
      <c r="D247" s="1280" t="s">
        <v>1350</v>
      </c>
      <c r="E247" s="766" t="s">
        <v>1351</v>
      </c>
      <c r="F247" s="1280"/>
      <c r="G247" s="1280"/>
      <c r="H247" s="1280"/>
      <c r="I247" s="1241" t="str">
        <f t="shared" si="24"/>
        <v/>
      </c>
      <c r="J247" s="1280"/>
      <c r="K247" s="1280" t="str">
        <f t="shared" si="25"/>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1"/>
        <v>I26</v>
      </c>
      <c r="C248" s="766" t="str">
        <f t="shared" ca="1" si="29"/>
        <v>I</v>
      </c>
      <c r="D248" s="1280" t="s">
        <v>1350</v>
      </c>
      <c r="E248" s="766" t="s">
        <v>1351</v>
      </c>
      <c r="F248" s="1280"/>
      <c r="G248" s="1280"/>
      <c r="H248" s="1280"/>
      <c r="I248" s="1241" t="str">
        <f t="shared" si="24"/>
        <v>Secondary or Internal Customer</v>
      </c>
      <c r="J248" s="1280" t="str">
        <f>IF(M248&lt;&gt;"",Q$1&amp;M248,"")</f>
        <v>F195</v>
      </c>
      <c r="K248" s="1280" t="str">
        <f t="shared" si="25"/>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1"/>
        <v>J26</v>
      </c>
      <c r="C249" s="766" t="str">
        <f t="shared" ca="1" si="29"/>
        <v>J</v>
      </c>
      <c r="D249" s="1280" t="s">
        <v>1350</v>
      </c>
      <c r="E249" s="766" t="s">
        <v>1351</v>
      </c>
      <c r="F249" s="1280"/>
      <c r="G249" s="1280"/>
      <c r="H249" s="1280"/>
      <c r="I249" s="1241" t="str">
        <f t="shared" si="24"/>
        <v>Fuel Surcharge Applied</v>
      </c>
      <c r="J249" s="1280" t="str">
        <f>IF(M249&lt;&gt;"",Q$1&amp;M249,"")</f>
        <v>F196</v>
      </c>
      <c r="K249" s="1280" t="str">
        <f t="shared" si="25"/>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1"/>
        <v>K26</v>
      </c>
      <c r="C250" s="766" t="str">
        <f t="shared" ca="1" si="29"/>
        <v>K</v>
      </c>
      <c r="D250" s="1280" t="s">
        <v>1350</v>
      </c>
      <c r="E250" s="766" t="s">
        <v>1351</v>
      </c>
      <c r="F250" s="1280"/>
      <c r="G250" s="1280"/>
      <c r="H250" s="1280"/>
      <c r="I250" s="1241" t="str">
        <f t="shared" si="24"/>
        <v>Minimum Delivery Charge Applied Flag</v>
      </c>
      <c r="J250" s="1280" t="str">
        <f>IF(M250&lt;&gt;"",Q$1&amp;M250,"")</f>
        <v>F197</v>
      </c>
      <c r="K250" s="1280" t="str">
        <f t="shared" si="25"/>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1"/>
        <v/>
      </c>
      <c r="C251" s="766" t="str">
        <f t="shared" ca="1" si="29"/>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1"/>
        <v/>
      </c>
      <c r="C252" s="766" t="str">
        <f t="shared" ca="1" si="29"/>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1"/>
        <v/>
      </c>
      <c r="C253" s="766" t="str">
        <f t="shared" ca="1" si="29"/>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1"/>
        <v/>
      </c>
      <c r="C254" s="766" t="str">
        <f t="shared" ca="1" si="29"/>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29"/>
        <v>E</v>
      </c>
      <c r="D255" s="1280" t="s">
        <v>1350</v>
      </c>
      <c r="E255" s="766" t="s">
        <v>1351</v>
      </c>
      <c r="F255" s="1280"/>
      <c r="G255" s="1280"/>
      <c r="H255" s="1280"/>
      <c r="I255" s="1241" t="str">
        <f t="shared" si="24"/>
        <v/>
      </c>
      <c r="J255" s="1280"/>
      <c r="K255" s="1280" t="str">
        <f t="shared" si="25"/>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2">_xlfn.IFNA(_xlfn.CONCAT(SUBSTITUTE(ADDRESS(1,MATCH(A256,INDIRECT("'"&amp;E256&amp;"'"&amp;"!A18:Z18"),0),4),1,""),27),"")</f>
        <v>F27</v>
      </c>
      <c r="C256" s="766" t="str">
        <f t="shared" ca="1" si="29"/>
        <v>F</v>
      </c>
      <c r="D256" s="1280" t="s">
        <v>1350</v>
      </c>
      <c r="E256" s="766" t="s">
        <v>1351</v>
      </c>
      <c r="F256" s="1280"/>
      <c r="G256" s="1280"/>
      <c r="H256" s="1280"/>
      <c r="I256" s="1241" t="str">
        <f t="shared" si="24"/>
        <v>Name</v>
      </c>
      <c r="J256" s="1280" t="str">
        <f>IF(P255="",Q$1&amp;M256,"")</f>
        <v>F204</v>
      </c>
      <c r="K256" s="1280" t="str">
        <f t="shared" si="25"/>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2"/>
        <v>G27</v>
      </c>
      <c r="C257" s="766" t="str">
        <f t="shared" ca="1" si="29"/>
        <v>G</v>
      </c>
      <c r="D257" s="1280" t="s">
        <v>1350</v>
      </c>
      <c r="E257" s="766" t="s">
        <v>1351</v>
      </c>
      <c r="F257" s="1280"/>
      <c r="G257" s="1280"/>
      <c r="H257" s="1280"/>
      <c r="I257" s="1241" t="str">
        <f t="shared" si="24"/>
        <v/>
      </c>
      <c r="J257" s="1280"/>
      <c r="K257" s="1280" t="str">
        <f t="shared" si="25"/>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2"/>
        <v>H27</v>
      </c>
      <c r="C258" s="766" t="str">
        <f t="shared" ca="1" si="29"/>
        <v>H</v>
      </c>
      <c r="D258" s="1280" t="s">
        <v>1350</v>
      </c>
      <c r="E258" s="766" t="s">
        <v>1351</v>
      </c>
      <c r="F258" s="1280"/>
      <c r="G258" s="1280"/>
      <c r="H258" s="1280"/>
      <c r="I258" s="1241" t="str">
        <f t="shared" si="24"/>
        <v/>
      </c>
      <c r="J258" s="1280"/>
      <c r="K258" s="1280" t="str">
        <f t="shared" si="25"/>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2"/>
        <v>I27</v>
      </c>
      <c r="C259" s="766" t="str">
        <f t="shared" ca="1" si="29"/>
        <v>I</v>
      </c>
      <c r="D259" s="1280" t="s">
        <v>1350</v>
      </c>
      <c r="E259" s="766" t="s">
        <v>1351</v>
      </c>
      <c r="F259" s="1280"/>
      <c r="G259" s="1280"/>
      <c r="H259" s="1280"/>
      <c r="I259" s="1241" t="str">
        <f t="shared" si="24"/>
        <v>Secondary or Internal Customer</v>
      </c>
      <c r="J259" s="1280" t="str">
        <f>IF(M259&lt;&gt;"",Q$1&amp;M259,"")</f>
        <v>F216</v>
      </c>
      <c r="K259" s="1280" t="str">
        <f t="shared" si="25"/>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2"/>
        <v>J27</v>
      </c>
      <c r="C260" s="766" t="str">
        <f t="shared" ca="1" si="29"/>
        <v>J</v>
      </c>
      <c r="D260" s="1280" t="s">
        <v>1350</v>
      </c>
      <c r="E260" s="766" t="s">
        <v>1351</v>
      </c>
      <c r="F260" s="1280"/>
      <c r="G260" s="1280"/>
      <c r="H260" s="1280"/>
      <c r="I260" s="1241" t="str">
        <f t="shared" ref="I260:I323" si="33">IF(J260&lt;&gt;"",A260,"")</f>
        <v>Fuel Surcharge Applied</v>
      </c>
      <c r="J260" s="1280" t="str">
        <f>IF(M260&lt;&gt;"",Q$1&amp;M260,"")</f>
        <v>F217</v>
      </c>
      <c r="K260" s="1280" t="str">
        <f t="shared" ref="K260:K323" si="34">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2"/>
        <v>K27</v>
      </c>
      <c r="C261" s="766" t="str">
        <f t="shared" ca="1" si="29"/>
        <v>K</v>
      </c>
      <c r="D261" s="1280" t="s">
        <v>1350</v>
      </c>
      <c r="E261" s="766" t="s">
        <v>1351</v>
      </c>
      <c r="F261" s="1280"/>
      <c r="G261" s="1280"/>
      <c r="H261" s="1280"/>
      <c r="I261" s="1241" t="str">
        <f t="shared" si="33"/>
        <v>Minimum Delivery Charge Applied Flag</v>
      </c>
      <c r="J261" s="1280" t="str">
        <f>IF(M261&lt;&gt;"",Q$1&amp;M261,"")</f>
        <v>F218</v>
      </c>
      <c r="K261" s="1280" t="str">
        <f t="shared" si="34"/>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2"/>
        <v/>
      </c>
      <c r="C262" s="766" t="str">
        <f t="shared" ca="1" si="29"/>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2"/>
        <v/>
      </c>
      <c r="C263" s="766" t="str">
        <f t="shared" ca="1" si="29"/>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2"/>
        <v/>
      </c>
      <c r="C264" s="766" t="str">
        <f t="shared" ca="1" si="29"/>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2"/>
        <v/>
      </c>
      <c r="C265" s="766" t="str">
        <f t="shared" ca="1" si="29"/>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29"/>
        <v>E</v>
      </c>
      <c r="D266" s="1280" t="s">
        <v>1350</v>
      </c>
      <c r="E266" s="766" t="s">
        <v>1351</v>
      </c>
      <c r="F266" s="1280"/>
      <c r="G266" s="1280"/>
      <c r="H266" s="1280"/>
      <c r="I266" s="1241" t="str">
        <f t="shared" si="33"/>
        <v/>
      </c>
      <c r="J266" s="1280"/>
      <c r="K266" s="1280" t="str">
        <f t="shared" si="34"/>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35">_xlfn.IFNA(_xlfn.CONCAT(SUBSTITUTE(ADDRESS(1,MATCH(A267,INDIRECT("'"&amp;E267&amp;"'"&amp;"!A18:Z18"),0),4),1,""),28),"")</f>
        <v>F28</v>
      </c>
      <c r="C267" s="766" t="str">
        <f t="shared" ca="1" si="29"/>
        <v>F</v>
      </c>
      <c r="D267" s="1280" t="s">
        <v>1350</v>
      </c>
      <c r="E267" s="766" t="s">
        <v>1351</v>
      </c>
      <c r="F267" s="1280"/>
      <c r="G267" s="1280"/>
      <c r="H267" s="1280"/>
      <c r="I267" s="1241" t="str">
        <f t="shared" si="33"/>
        <v>Name</v>
      </c>
      <c r="J267" s="1280" t="str">
        <f>IF(P266="",Q$1&amp;M267,"")</f>
        <v>F225</v>
      </c>
      <c r="K267" s="1280" t="str">
        <f t="shared" si="34"/>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35"/>
        <v>G28</v>
      </c>
      <c r="C268" s="766" t="str">
        <f t="shared" ca="1" si="29"/>
        <v>G</v>
      </c>
      <c r="D268" s="1280" t="s">
        <v>1350</v>
      </c>
      <c r="E268" s="766" t="s">
        <v>1351</v>
      </c>
      <c r="F268" s="1280"/>
      <c r="G268" s="1280"/>
      <c r="H268" s="1280"/>
      <c r="I268" s="1241" t="str">
        <f t="shared" si="33"/>
        <v/>
      </c>
      <c r="J268" s="1280"/>
      <c r="K268" s="1280" t="str">
        <f t="shared" si="34"/>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35"/>
        <v>H28</v>
      </c>
      <c r="C269" s="766" t="str">
        <f t="shared" ca="1" si="29"/>
        <v>H</v>
      </c>
      <c r="D269" s="1280" t="s">
        <v>1350</v>
      </c>
      <c r="E269" s="766" t="s">
        <v>1351</v>
      </c>
      <c r="F269" s="1280"/>
      <c r="G269" s="1280"/>
      <c r="H269" s="1280"/>
      <c r="I269" s="1241" t="str">
        <f t="shared" si="33"/>
        <v/>
      </c>
      <c r="J269" s="1280"/>
      <c r="K269" s="1280" t="str">
        <f t="shared" si="34"/>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35"/>
        <v>I28</v>
      </c>
      <c r="C270" s="766" t="str">
        <f t="shared" ca="1" si="29"/>
        <v>I</v>
      </c>
      <c r="D270" s="1280" t="s">
        <v>1350</v>
      </c>
      <c r="E270" s="766" t="s">
        <v>1351</v>
      </c>
      <c r="F270" s="1280"/>
      <c r="G270" s="1280"/>
      <c r="H270" s="1280"/>
      <c r="I270" s="1241" t="str">
        <f t="shared" si="33"/>
        <v>Secondary or Internal Customer</v>
      </c>
      <c r="J270" s="1280" t="str">
        <f>IF(M270&lt;&gt;"",Q$1&amp;M270,"")</f>
        <v>F237</v>
      </c>
      <c r="K270" s="1280" t="str">
        <f t="shared" si="34"/>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35"/>
        <v>J28</v>
      </c>
      <c r="C271" s="766" t="str">
        <f t="shared" ca="1" si="29"/>
        <v>J</v>
      </c>
      <c r="D271" s="1280" t="s">
        <v>1350</v>
      </c>
      <c r="E271" s="766" t="s">
        <v>1351</v>
      </c>
      <c r="F271" s="1280"/>
      <c r="G271" s="1280"/>
      <c r="H271" s="1280"/>
      <c r="I271" s="1241" t="str">
        <f t="shared" si="33"/>
        <v>Fuel Surcharge Applied</v>
      </c>
      <c r="J271" s="1280" t="str">
        <f>IF(M271&lt;&gt;"",Q$1&amp;M271,"")</f>
        <v>F238</v>
      </c>
      <c r="K271" s="1280" t="str">
        <f t="shared" si="34"/>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35"/>
        <v>K28</v>
      </c>
      <c r="C272" s="766" t="str">
        <f t="shared" ca="1" si="29"/>
        <v>K</v>
      </c>
      <c r="D272" s="1280" t="s">
        <v>1350</v>
      </c>
      <c r="E272" s="766" t="s">
        <v>1351</v>
      </c>
      <c r="F272" s="1280"/>
      <c r="G272" s="1280"/>
      <c r="H272" s="1280"/>
      <c r="I272" s="1241" t="str">
        <f t="shared" si="33"/>
        <v>Minimum Delivery Charge Applied Flag</v>
      </c>
      <c r="J272" s="1280" t="str">
        <f>IF(M272&lt;&gt;"",Q$1&amp;M272,"")</f>
        <v>F239</v>
      </c>
      <c r="K272" s="1280" t="str">
        <f t="shared" si="34"/>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35"/>
        <v/>
      </c>
      <c r="C273" s="766" t="str">
        <f t="shared" ca="1" si="29"/>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35"/>
        <v/>
      </c>
      <c r="C274" s="766" t="str">
        <f t="shared" ca="1" si="29"/>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35"/>
        <v/>
      </c>
      <c r="C275" s="766" t="str">
        <f t="shared" ca="1" si="29"/>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35"/>
        <v/>
      </c>
      <c r="C276" s="766" t="str">
        <f t="shared" ca="1" si="29"/>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3"/>
        <v xml:space="preserve">Increase Investment Spend: </v>
      </c>
      <c r="J277" s="1280" t="str">
        <f t="shared" ref="J277:J325" si="36">IF(M277&lt;&gt;"",Q$1&amp;M277,"")</f>
        <v>F521</v>
      </c>
      <c r="K277" s="1280" t="str">
        <f t="shared" si="34"/>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3"/>
        <v/>
      </c>
      <c r="J278" s="1280"/>
      <c r="K278" s="1280" t="str">
        <f t="shared" si="34"/>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3"/>
        <v/>
      </c>
      <c r="J279" s="1280"/>
      <c r="K279" s="1280" t="str">
        <f t="shared" si="34"/>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3"/>
        <v/>
      </c>
      <c r="J280" s="1280"/>
      <c r="K280" s="1280" t="str">
        <f t="shared" si="34"/>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3"/>
        <v/>
      </c>
      <c r="J281" s="1280"/>
      <c r="K281" s="1280" t="str">
        <f t="shared" si="34"/>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3"/>
        <v>Exclude PIM Classes Below</v>
      </c>
      <c r="J282" s="1280" t="str">
        <f t="shared" si="36"/>
        <v>F251</v>
      </c>
      <c r="K282" s="1280" t="str">
        <f t="shared" si="34"/>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3"/>
        <v>Special Pricing Code</v>
      </c>
      <c r="J283" s="1280" t="str">
        <f t="shared" si="36"/>
        <v>F252</v>
      </c>
      <c r="K283" s="1280" t="str">
        <f t="shared" si="34"/>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3"/>
        <v>EB Markup Amt</v>
      </c>
      <c r="J284" s="1280" t="str">
        <f t="shared" si="36"/>
        <v>F253</v>
      </c>
      <c r="K284" s="1280" t="str">
        <f t="shared" si="34"/>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3"/>
        <v>Min CS Markup Override Flag</v>
      </c>
      <c r="J285" s="1280" t="str">
        <f t="shared" si="36"/>
        <v>F254</v>
      </c>
      <c r="K285" s="1280" t="str">
        <f t="shared" si="34"/>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3"/>
        <v>Min CS Markup Amt</v>
      </c>
      <c r="J286" s="1280" t="str">
        <f t="shared" si="36"/>
        <v>F255</v>
      </c>
      <c r="K286" s="1280" t="str">
        <f t="shared" si="34"/>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3"/>
        <v>Split Case Fee Override Flag</v>
      </c>
      <c r="J287" s="1280" t="str">
        <f t="shared" si="36"/>
        <v>F256</v>
      </c>
      <c r="K287" s="1280" t="str">
        <f t="shared" si="34"/>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3"/>
        <v>Split Case Fee</v>
      </c>
      <c r="J288" s="1280" t="str">
        <f t="shared" si="36"/>
        <v>F257</v>
      </c>
      <c r="K288" s="1280" t="str">
        <f t="shared" si="34"/>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3"/>
        <v>Split Case Per</v>
      </c>
      <c r="J289" s="1280" t="str">
        <f t="shared" si="36"/>
        <v>F258</v>
      </c>
      <c r="K289" s="1280" t="str">
        <f t="shared" si="34"/>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3"/>
        <v/>
      </c>
      <c r="J290" s="1280"/>
      <c r="K290" s="1280" t="str">
        <f t="shared" si="34"/>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3"/>
        <v/>
      </c>
      <c r="J291" s="1280"/>
      <c r="K291" s="1280" t="str">
        <f t="shared" si="34"/>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3"/>
        <v/>
      </c>
      <c r="J292" s="1280"/>
      <c r="K292" s="1280" t="str">
        <f t="shared" si="34"/>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3"/>
        <v/>
      </c>
      <c r="J293" s="1280"/>
      <c r="K293" s="1280" t="str">
        <f t="shared" si="34"/>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3"/>
        <v>Exclude PIM Classes Below</v>
      </c>
      <c r="J294" s="1280" t="str">
        <f t="shared" si="36"/>
        <v>F263</v>
      </c>
      <c r="K294" s="1280" t="str">
        <f t="shared" si="34"/>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3"/>
        <v>Special Pricing Code</v>
      </c>
      <c r="J295" s="1280" t="str">
        <f t="shared" si="36"/>
        <v>F264</v>
      </c>
      <c r="K295" s="1280" t="str">
        <f t="shared" si="34"/>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3"/>
        <v>EB Markup Amt</v>
      </c>
      <c r="J296" s="1280" t="str">
        <f t="shared" si="36"/>
        <v>F265</v>
      </c>
      <c r="K296" s="1280" t="str">
        <f t="shared" si="34"/>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3"/>
        <v>Min CS Markup Override Flag</v>
      </c>
      <c r="J297" s="1280" t="str">
        <f t="shared" si="36"/>
        <v>F266</v>
      </c>
      <c r="K297" s="1280" t="str">
        <f t="shared" si="34"/>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3"/>
        <v>Min CS Markup Amt</v>
      </c>
      <c r="J298" s="1280" t="str">
        <f t="shared" si="36"/>
        <v>F267</v>
      </c>
      <c r="K298" s="1280" t="str">
        <f t="shared" si="34"/>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3"/>
        <v>Split Case Fee Override Flag</v>
      </c>
      <c r="J299" s="1280" t="str">
        <f t="shared" si="36"/>
        <v>F268</v>
      </c>
      <c r="K299" s="1280" t="str">
        <f t="shared" si="34"/>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3"/>
        <v>Split Case Fee</v>
      </c>
      <c r="J300" s="1280" t="str">
        <f t="shared" si="36"/>
        <v>F269</v>
      </c>
      <c r="K300" s="1280" t="str">
        <f t="shared" si="34"/>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3"/>
        <v>Split Case Per</v>
      </c>
      <c r="J301" s="1280" t="str">
        <f t="shared" si="36"/>
        <v>F270</v>
      </c>
      <c r="K301" s="1280" t="str">
        <f t="shared" si="34"/>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3"/>
        <v/>
      </c>
      <c r="J302" s="1280"/>
      <c r="K302" s="1280" t="str">
        <f t="shared" si="34"/>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3"/>
        <v/>
      </c>
      <c r="J303" s="1280"/>
      <c r="K303" s="1280" t="str">
        <f t="shared" si="34"/>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3"/>
        <v/>
      </c>
      <c r="J304" s="1280"/>
      <c r="K304" s="1280" t="str">
        <f t="shared" si="34"/>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3"/>
        <v/>
      </c>
      <c r="J305" s="1280"/>
      <c r="K305" s="1280" t="str">
        <f t="shared" si="34"/>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3"/>
        <v>Exclude PIM Classes Below</v>
      </c>
      <c r="J306" s="1280" t="str">
        <f t="shared" si="36"/>
        <v>F275</v>
      </c>
      <c r="K306" s="1280" t="str">
        <f t="shared" si="34"/>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3"/>
        <v>Special Pricing Code</v>
      </c>
      <c r="J307" s="1280" t="str">
        <f t="shared" si="36"/>
        <v>F276</v>
      </c>
      <c r="K307" s="1280" t="str">
        <f t="shared" si="34"/>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3"/>
        <v>EB Markup Amt</v>
      </c>
      <c r="J308" s="1280" t="str">
        <f t="shared" si="36"/>
        <v>F277</v>
      </c>
      <c r="K308" s="1280" t="str">
        <f t="shared" si="34"/>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3"/>
        <v>Min CS Markup Override Flag</v>
      </c>
      <c r="J309" s="1280" t="str">
        <f t="shared" si="36"/>
        <v>F278</v>
      </c>
      <c r="K309" s="1280" t="str">
        <f t="shared" si="34"/>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3"/>
        <v>Min CS Markup Amt</v>
      </c>
      <c r="J310" s="1280" t="str">
        <f t="shared" si="36"/>
        <v>F279</v>
      </c>
      <c r="K310" s="1280" t="str">
        <f t="shared" si="34"/>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3"/>
        <v>Split Case Fee Override Flag</v>
      </c>
      <c r="J311" s="1280" t="str">
        <f t="shared" si="36"/>
        <v>F280</v>
      </c>
      <c r="K311" s="1280" t="str">
        <f t="shared" si="34"/>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3"/>
        <v>Split Case Fee</v>
      </c>
      <c r="J312" s="1280" t="str">
        <f t="shared" si="36"/>
        <v>F281</v>
      </c>
      <c r="K312" s="1280" t="str">
        <f t="shared" si="34"/>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3"/>
        <v>Split Case Per</v>
      </c>
      <c r="J313" s="1280" t="str">
        <f t="shared" si="36"/>
        <v>F282</v>
      </c>
      <c r="K313" s="1280" t="str">
        <f t="shared" si="34"/>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3"/>
        <v/>
      </c>
      <c r="J314" s="1280"/>
      <c r="K314" s="1280" t="str">
        <f t="shared" si="34"/>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3"/>
        <v/>
      </c>
      <c r="J315" s="1280"/>
      <c r="K315" s="1280" t="str">
        <f t="shared" si="34"/>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3"/>
        <v/>
      </c>
      <c r="J316" s="1280"/>
      <c r="K316" s="1280" t="str">
        <f t="shared" si="34"/>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3"/>
        <v/>
      </c>
      <c r="J317" s="1280"/>
      <c r="K317" s="1280" t="str">
        <f t="shared" si="34"/>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3"/>
        <v>Exclude PIM Classes Below</v>
      </c>
      <c r="J318" s="1280" t="str">
        <f t="shared" si="36"/>
        <v>F287</v>
      </c>
      <c r="K318" s="1280" t="str">
        <f t="shared" si="34"/>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3"/>
        <v>Special Pricing Code</v>
      </c>
      <c r="J319" s="1280" t="str">
        <f t="shared" si="36"/>
        <v>F288</v>
      </c>
      <c r="K319" s="1280" t="str">
        <f t="shared" si="34"/>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3"/>
        <v>EB Markup Amt</v>
      </c>
      <c r="J320" s="1280" t="str">
        <f t="shared" si="36"/>
        <v>F289</v>
      </c>
      <c r="K320" s="1280" t="str">
        <f t="shared" si="34"/>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3"/>
        <v>Min CS Markup Override Flag</v>
      </c>
      <c r="J321" s="1280" t="str">
        <f t="shared" si="36"/>
        <v>F290</v>
      </c>
      <c r="K321" s="1280" t="str">
        <f t="shared" si="34"/>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3"/>
        <v>Min CS Markup Amt</v>
      </c>
      <c r="J322" s="1280" t="str">
        <f t="shared" si="36"/>
        <v>F291</v>
      </c>
      <c r="K322" s="1280" t="str">
        <f t="shared" si="34"/>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3"/>
        <v>Split Case Fee Override Flag</v>
      </c>
      <c r="J323" s="1280" t="str">
        <f t="shared" si="36"/>
        <v>F292</v>
      </c>
      <c r="K323" s="1280" t="str">
        <f t="shared" si="34"/>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37">IF(J324&lt;&gt;"",A324,"")</f>
        <v>Split Case Fee</v>
      </c>
      <c r="J324" s="1280" t="str">
        <f t="shared" si="36"/>
        <v>F293</v>
      </c>
      <c r="K324" s="1280" t="str">
        <f t="shared" ref="K324:K387" si="38">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37"/>
        <v>Split Case Per</v>
      </c>
      <c r="J325" s="1280" t="str">
        <f t="shared" si="36"/>
        <v>F294</v>
      </c>
      <c r="K325" s="1280" t="str">
        <f t="shared" si="38"/>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37"/>
        <v/>
      </c>
      <c r="J326" s="1280"/>
      <c r="K326" s="1280" t="str">
        <f t="shared" si="38"/>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37"/>
        <v/>
      </c>
      <c r="J327" s="1280"/>
      <c r="K327" s="1280" t="str">
        <f t="shared" si="38"/>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37"/>
        <v/>
      </c>
      <c r="J328" s="1280"/>
      <c r="K328" s="1280" t="str">
        <f t="shared" si="38"/>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37"/>
        <v/>
      </c>
      <c r="J329" s="1280"/>
      <c r="K329" s="1280" t="str">
        <f t="shared" si="38"/>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37"/>
        <v>Exclude PIM Classes Below</v>
      </c>
      <c r="J330" s="1280" t="str">
        <f t="shared" ref="J330:J385" si="39">IF(M330&lt;&gt;"",Q$1&amp;M330,"")</f>
        <v>F299</v>
      </c>
      <c r="K330" s="1280" t="str">
        <f t="shared" si="38"/>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37"/>
        <v>Special Pricing Code</v>
      </c>
      <c r="J331" s="1280" t="str">
        <f t="shared" si="39"/>
        <v>F300</v>
      </c>
      <c r="K331" s="1280" t="str">
        <f t="shared" si="38"/>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37"/>
        <v>EB Markup Amt</v>
      </c>
      <c r="J332" s="1280" t="str">
        <f t="shared" si="39"/>
        <v>F301</v>
      </c>
      <c r="K332" s="1280" t="str">
        <f t="shared" si="38"/>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37"/>
        <v>Min CS Markup Override Flag</v>
      </c>
      <c r="J333" s="1280" t="str">
        <f t="shared" si="39"/>
        <v>F302</v>
      </c>
      <c r="K333" s="1280" t="str">
        <f t="shared" si="38"/>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37"/>
        <v>Min CS Markup Amt</v>
      </c>
      <c r="J334" s="1280" t="str">
        <f t="shared" si="39"/>
        <v>F303</v>
      </c>
      <c r="K334" s="1280" t="str">
        <f t="shared" si="38"/>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37"/>
        <v>Split Case Fee Override Flag</v>
      </c>
      <c r="J335" s="1280" t="str">
        <f t="shared" si="39"/>
        <v>F304</v>
      </c>
      <c r="K335" s="1280" t="str">
        <f t="shared" si="38"/>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37"/>
        <v>Split Case Fee</v>
      </c>
      <c r="J336" s="1280" t="str">
        <f t="shared" si="39"/>
        <v>F305</v>
      </c>
      <c r="K336" s="1280" t="str">
        <f t="shared" si="38"/>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37"/>
        <v>Split Case Per</v>
      </c>
      <c r="J337" s="1280" t="str">
        <f t="shared" si="39"/>
        <v>F306</v>
      </c>
      <c r="K337" s="1280" t="str">
        <f t="shared" si="38"/>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37"/>
        <v/>
      </c>
      <c r="J338" s="1280"/>
      <c r="K338" s="1280" t="str">
        <f t="shared" si="38"/>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37"/>
        <v/>
      </c>
      <c r="J339" s="1280"/>
      <c r="K339" s="1280" t="str">
        <f t="shared" si="38"/>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37"/>
        <v/>
      </c>
      <c r="J340" s="1280"/>
      <c r="K340" s="1280" t="str">
        <f t="shared" si="38"/>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37"/>
        <v/>
      </c>
      <c r="J341" s="1280"/>
      <c r="K341" s="1280" t="str">
        <f t="shared" si="38"/>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37"/>
        <v>Exclude PIM Classes Below</v>
      </c>
      <c r="J342" s="1280" t="str">
        <f t="shared" si="39"/>
        <v>F311</v>
      </c>
      <c r="K342" s="1280" t="str">
        <f t="shared" si="38"/>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37"/>
        <v>Special Pricing Code</v>
      </c>
      <c r="J343" s="1280" t="str">
        <f t="shared" si="39"/>
        <v>F312</v>
      </c>
      <c r="K343" s="1280" t="str">
        <f t="shared" si="38"/>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37"/>
        <v>EB Markup Amt</v>
      </c>
      <c r="J344" s="1280" t="str">
        <f t="shared" si="39"/>
        <v>F313</v>
      </c>
      <c r="K344" s="1280" t="str">
        <f t="shared" si="38"/>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37"/>
        <v>Min CS Markup Override Flag</v>
      </c>
      <c r="J345" s="1280" t="str">
        <f t="shared" si="39"/>
        <v>F314</v>
      </c>
      <c r="K345" s="1280" t="str">
        <f t="shared" si="38"/>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37"/>
        <v>Min CS Markup Amt</v>
      </c>
      <c r="J346" s="1280" t="str">
        <f t="shared" si="39"/>
        <v>F315</v>
      </c>
      <c r="K346" s="1280" t="str">
        <f t="shared" si="38"/>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37"/>
        <v>Split Case Fee Override Flag</v>
      </c>
      <c r="J347" s="1280" t="str">
        <f t="shared" si="39"/>
        <v>F316</v>
      </c>
      <c r="K347" s="1280" t="str">
        <f t="shared" si="38"/>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37"/>
        <v>Split Case Fee</v>
      </c>
      <c r="J348" s="1280" t="str">
        <f t="shared" si="39"/>
        <v>F317</v>
      </c>
      <c r="K348" s="1280" t="str">
        <f t="shared" si="38"/>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37"/>
        <v>Split Case Per</v>
      </c>
      <c r="J349" s="1280" t="str">
        <f t="shared" si="39"/>
        <v>F318</v>
      </c>
      <c r="K349" s="1280" t="str">
        <f t="shared" si="38"/>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37"/>
        <v/>
      </c>
      <c r="J350" s="1280"/>
      <c r="K350" s="1280" t="str">
        <f t="shared" si="38"/>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37"/>
        <v/>
      </c>
      <c r="J351" s="1280"/>
      <c r="K351" s="1280" t="str">
        <f t="shared" si="38"/>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37"/>
        <v/>
      </c>
      <c r="J352" s="1280"/>
      <c r="K352" s="1280" t="str">
        <f t="shared" si="38"/>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37"/>
        <v/>
      </c>
      <c r="J353" s="1280"/>
      <c r="K353" s="1280" t="str">
        <f t="shared" si="38"/>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37"/>
        <v>Exclude PIM Classes Below</v>
      </c>
      <c r="J354" s="1280" t="str">
        <f t="shared" si="39"/>
        <v>F323</v>
      </c>
      <c r="K354" s="1280" t="str">
        <f t="shared" si="38"/>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37"/>
        <v>Special Pricing Code</v>
      </c>
      <c r="J355" s="1280" t="str">
        <f t="shared" si="39"/>
        <v>F324</v>
      </c>
      <c r="K355" s="1280" t="str">
        <f t="shared" si="38"/>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37"/>
        <v>EB Markup Amt</v>
      </c>
      <c r="J356" s="1280" t="str">
        <f t="shared" si="39"/>
        <v>F325</v>
      </c>
      <c r="K356" s="1280" t="str">
        <f t="shared" si="38"/>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37"/>
        <v>Min CS Markup Override Flag</v>
      </c>
      <c r="J357" s="1280" t="str">
        <f t="shared" si="39"/>
        <v>F326</v>
      </c>
      <c r="K357" s="1280" t="str">
        <f t="shared" si="38"/>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37"/>
        <v>Min CS Markup Amt</v>
      </c>
      <c r="J358" s="1280" t="str">
        <f t="shared" si="39"/>
        <v>F327</v>
      </c>
      <c r="K358" s="1280" t="str">
        <f t="shared" si="38"/>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37"/>
        <v>Split Case Fee Override Flag</v>
      </c>
      <c r="J359" s="1280" t="str">
        <f t="shared" si="39"/>
        <v>F328</v>
      </c>
      <c r="K359" s="1280" t="str">
        <f t="shared" si="38"/>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37"/>
        <v>Split Case Fee</v>
      </c>
      <c r="J360" s="1280" t="str">
        <f t="shared" si="39"/>
        <v>F329</v>
      </c>
      <c r="K360" s="1280" t="str">
        <f t="shared" si="38"/>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37"/>
        <v>Split Case Per</v>
      </c>
      <c r="J361" s="1280" t="str">
        <f t="shared" si="39"/>
        <v>F330</v>
      </c>
      <c r="K361" s="1280" t="str">
        <f t="shared" si="38"/>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37"/>
        <v/>
      </c>
      <c r="J362" s="1280"/>
      <c r="K362" s="1280" t="str">
        <f t="shared" si="38"/>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37"/>
        <v/>
      </c>
      <c r="J363" s="1280"/>
      <c r="K363" s="1280" t="str">
        <f t="shared" si="38"/>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37"/>
        <v/>
      </c>
      <c r="J364" s="1280"/>
      <c r="K364" s="1280" t="str">
        <f t="shared" si="38"/>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37"/>
        <v/>
      </c>
      <c r="J365" s="1280"/>
      <c r="K365" s="1280" t="str">
        <f t="shared" si="38"/>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37"/>
        <v>Exclude PIM Classes Below</v>
      </c>
      <c r="J366" s="1280" t="str">
        <f t="shared" si="39"/>
        <v>F335</v>
      </c>
      <c r="K366" s="1280" t="str">
        <f t="shared" si="38"/>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37"/>
        <v>Special Pricing Code</v>
      </c>
      <c r="J367" s="1280" t="str">
        <f t="shared" si="39"/>
        <v>F336</v>
      </c>
      <c r="K367" s="1280" t="str">
        <f t="shared" si="38"/>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37"/>
        <v>EB Markup Amt</v>
      </c>
      <c r="J368" s="1280" t="str">
        <f t="shared" si="39"/>
        <v>F337</v>
      </c>
      <c r="K368" s="1280" t="str">
        <f t="shared" si="38"/>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37"/>
        <v>Min CS Markup Override Flag</v>
      </c>
      <c r="J369" s="1280" t="str">
        <f t="shared" si="39"/>
        <v>F338</v>
      </c>
      <c r="K369" s="1280" t="str">
        <f t="shared" si="38"/>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37"/>
        <v>Min CS Markup Amt</v>
      </c>
      <c r="J370" s="1280" t="str">
        <f t="shared" si="39"/>
        <v>F339</v>
      </c>
      <c r="K370" s="1280" t="str">
        <f t="shared" si="38"/>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37"/>
        <v>Split Case Fee Override Flag</v>
      </c>
      <c r="J371" s="1280" t="str">
        <f t="shared" si="39"/>
        <v>F340</v>
      </c>
      <c r="K371" s="1280" t="str">
        <f t="shared" si="38"/>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37"/>
        <v>Split Case Fee</v>
      </c>
      <c r="J372" s="1280" t="str">
        <f t="shared" si="39"/>
        <v>F341</v>
      </c>
      <c r="K372" s="1280" t="str">
        <f t="shared" si="38"/>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37"/>
        <v>Split Case Per</v>
      </c>
      <c r="J373" s="1280" t="str">
        <f t="shared" si="39"/>
        <v>F342</v>
      </c>
      <c r="K373" s="1280" t="str">
        <f t="shared" si="38"/>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37"/>
        <v/>
      </c>
      <c r="J374" s="1280"/>
      <c r="K374" s="1280" t="str">
        <f t="shared" si="38"/>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37"/>
        <v/>
      </c>
      <c r="J375" s="1280"/>
      <c r="K375" s="1280" t="str">
        <f t="shared" si="38"/>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37"/>
        <v/>
      </c>
      <c r="J376" s="1280"/>
      <c r="K376" s="1280" t="str">
        <f t="shared" si="38"/>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37"/>
        <v/>
      </c>
      <c r="J377" s="1280"/>
      <c r="K377" s="1280" t="str">
        <f t="shared" si="38"/>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37"/>
        <v>Exclude PIM Classes Below</v>
      </c>
      <c r="J378" s="1280" t="str">
        <f t="shared" si="39"/>
        <v>F347</v>
      </c>
      <c r="K378" s="1280" t="str">
        <f t="shared" si="38"/>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37"/>
        <v>Special Pricing Code</v>
      </c>
      <c r="J379" s="1280" t="str">
        <f t="shared" si="39"/>
        <v>F348</v>
      </c>
      <c r="K379" s="1280" t="str">
        <f t="shared" si="38"/>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37"/>
        <v>EB Markup Amt</v>
      </c>
      <c r="J380" s="1280" t="str">
        <f t="shared" si="39"/>
        <v>F349</v>
      </c>
      <c r="K380" s="1280" t="str">
        <f t="shared" si="38"/>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37"/>
        <v>Min CS Markup Override Flag</v>
      </c>
      <c r="J381" s="1280" t="str">
        <f t="shared" si="39"/>
        <v>F350</v>
      </c>
      <c r="K381" s="1280" t="str">
        <f t="shared" si="38"/>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37"/>
        <v>Min CS Markup Amt</v>
      </c>
      <c r="J382" s="1280" t="str">
        <f t="shared" si="39"/>
        <v>F351</v>
      </c>
      <c r="K382" s="1280" t="str">
        <f t="shared" si="38"/>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37"/>
        <v>Split Case Fee Override Flag</v>
      </c>
      <c r="J383" s="1280" t="str">
        <f t="shared" si="39"/>
        <v>F352</v>
      </c>
      <c r="K383" s="1280" t="str">
        <f t="shared" si="38"/>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37"/>
        <v>Split Case Fee</v>
      </c>
      <c r="J384" s="1280" t="str">
        <f t="shared" si="39"/>
        <v>F353</v>
      </c>
      <c r="K384" s="1280" t="str">
        <f t="shared" si="38"/>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37"/>
        <v>Split Case Per</v>
      </c>
      <c r="J385" s="1280" t="str">
        <f t="shared" si="39"/>
        <v>F354</v>
      </c>
      <c r="K385" s="1280" t="str">
        <f t="shared" si="38"/>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37"/>
        <v/>
      </c>
      <c r="J386" s="1280"/>
      <c r="K386" s="1280" t="str">
        <f t="shared" si="38"/>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37"/>
        <v/>
      </c>
      <c r="J387" s="1280"/>
      <c r="K387" s="1280" t="str">
        <f t="shared" si="38"/>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0">IF(J388&lt;&gt;"",A388,"")</f>
        <v/>
      </c>
      <c r="J388" s="1280"/>
      <c r="K388" s="1280" t="str">
        <f t="shared" ref="K388:K451" si="41">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0"/>
        <v/>
      </c>
      <c r="J389" s="1280"/>
      <c r="K389" s="1280" t="str">
        <f t="shared" si="41"/>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0"/>
        <v>Exclude PIM Classes Below</v>
      </c>
      <c r="J390" s="1280" t="str">
        <f t="shared" ref="J390:J453" si="42">IF(M390&lt;&gt;"",Q$1&amp;M390,"")</f>
        <v>F359</v>
      </c>
      <c r="K390" s="1280" t="str">
        <f t="shared" si="41"/>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0"/>
        <v>Special Pricing Code</v>
      </c>
      <c r="J391" s="1280" t="str">
        <f t="shared" si="42"/>
        <v>F360</v>
      </c>
      <c r="K391" s="1280" t="str">
        <f t="shared" si="41"/>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0"/>
        <v>EB Markup Amt</v>
      </c>
      <c r="J392" s="1280" t="str">
        <f t="shared" si="42"/>
        <v>F361</v>
      </c>
      <c r="K392" s="1280" t="str">
        <f t="shared" si="41"/>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0"/>
        <v>Min CS Markup Override Flag</v>
      </c>
      <c r="J393" s="1280" t="str">
        <f t="shared" si="42"/>
        <v>F362</v>
      </c>
      <c r="K393" s="1280" t="str">
        <f t="shared" si="41"/>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0"/>
        <v>Min CS Markup Amt</v>
      </c>
      <c r="J394" s="1280" t="str">
        <f t="shared" si="42"/>
        <v>F363</v>
      </c>
      <c r="K394" s="1280" t="str">
        <f t="shared" si="41"/>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0"/>
        <v>Split Case Fee Override Flag</v>
      </c>
      <c r="J395" s="1280" t="str">
        <f t="shared" si="42"/>
        <v>F364</v>
      </c>
      <c r="K395" s="1280" t="str">
        <f t="shared" si="41"/>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0"/>
        <v>Split Case Fee</v>
      </c>
      <c r="J396" s="1280" t="str">
        <f t="shared" si="42"/>
        <v>F365</v>
      </c>
      <c r="K396" s="1280" t="str">
        <f t="shared" si="41"/>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0"/>
        <v>Split Case Per</v>
      </c>
      <c r="J397" s="1280" t="str">
        <f t="shared" si="42"/>
        <v>F366</v>
      </c>
      <c r="K397" s="1280" t="str">
        <f t="shared" si="41"/>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0"/>
        <v/>
      </c>
      <c r="J398" s="1280"/>
      <c r="K398" s="1280" t="str">
        <f t="shared" si="41"/>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0"/>
        <v/>
      </c>
      <c r="J399" s="1280"/>
      <c r="K399" s="1280" t="str">
        <f t="shared" si="41"/>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0"/>
        <v/>
      </c>
      <c r="J400" s="1280"/>
      <c r="K400" s="1280" t="str">
        <f t="shared" si="41"/>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0"/>
        <v/>
      </c>
      <c r="J401" s="1280"/>
      <c r="K401" s="1280" t="str">
        <f t="shared" si="41"/>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0"/>
        <v>Exclude PIM Classes Below</v>
      </c>
      <c r="J402" s="1280" t="str">
        <f t="shared" si="42"/>
        <v>F371</v>
      </c>
      <c r="K402" s="1280" t="str">
        <f t="shared" si="41"/>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0"/>
        <v>Special Pricing Code</v>
      </c>
      <c r="J403" s="1280" t="str">
        <f t="shared" si="42"/>
        <v>F372</v>
      </c>
      <c r="K403" s="1280" t="str">
        <f t="shared" si="41"/>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0"/>
        <v>EB Markup Amt</v>
      </c>
      <c r="J404" s="1280" t="str">
        <f t="shared" si="42"/>
        <v>F373</v>
      </c>
      <c r="K404" s="1280" t="str">
        <f t="shared" si="41"/>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0"/>
        <v>Min CS Markup Override Flag</v>
      </c>
      <c r="J405" s="1280" t="str">
        <f t="shared" si="42"/>
        <v>F374</v>
      </c>
      <c r="K405" s="1280" t="str">
        <f t="shared" si="41"/>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0"/>
        <v>Min CS Markup Amt</v>
      </c>
      <c r="J406" s="1280" t="str">
        <f t="shared" si="42"/>
        <v>F375</v>
      </c>
      <c r="K406" s="1280" t="str">
        <f t="shared" si="41"/>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0"/>
        <v>Split Case Fee Override Flag</v>
      </c>
      <c r="J407" s="1280" t="str">
        <f t="shared" si="42"/>
        <v>F376</v>
      </c>
      <c r="K407" s="1280" t="str">
        <f t="shared" si="41"/>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0"/>
        <v>Split Case Fee</v>
      </c>
      <c r="J408" s="1280" t="str">
        <f t="shared" si="42"/>
        <v>F377</v>
      </c>
      <c r="K408" s="1280" t="str">
        <f t="shared" si="41"/>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0"/>
        <v>Split Case Per</v>
      </c>
      <c r="J409" s="1280" t="str">
        <f t="shared" si="42"/>
        <v>F378</v>
      </c>
      <c r="K409" s="1280" t="str">
        <f t="shared" si="41"/>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0"/>
        <v/>
      </c>
      <c r="J410" s="1280"/>
      <c r="K410" s="1280" t="str">
        <f t="shared" si="41"/>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0"/>
        <v/>
      </c>
      <c r="J411" s="1280"/>
      <c r="K411" s="1280" t="str">
        <f t="shared" si="41"/>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0"/>
        <v/>
      </c>
      <c r="J412" s="1280"/>
      <c r="K412" s="1280" t="str">
        <f t="shared" si="41"/>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0"/>
        <v/>
      </c>
      <c r="J413" s="1280"/>
      <c r="K413" s="1280" t="str">
        <f t="shared" si="41"/>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0"/>
        <v>Exclude PIM Classes Below</v>
      </c>
      <c r="J414" s="1280" t="str">
        <f t="shared" si="42"/>
        <v>F383</v>
      </c>
      <c r="K414" s="1280" t="str">
        <f t="shared" si="41"/>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0"/>
        <v>Special Pricing Code</v>
      </c>
      <c r="J415" s="1280" t="str">
        <f t="shared" si="42"/>
        <v>F384</v>
      </c>
      <c r="K415" s="1280" t="str">
        <f t="shared" si="41"/>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0"/>
        <v>EB Markup Amt</v>
      </c>
      <c r="J416" s="1280" t="str">
        <f t="shared" si="42"/>
        <v>F385</v>
      </c>
      <c r="K416" s="1280" t="str">
        <f t="shared" si="41"/>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0"/>
        <v>Min CS Markup Override Flag</v>
      </c>
      <c r="J417" s="1280" t="str">
        <f t="shared" si="42"/>
        <v>F386</v>
      </c>
      <c r="K417" s="1280" t="str">
        <f t="shared" si="41"/>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0"/>
        <v>Min CS Markup Amt</v>
      </c>
      <c r="J418" s="1280" t="str">
        <f t="shared" si="42"/>
        <v>F387</v>
      </c>
      <c r="K418" s="1280" t="str">
        <f t="shared" si="41"/>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0"/>
        <v>Split Case Fee Override Flag</v>
      </c>
      <c r="J419" s="1280" t="str">
        <f t="shared" si="42"/>
        <v>F388</v>
      </c>
      <c r="K419" s="1280" t="str">
        <f t="shared" si="41"/>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0"/>
        <v>Split Case Fee</v>
      </c>
      <c r="J420" s="1280" t="str">
        <f t="shared" si="42"/>
        <v>F389</v>
      </c>
      <c r="K420" s="1280" t="str">
        <f t="shared" si="41"/>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0"/>
        <v>Split Case Per</v>
      </c>
      <c r="J421" s="1280" t="str">
        <f t="shared" si="42"/>
        <v>F390</v>
      </c>
      <c r="K421" s="1280" t="str">
        <f t="shared" si="41"/>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0"/>
        <v/>
      </c>
      <c r="J422" s="1280"/>
      <c r="K422" s="1280" t="str">
        <f t="shared" si="41"/>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0"/>
        <v/>
      </c>
      <c r="J423" s="1280"/>
      <c r="K423" s="1280" t="str">
        <f t="shared" si="41"/>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0"/>
        <v/>
      </c>
      <c r="J424" s="1280"/>
      <c r="K424" s="1280" t="str">
        <f t="shared" si="41"/>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0"/>
        <v/>
      </c>
      <c r="J425" s="1280"/>
      <c r="K425" s="1280" t="str">
        <f t="shared" si="41"/>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0"/>
        <v>Exclude PIM Classes Below</v>
      </c>
      <c r="J426" s="1280" t="str">
        <f t="shared" si="42"/>
        <v>F395</v>
      </c>
      <c r="K426" s="1280" t="str">
        <f t="shared" si="41"/>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0"/>
        <v>Special Pricing Code</v>
      </c>
      <c r="J427" s="1280" t="str">
        <f t="shared" si="42"/>
        <v>F396</v>
      </c>
      <c r="K427" s="1280" t="str">
        <f t="shared" si="41"/>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0"/>
        <v>EB Markup Amt</v>
      </c>
      <c r="J428" s="1280" t="str">
        <f t="shared" si="42"/>
        <v>F397</v>
      </c>
      <c r="K428" s="1280" t="str">
        <f t="shared" si="41"/>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0"/>
        <v>Min CS Markup Override Flag</v>
      </c>
      <c r="J429" s="1280" t="str">
        <f t="shared" si="42"/>
        <v>F398</v>
      </c>
      <c r="K429" s="1280" t="str">
        <f t="shared" si="41"/>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0"/>
        <v>Min CS Markup Amt</v>
      </c>
      <c r="J430" s="1280" t="str">
        <f t="shared" si="42"/>
        <v>F399</v>
      </c>
      <c r="K430" s="1280" t="str">
        <f t="shared" si="41"/>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0"/>
        <v>Split Case Fee Override Flag</v>
      </c>
      <c r="J431" s="1280" t="str">
        <f t="shared" si="42"/>
        <v>F400</v>
      </c>
      <c r="K431" s="1280" t="str">
        <f t="shared" si="41"/>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0"/>
        <v>Split Case Fee</v>
      </c>
      <c r="J432" s="1280" t="str">
        <f t="shared" si="42"/>
        <v>F401</v>
      </c>
      <c r="K432" s="1280" t="str">
        <f t="shared" si="41"/>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0"/>
        <v>Split Case Per</v>
      </c>
      <c r="J433" s="1280" t="str">
        <f t="shared" si="42"/>
        <v>F402</v>
      </c>
      <c r="K433" s="1280" t="str">
        <f t="shared" si="41"/>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0"/>
        <v/>
      </c>
      <c r="J434" s="1280"/>
      <c r="K434" s="1280" t="str">
        <f t="shared" si="41"/>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0"/>
        <v/>
      </c>
      <c r="J435" s="1280"/>
      <c r="K435" s="1280" t="str">
        <f t="shared" si="41"/>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0"/>
        <v/>
      </c>
      <c r="J436" s="1280"/>
      <c r="K436" s="1280" t="str">
        <f t="shared" si="41"/>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0"/>
        <v/>
      </c>
      <c r="J437" s="1280"/>
      <c r="K437" s="1280" t="str">
        <f t="shared" si="41"/>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0"/>
        <v>Exclude PIM Classes Below</v>
      </c>
      <c r="J438" s="1280" t="str">
        <f t="shared" si="42"/>
        <v>F407</v>
      </c>
      <c r="K438" s="1280" t="str">
        <f t="shared" si="41"/>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0"/>
        <v>Special Pricing Code</v>
      </c>
      <c r="J439" s="1280" t="str">
        <f t="shared" si="42"/>
        <v>F408</v>
      </c>
      <c r="K439" s="1280" t="str">
        <f t="shared" si="41"/>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0"/>
        <v>EB Markup Amt</v>
      </c>
      <c r="J440" s="1280" t="str">
        <f t="shared" si="42"/>
        <v>F409</v>
      </c>
      <c r="K440" s="1280" t="str">
        <f t="shared" si="41"/>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0"/>
        <v>Min CS Markup Override Flag</v>
      </c>
      <c r="J441" s="1280" t="str">
        <f t="shared" si="42"/>
        <v>F410</v>
      </c>
      <c r="K441" s="1280" t="str">
        <f t="shared" si="41"/>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0"/>
        <v>Min CS Markup Amt</v>
      </c>
      <c r="J442" s="1280" t="str">
        <f t="shared" si="42"/>
        <v>F411</v>
      </c>
      <c r="K442" s="1280" t="str">
        <f t="shared" si="41"/>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0"/>
        <v>Split Case Fee Override Flag</v>
      </c>
      <c r="J443" s="1280" t="str">
        <f t="shared" si="42"/>
        <v>F412</v>
      </c>
      <c r="K443" s="1280" t="str">
        <f t="shared" si="41"/>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0"/>
        <v>Split Case Fee</v>
      </c>
      <c r="J444" s="1280" t="str">
        <f t="shared" si="42"/>
        <v>F413</v>
      </c>
      <c r="K444" s="1280" t="str">
        <f t="shared" si="41"/>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0"/>
        <v>Split Case Per</v>
      </c>
      <c r="J445" s="1280" t="str">
        <f t="shared" si="42"/>
        <v>F414</v>
      </c>
      <c r="K445" s="1280" t="str">
        <f t="shared" si="41"/>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0"/>
        <v/>
      </c>
      <c r="J446" s="1280"/>
      <c r="K446" s="1280" t="str">
        <f t="shared" si="41"/>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0"/>
        <v/>
      </c>
      <c r="J447" s="1280"/>
      <c r="K447" s="1280" t="str">
        <f t="shared" si="41"/>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0"/>
        <v/>
      </c>
      <c r="J448" s="1280"/>
      <c r="K448" s="1280" t="str">
        <f t="shared" si="41"/>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0"/>
        <v/>
      </c>
      <c r="J449" s="1280"/>
      <c r="K449" s="1280" t="str">
        <f t="shared" si="41"/>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0"/>
        <v>Exclude PIM Classes Below</v>
      </c>
      <c r="J450" s="1280" t="str">
        <f t="shared" si="42"/>
        <v>F419</v>
      </c>
      <c r="K450" s="1280" t="str">
        <f t="shared" si="41"/>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0"/>
        <v>Special Pricing Code</v>
      </c>
      <c r="J451" s="1280" t="str">
        <f t="shared" si="42"/>
        <v>F420</v>
      </c>
      <c r="K451" s="1280" t="str">
        <f t="shared" si="41"/>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3">IF(J452&lt;&gt;"",A452,"")</f>
        <v>EB Markup Amt</v>
      </c>
      <c r="J452" s="1280" t="str">
        <f t="shared" si="42"/>
        <v>F421</v>
      </c>
      <c r="K452" s="1280" t="str">
        <f t="shared" ref="K452:K515" si="44">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3"/>
        <v>Min CS Markup Override Flag</v>
      </c>
      <c r="J453" s="1280" t="str">
        <f t="shared" si="42"/>
        <v>F422</v>
      </c>
      <c r="K453" s="1280" t="str">
        <f t="shared" si="44"/>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3"/>
        <v>Min CS Markup Amt</v>
      </c>
      <c r="J454" s="1280" t="str">
        <f t="shared" ref="J454:J517" si="45">IF(M454&lt;&gt;"",Q$1&amp;M454,"")</f>
        <v>F423</v>
      </c>
      <c r="K454" s="1280" t="str">
        <f t="shared" si="44"/>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3"/>
        <v>Split Case Fee Override Flag</v>
      </c>
      <c r="J455" s="1280" t="str">
        <f t="shared" si="45"/>
        <v>F424</v>
      </c>
      <c r="K455" s="1280" t="str">
        <f t="shared" si="44"/>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3"/>
        <v>Split Case Fee</v>
      </c>
      <c r="J456" s="1280" t="str">
        <f t="shared" si="45"/>
        <v>F425</v>
      </c>
      <c r="K456" s="1280" t="str">
        <f t="shared" si="44"/>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3"/>
        <v>Split Case Per</v>
      </c>
      <c r="J457" s="1280" t="str">
        <f t="shared" si="45"/>
        <v>F426</v>
      </c>
      <c r="K457" s="1280" t="str">
        <f t="shared" si="44"/>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3"/>
        <v/>
      </c>
      <c r="J458" s="1280"/>
      <c r="K458" s="1280" t="str">
        <f t="shared" si="44"/>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3"/>
        <v/>
      </c>
      <c r="J459" s="1280"/>
      <c r="K459" s="1280" t="str">
        <f t="shared" si="44"/>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3"/>
        <v/>
      </c>
      <c r="J460" s="1280"/>
      <c r="K460" s="1280" t="str">
        <f t="shared" si="44"/>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3"/>
        <v/>
      </c>
      <c r="J461" s="1280"/>
      <c r="K461" s="1280" t="str">
        <f t="shared" si="44"/>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3"/>
        <v>Exclude PIM Classes Below</v>
      </c>
      <c r="J462" s="1280" t="str">
        <f t="shared" si="45"/>
        <v>F431</v>
      </c>
      <c r="K462" s="1280" t="str">
        <f t="shared" si="44"/>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3"/>
        <v>Special Pricing Code</v>
      </c>
      <c r="J463" s="1280" t="str">
        <f t="shared" si="45"/>
        <v>F432</v>
      </c>
      <c r="K463" s="1280" t="str">
        <f t="shared" si="44"/>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3"/>
        <v>EB Markup Amt</v>
      </c>
      <c r="J464" s="1280" t="str">
        <f t="shared" si="45"/>
        <v>F433</v>
      </c>
      <c r="K464" s="1280" t="str">
        <f t="shared" si="44"/>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3"/>
        <v>Min CS Markup Override Flag</v>
      </c>
      <c r="J465" s="1280" t="str">
        <f t="shared" si="45"/>
        <v>F434</v>
      </c>
      <c r="K465" s="1280" t="str">
        <f t="shared" si="44"/>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3"/>
        <v>Min CS Markup Amt</v>
      </c>
      <c r="J466" s="1280" t="str">
        <f t="shared" si="45"/>
        <v>F435</v>
      </c>
      <c r="K466" s="1280" t="str">
        <f t="shared" si="44"/>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3"/>
        <v>Split Case Fee Override Flag</v>
      </c>
      <c r="J467" s="1280" t="str">
        <f t="shared" si="45"/>
        <v>F436</v>
      </c>
      <c r="K467" s="1280" t="str">
        <f t="shared" si="44"/>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3"/>
        <v>Split Case Fee</v>
      </c>
      <c r="J468" s="1280" t="str">
        <f t="shared" si="45"/>
        <v>F437</v>
      </c>
      <c r="K468" s="1280" t="str">
        <f t="shared" si="44"/>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3"/>
        <v>Split Case Per</v>
      </c>
      <c r="J469" s="1280" t="str">
        <f t="shared" si="45"/>
        <v>F438</v>
      </c>
      <c r="K469" s="1280" t="str">
        <f t="shared" si="44"/>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3"/>
        <v/>
      </c>
      <c r="J470" s="1280"/>
      <c r="K470" s="1280" t="str">
        <f t="shared" si="44"/>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3"/>
        <v/>
      </c>
      <c r="J471" s="1280"/>
      <c r="K471" s="1280" t="str">
        <f t="shared" si="44"/>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3"/>
        <v/>
      </c>
      <c r="J472" s="1280"/>
      <c r="K472" s="1280" t="str">
        <f t="shared" si="44"/>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3"/>
        <v/>
      </c>
      <c r="J473" s="1280"/>
      <c r="K473" s="1280" t="str">
        <f t="shared" si="44"/>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3"/>
        <v>Exclude PIM Classes Below</v>
      </c>
      <c r="J474" s="1280" t="str">
        <f t="shared" si="45"/>
        <v>F443</v>
      </c>
      <c r="K474" s="1280" t="str">
        <f t="shared" si="44"/>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3"/>
        <v>Special Pricing Code</v>
      </c>
      <c r="J475" s="1280" t="str">
        <f t="shared" si="45"/>
        <v>F444</v>
      </c>
      <c r="K475" s="1280" t="str">
        <f t="shared" si="44"/>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3"/>
        <v>EB Markup Amt</v>
      </c>
      <c r="J476" s="1280" t="str">
        <f t="shared" si="45"/>
        <v>F445</v>
      </c>
      <c r="K476" s="1280" t="str">
        <f t="shared" si="44"/>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3"/>
        <v>Min CS Markup Override Flag</v>
      </c>
      <c r="J477" s="1280" t="str">
        <f t="shared" si="45"/>
        <v>F446</v>
      </c>
      <c r="K477" s="1280" t="str">
        <f t="shared" si="44"/>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3"/>
        <v>Min CS Markup Amt</v>
      </c>
      <c r="J478" s="1280" t="str">
        <f t="shared" si="45"/>
        <v>F447</v>
      </c>
      <c r="K478" s="1280" t="str">
        <f t="shared" si="44"/>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3"/>
        <v>Split Case Fee Override Flag</v>
      </c>
      <c r="J479" s="1280" t="str">
        <f t="shared" si="45"/>
        <v>F448</v>
      </c>
      <c r="K479" s="1280" t="str">
        <f t="shared" si="44"/>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3"/>
        <v>Split Case Fee</v>
      </c>
      <c r="J480" s="1280" t="str">
        <f t="shared" si="45"/>
        <v>F449</v>
      </c>
      <c r="K480" s="1280" t="str">
        <f t="shared" si="44"/>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3"/>
        <v>Split Case Per</v>
      </c>
      <c r="J481" s="1280" t="str">
        <f t="shared" si="45"/>
        <v>F450</v>
      </c>
      <c r="K481" s="1280" t="str">
        <f t="shared" si="44"/>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3"/>
        <v/>
      </c>
      <c r="J482" s="1280"/>
      <c r="K482" s="1280" t="str">
        <f t="shared" si="44"/>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3"/>
        <v/>
      </c>
      <c r="J483" s="1280"/>
      <c r="K483" s="1280" t="str">
        <f t="shared" si="44"/>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3"/>
        <v/>
      </c>
      <c r="J484" s="1280"/>
      <c r="K484" s="1280" t="str">
        <f t="shared" si="44"/>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3"/>
        <v/>
      </c>
      <c r="J485" s="1280"/>
      <c r="K485" s="1280" t="str">
        <f t="shared" si="44"/>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3"/>
        <v>Exclude PIM Classes Below</v>
      </c>
      <c r="J486" s="1280" t="str">
        <f t="shared" si="45"/>
        <v>F455</v>
      </c>
      <c r="K486" s="1280" t="str">
        <f t="shared" si="44"/>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3"/>
        <v>Special Pricing Code</v>
      </c>
      <c r="J487" s="1280" t="str">
        <f t="shared" si="45"/>
        <v>F456</v>
      </c>
      <c r="K487" s="1280" t="str">
        <f t="shared" si="44"/>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3"/>
        <v>EB Markup Amt</v>
      </c>
      <c r="J488" s="1280" t="str">
        <f t="shared" si="45"/>
        <v>F457</v>
      </c>
      <c r="K488" s="1280" t="str">
        <f t="shared" si="44"/>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3"/>
        <v>Min CS Markup Override Flag</v>
      </c>
      <c r="J489" s="1280" t="str">
        <f t="shared" si="45"/>
        <v>F458</v>
      </c>
      <c r="K489" s="1280" t="str">
        <f t="shared" si="44"/>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3"/>
        <v>Min CS Markup Amt</v>
      </c>
      <c r="J490" s="1280" t="str">
        <f t="shared" si="45"/>
        <v>F459</v>
      </c>
      <c r="K490" s="1280" t="str">
        <f t="shared" si="44"/>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3"/>
        <v>Split Case Fee Override Flag</v>
      </c>
      <c r="J491" s="1280" t="str">
        <f t="shared" si="45"/>
        <v>F460</v>
      </c>
      <c r="K491" s="1280" t="str">
        <f t="shared" si="44"/>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3"/>
        <v>Split Case Fee</v>
      </c>
      <c r="J492" s="1280" t="str">
        <f t="shared" si="45"/>
        <v>F461</v>
      </c>
      <c r="K492" s="1280" t="str">
        <f t="shared" si="44"/>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3"/>
        <v>Split Case Per</v>
      </c>
      <c r="J493" s="1280" t="str">
        <f t="shared" si="45"/>
        <v>F462</v>
      </c>
      <c r="K493" s="1280" t="str">
        <f t="shared" si="44"/>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3"/>
        <v/>
      </c>
      <c r="J494" s="1280"/>
      <c r="K494" s="1280" t="str">
        <f t="shared" si="44"/>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3"/>
        <v/>
      </c>
      <c r="J495" s="1280"/>
      <c r="K495" s="1280" t="str">
        <f t="shared" si="44"/>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3"/>
        <v/>
      </c>
      <c r="J496" s="1280"/>
      <c r="K496" s="1280" t="str">
        <f t="shared" si="44"/>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3"/>
        <v/>
      </c>
      <c r="J497" s="1280"/>
      <c r="K497" s="1280" t="str">
        <f t="shared" si="44"/>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3"/>
        <v>Exclude PIM Classes Below</v>
      </c>
      <c r="J498" s="1280" t="str">
        <f t="shared" si="45"/>
        <v>F467</v>
      </c>
      <c r="K498" s="1280" t="str">
        <f t="shared" si="44"/>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3"/>
        <v>Special Pricing Code</v>
      </c>
      <c r="J499" s="1280" t="str">
        <f t="shared" si="45"/>
        <v>F468</v>
      </c>
      <c r="K499" s="1280" t="str">
        <f t="shared" si="44"/>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3"/>
        <v>EB Markup Amt</v>
      </c>
      <c r="J500" s="1280" t="str">
        <f t="shared" si="45"/>
        <v>F469</v>
      </c>
      <c r="K500" s="1280" t="str">
        <f t="shared" si="44"/>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3"/>
        <v>Min CS Markup Override Flag</v>
      </c>
      <c r="J501" s="1280" t="str">
        <f t="shared" si="45"/>
        <v>F470</v>
      </c>
      <c r="K501" s="1280" t="str">
        <f t="shared" si="44"/>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3"/>
        <v>Min CS Markup Amt</v>
      </c>
      <c r="J502" s="1280" t="str">
        <f t="shared" si="45"/>
        <v>F471</v>
      </c>
      <c r="K502" s="1280" t="str">
        <f t="shared" si="44"/>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3"/>
        <v>Split Case Fee Override Flag</v>
      </c>
      <c r="J503" s="1280" t="str">
        <f t="shared" si="45"/>
        <v>F472</v>
      </c>
      <c r="K503" s="1280" t="str">
        <f t="shared" si="44"/>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3"/>
        <v>Split Case Fee</v>
      </c>
      <c r="J504" s="1280" t="str">
        <f t="shared" si="45"/>
        <v>F473</v>
      </c>
      <c r="K504" s="1280" t="str">
        <f t="shared" si="44"/>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3"/>
        <v>Split Case Per</v>
      </c>
      <c r="J505" s="1280" t="str">
        <f t="shared" si="45"/>
        <v>F474</v>
      </c>
      <c r="K505" s="1280" t="str">
        <f t="shared" si="44"/>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3"/>
        <v/>
      </c>
      <c r="J506" s="1280"/>
      <c r="K506" s="1280" t="str">
        <f t="shared" si="44"/>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3"/>
        <v/>
      </c>
      <c r="J507" s="1280"/>
      <c r="K507" s="1280" t="str">
        <f t="shared" si="44"/>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3"/>
        <v/>
      </c>
      <c r="J508" s="1280"/>
      <c r="K508" s="1280" t="str">
        <f t="shared" si="44"/>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3"/>
        <v/>
      </c>
      <c r="J509" s="1280"/>
      <c r="K509" s="1280" t="str">
        <f t="shared" si="44"/>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3"/>
        <v>Exclude PIM Classes Below</v>
      </c>
      <c r="J510" s="1280" t="str">
        <f t="shared" si="45"/>
        <v>F479</v>
      </c>
      <c r="K510" s="1280" t="str">
        <f t="shared" si="44"/>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3"/>
        <v>Special Pricing Code</v>
      </c>
      <c r="J511" s="1280" t="str">
        <f t="shared" si="45"/>
        <v>F480</v>
      </c>
      <c r="K511" s="1280" t="str">
        <f t="shared" si="44"/>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3"/>
        <v>EB Markup Amt</v>
      </c>
      <c r="J512" s="1280" t="str">
        <f t="shared" si="45"/>
        <v>F481</v>
      </c>
      <c r="K512" s="1280" t="str">
        <f t="shared" si="44"/>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3"/>
        <v>Min CS Markup Override Flag</v>
      </c>
      <c r="J513" s="1280" t="str">
        <f t="shared" si="45"/>
        <v>F482</v>
      </c>
      <c r="K513" s="1280" t="str">
        <f t="shared" si="44"/>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3"/>
        <v>Min CS Markup Amt</v>
      </c>
      <c r="J514" s="1280" t="str">
        <f t="shared" si="45"/>
        <v>F483</v>
      </c>
      <c r="K514" s="1280" t="str">
        <f t="shared" si="44"/>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3"/>
        <v>Split Case Fee Override Flag</v>
      </c>
      <c r="J515" s="1280" t="str">
        <f t="shared" si="45"/>
        <v>F484</v>
      </c>
      <c r="K515" s="1280" t="str">
        <f t="shared" si="44"/>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46">IF(J516&lt;&gt;"",A516,"")</f>
        <v>Split Case Fee</v>
      </c>
      <c r="J516" s="1280" t="str">
        <f t="shared" si="45"/>
        <v>F485</v>
      </c>
      <c r="K516" s="1280" t="str">
        <f t="shared" ref="K516:K579" si="47">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46"/>
        <v>Split Case Per</v>
      </c>
      <c r="J517" s="1280" t="str">
        <f t="shared" si="45"/>
        <v>F486</v>
      </c>
      <c r="K517" s="1280" t="str">
        <f t="shared" si="47"/>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46"/>
        <v/>
      </c>
      <c r="J518" s="1280"/>
      <c r="K518" s="1280" t="str">
        <f t="shared" si="47"/>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46"/>
        <v/>
      </c>
      <c r="J519" s="1280"/>
      <c r="K519" s="1280" t="str">
        <f t="shared" si="47"/>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46"/>
        <v/>
      </c>
      <c r="J520" s="1280"/>
      <c r="K520" s="1280" t="str">
        <f t="shared" si="47"/>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46"/>
        <v/>
      </c>
      <c r="J521" s="1280"/>
      <c r="K521" s="1280" t="str">
        <f t="shared" si="47"/>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46"/>
        <v>Exclude PIM Classes Below</v>
      </c>
      <c r="J522" s="1280" t="str">
        <f t="shared" ref="J522:J538" si="48">IF(M522&lt;&gt;"",Q$1&amp;M522,"")</f>
        <v>F491</v>
      </c>
      <c r="K522" s="1280" t="str">
        <f t="shared" si="47"/>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46"/>
        <v>Special Pricing Code</v>
      </c>
      <c r="J523" s="1280" t="str">
        <f t="shared" si="48"/>
        <v>F492</v>
      </c>
      <c r="K523" s="1280" t="str">
        <f t="shared" si="47"/>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46"/>
        <v>EB Markup Amt</v>
      </c>
      <c r="J524" s="1280" t="str">
        <f t="shared" si="48"/>
        <v>F493</v>
      </c>
      <c r="K524" s="1280" t="str">
        <f t="shared" si="47"/>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46"/>
        <v>Min CS Markup Override Flag</v>
      </c>
      <c r="J525" s="1280" t="str">
        <f t="shared" si="48"/>
        <v>F494</v>
      </c>
      <c r="K525" s="1280" t="str">
        <f t="shared" si="47"/>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46"/>
        <v>Min CS Markup Amt</v>
      </c>
      <c r="J526" s="1280" t="str">
        <f t="shared" si="48"/>
        <v>F495</v>
      </c>
      <c r="K526" s="1280" t="str">
        <f t="shared" si="47"/>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46"/>
        <v>Split Case Fee Override Flag</v>
      </c>
      <c r="J527" s="1280" t="str">
        <f t="shared" si="48"/>
        <v>F496</v>
      </c>
      <c r="K527" s="1280" t="str">
        <f t="shared" si="47"/>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46"/>
        <v>Split Case Fee</v>
      </c>
      <c r="J528" s="1280" t="str">
        <f t="shared" si="48"/>
        <v>F497</v>
      </c>
      <c r="K528" s="1280" t="str">
        <f t="shared" si="47"/>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46"/>
        <v>Split Case Per</v>
      </c>
      <c r="J529" s="1280" t="str">
        <f t="shared" si="48"/>
        <v>F498</v>
      </c>
      <c r="K529" s="1280" t="str">
        <f t="shared" si="47"/>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46"/>
        <v>Pricing Termination End Date</v>
      </c>
      <c r="J530" s="1280" t="str">
        <f t="shared" si="48"/>
        <v>F499</v>
      </c>
      <c r="K530" s="1280" t="str">
        <f t="shared" si="47"/>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49">_xlfn.CONCAT(IFERROR(SUBSTITUTE(ADDRESS(1,MATCH(A531,INDIRECT("'"&amp;E531&amp;"'"&amp;"!A4:Z4"),0),4),1,""),""),4)</f>
        <v>N4</v>
      </c>
      <c r="C531" s="52" t="str">
        <f t="shared" ref="C531:C538" ca="1" si="50">_xlfn.CONCAT(IFERROR(SUBSTITUTE(ADDRESS(1,MATCH(A531,INDIRECT("'"&amp;E531&amp;"'"&amp;"!A4:Z4"),0),4),1,""),""),5)</f>
        <v>N5</v>
      </c>
      <c r="D531" s="766" t="s">
        <v>1343</v>
      </c>
      <c r="E531" s="766" t="s">
        <v>1272</v>
      </c>
      <c r="F531" s="813" t="s">
        <v>1269</v>
      </c>
      <c r="G531" s="52" t="s">
        <v>656</v>
      </c>
      <c r="H531" s="52" t="s">
        <v>1773</v>
      </c>
      <c r="I531" s="1241" t="str">
        <f t="shared" si="46"/>
        <v>Pricing Termination End Date Flag</v>
      </c>
      <c r="J531" s="1280" t="str">
        <f t="shared" si="48"/>
        <v>F500</v>
      </c>
      <c r="K531" s="1280" t="str">
        <f t="shared" si="47"/>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49"/>
        <v>H4</v>
      </c>
      <c r="C532" s="1280" t="str">
        <f t="shared" ca="1" si="50"/>
        <v>H5</v>
      </c>
      <c r="D532" s="766" t="s">
        <v>1343</v>
      </c>
      <c r="E532" s="766" t="s">
        <v>1272</v>
      </c>
      <c r="F532" s="1280"/>
      <c r="G532" s="1280"/>
      <c r="H532" s="1280"/>
      <c r="I532" s="1241" t="str">
        <f t="shared" si="46"/>
        <v>Pricing Override Flag</v>
      </c>
      <c r="J532" s="1280" t="str">
        <f t="shared" si="48"/>
        <v>F501</v>
      </c>
      <c r="K532" s="1280" t="str">
        <f t="shared" si="47"/>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49"/>
        <v>F4</v>
      </c>
      <c r="C533" s="1280" t="str">
        <f t="shared" ca="1" si="50"/>
        <v>F5</v>
      </c>
      <c r="D533" s="766" t="s">
        <v>1343</v>
      </c>
      <c r="E533" s="766" t="s">
        <v>1272</v>
      </c>
      <c r="F533" s="1280"/>
      <c r="G533" s="1280"/>
      <c r="H533" s="1280"/>
      <c r="I533" s="1241" t="str">
        <f t="shared" si="46"/>
        <v>EBP Cost Basis</v>
      </c>
      <c r="J533" s="1280" t="str">
        <f t="shared" si="48"/>
        <v>F514</v>
      </c>
      <c r="K533" s="1280" t="str">
        <f t="shared" si="47"/>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49"/>
        <v>G4</v>
      </c>
      <c r="C534" s="1280" t="str">
        <f t="shared" ca="1" si="50"/>
        <v>G5</v>
      </c>
      <c r="D534" s="766" t="s">
        <v>1343</v>
      </c>
      <c r="E534" s="766" t="s">
        <v>1272</v>
      </c>
      <c r="F534" s="1280"/>
      <c r="G534" s="1280"/>
      <c r="H534" s="1280"/>
      <c r="I534" s="1241" t="str">
        <f t="shared" si="46"/>
        <v>Eligible EBP Language</v>
      </c>
      <c r="J534" s="1280" t="str">
        <f t="shared" si="48"/>
        <v>F515</v>
      </c>
      <c r="K534" s="1280" t="str">
        <f t="shared" si="47"/>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49"/>
        <v>I4</v>
      </c>
      <c r="C535" s="1280" t="str">
        <f t="shared" ca="1" si="50"/>
        <v>I5</v>
      </c>
      <c r="D535" s="766" t="s">
        <v>1343</v>
      </c>
      <c r="E535" s="766" t="s">
        <v>1272</v>
      </c>
      <c r="F535" s="1280"/>
      <c r="G535" s="1280"/>
      <c r="H535" s="1280"/>
      <c r="I535" s="1241" t="str">
        <f t="shared" si="46"/>
        <v>Product Pricing Schedule Included Flag</v>
      </c>
      <c r="J535" s="1280" t="str">
        <f t="shared" si="48"/>
        <v>F517</v>
      </c>
      <c r="K535" s="1280" t="str">
        <f t="shared" si="47"/>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49"/>
        <v>J4</v>
      </c>
      <c r="C536" s="1280" t="str">
        <f t="shared" ca="1" si="50"/>
        <v>J5</v>
      </c>
      <c r="D536" s="766" t="s">
        <v>1343</v>
      </c>
      <c r="E536" s="766" t="s">
        <v>1272</v>
      </c>
      <c r="F536" s="1280"/>
      <c r="G536" s="1280"/>
      <c r="H536" s="1280"/>
      <c r="I536" s="1241" t="str">
        <f t="shared" si="46"/>
        <v>Special Pricing Flag</v>
      </c>
      <c r="J536" s="1280" t="str">
        <f t="shared" si="48"/>
        <v>F518</v>
      </c>
      <c r="K536" s="1280" t="str">
        <f t="shared" si="47"/>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49"/>
        <v>K4</v>
      </c>
      <c r="C537" s="1280" t="str">
        <f t="shared" ca="1" si="50"/>
        <v>K5</v>
      </c>
      <c r="D537" s="766" t="s">
        <v>1343</v>
      </c>
      <c r="E537" s="766" t="s">
        <v>1272</v>
      </c>
      <c r="F537" s="1280"/>
      <c r="G537" s="1280"/>
      <c r="H537" s="1280"/>
      <c r="I537" s="1241" t="str">
        <f t="shared" si="46"/>
        <v>Altenate Pricing Schedule Flag</v>
      </c>
      <c r="J537" s="1280" t="str">
        <f t="shared" si="48"/>
        <v>F519</v>
      </c>
      <c r="K537" s="1280" t="str">
        <f t="shared" si="47"/>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49"/>
        <v>L4</v>
      </c>
      <c r="C538" s="1280" t="str">
        <f t="shared" ca="1" si="50"/>
        <v>L5</v>
      </c>
      <c r="D538" s="766" t="s">
        <v>1343</v>
      </c>
      <c r="E538" s="766" t="s">
        <v>1272</v>
      </c>
      <c r="F538" s="1280"/>
      <c r="G538" s="1280"/>
      <c r="H538" s="1280"/>
      <c r="I538" s="1241" t="str">
        <f t="shared" si="46"/>
        <v>EB Pricing Schedule Flag</v>
      </c>
      <c r="J538" s="1280" t="str">
        <f t="shared" si="48"/>
        <v>F520</v>
      </c>
      <c r="K538" s="1280" t="str">
        <f t="shared" si="47"/>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46"/>
        <v/>
      </c>
      <c r="J539" s="1280"/>
      <c r="K539" s="1280" t="str">
        <f t="shared" si="47"/>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46"/>
        <v/>
      </c>
      <c r="J540" s="1280" t="str">
        <f t="shared" ref="J540:J552" si="51">IF(M540&lt;&gt;"",IF($Q$540="Yes",Q$1&amp;M540,""))</f>
        <v/>
      </c>
      <c r="K540" s="1280" t="str">
        <f t="shared" si="47"/>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46"/>
        <v/>
      </c>
      <c r="J541" s="1280"/>
      <c r="K541" s="1280" t="str">
        <f t="shared" si="47"/>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2">_xlfn.CONCAT(IFERROR(SUBSTITUTE(ADDRESS(1,MATCH(A542,INDIRECT("'"&amp;E542&amp;"'"&amp;"!A" &amp; $O$539+2 &amp; ":Z"&amp;$O$539+2 ),0),4),1,""),""),$O$539+2)</f>
        <v>H5</v>
      </c>
      <c r="C542" s="801" t="str">
        <f t="shared" ref="C542:C548" ca="1" si="53">_xlfn.CONCAT(IFERROR(SUBSTITUTE(ADDRESS(1,MATCH(A542,INDIRECT("'"&amp;E542&amp;"'"&amp;"!A" &amp; $O$539+2 &amp; ":Z"&amp;$O$539+2 ),0),4),1,""),""),$O$539+3)</f>
        <v>H6</v>
      </c>
      <c r="D542" s="801" t="s">
        <v>1343</v>
      </c>
      <c r="E542" s="801" t="s">
        <v>1508</v>
      </c>
      <c r="F542" s="1280" t="s">
        <v>1983</v>
      </c>
      <c r="G542" s="1280" t="str">
        <f>IF(T542&lt;&gt;"","E","")</f>
        <v/>
      </c>
      <c r="H542" s="1280" t="s">
        <v>1982</v>
      </c>
      <c r="I542" s="1241" t="str">
        <f t="shared" si="46"/>
        <v/>
      </c>
      <c r="J542" s="1280" t="str">
        <f t="shared" si="51"/>
        <v/>
      </c>
      <c r="K542" s="1280" t="str">
        <f t="shared" si="47"/>
        <v/>
      </c>
      <c r="L542" s="801" t="s">
        <v>1373</v>
      </c>
      <c r="M542" s="1295">
        <v>525</v>
      </c>
      <c r="N542" s="1280"/>
      <c r="O542" s="1277" t="s">
        <v>1624</v>
      </c>
      <c r="P542" s="1277"/>
      <c r="Q542" s="1277"/>
      <c r="R542" s="1280" t="s">
        <v>847</v>
      </c>
      <c r="S542" s="1277"/>
      <c r="T542" s="1280" t="str">
        <f t="shared" ref="T542:T553" si="54">IF(Q$540="Yes",1,"")</f>
        <v/>
      </c>
      <c r="U542" s="1277"/>
      <c r="V542" s="1277"/>
      <c r="W542" s="1277"/>
      <c r="X542" s="1277"/>
      <c r="Y542" s="1277"/>
      <c r="Z542" s="1277"/>
    </row>
    <row r="543" spans="1:26" x14ac:dyDescent="0.25">
      <c r="A543" s="818" t="s">
        <v>1374</v>
      </c>
      <c r="B543" s="801" t="str">
        <f t="shared" ca="1" si="52"/>
        <v>J5</v>
      </c>
      <c r="C543" s="801" t="str">
        <f t="shared" ca="1" si="53"/>
        <v>J6</v>
      </c>
      <c r="D543" s="801" t="s">
        <v>1343</v>
      </c>
      <c r="E543" s="801" t="s">
        <v>1508</v>
      </c>
      <c r="F543" s="1280" t="s">
        <v>1984</v>
      </c>
      <c r="G543" s="1280" t="str">
        <f>IF(T543&lt;&gt;"","I","")</f>
        <v/>
      </c>
      <c r="H543" s="1280" t="s">
        <v>1982</v>
      </c>
      <c r="I543" s="1241" t="str">
        <f t="shared" si="46"/>
        <v/>
      </c>
      <c r="J543" s="1280" t="str">
        <f t="shared" si="51"/>
        <v/>
      </c>
      <c r="K543" s="1280" t="str">
        <f t="shared" si="47"/>
        <v/>
      </c>
      <c r="L543" s="801" t="s">
        <v>1374</v>
      </c>
      <c r="M543" s="1295">
        <v>526</v>
      </c>
      <c r="N543" s="1280"/>
      <c r="O543" s="1277"/>
      <c r="P543" s="1277"/>
      <c r="Q543" s="1277"/>
      <c r="R543" s="1280" t="s">
        <v>847</v>
      </c>
      <c r="S543" s="1277"/>
      <c r="T543" s="1280" t="str">
        <f t="shared" si="54"/>
        <v/>
      </c>
      <c r="U543" s="1277"/>
      <c r="V543" s="1277"/>
      <c r="W543" s="1277"/>
      <c r="X543" s="1277"/>
      <c r="Y543" s="1277"/>
      <c r="Z543" s="1277"/>
    </row>
    <row r="544" spans="1:26" x14ac:dyDescent="0.25">
      <c r="A544" s="818" t="s">
        <v>1390</v>
      </c>
      <c r="B544" s="801" t="str">
        <f t="shared" ca="1" si="52"/>
        <v>L5</v>
      </c>
      <c r="C544" s="801" t="str">
        <f t="shared" ca="1" si="53"/>
        <v>L6</v>
      </c>
      <c r="D544" s="801" t="s">
        <v>1343</v>
      </c>
      <c r="E544" s="801" t="s">
        <v>1508</v>
      </c>
      <c r="F544" s="1280" t="s">
        <v>1985</v>
      </c>
      <c r="G544" s="1280" t="str">
        <f>IF(T544&lt;&gt;"","H","")</f>
        <v/>
      </c>
      <c r="H544" s="1280" t="s">
        <v>1982</v>
      </c>
      <c r="I544" s="1241" t="str">
        <f t="shared" si="46"/>
        <v/>
      </c>
      <c r="J544" s="1280" t="str">
        <f t="shared" si="51"/>
        <v/>
      </c>
      <c r="K544" s="1280" t="str">
        <f t="shared" si="47"/>
        <v/>
      </c>
      <c r="L544" s="801" t="s">
        <v>1390</v>
      </c>
      <c r="M544" s="1295">
        <v>527</v>
      </c>
      <c r="N544" s="1280"/>
      <c r="O544" s="1277"/>
      <c r="P544" s="1277"/>
      <c r="Q544" s="1277"/>
      <c r="R544" s="1280" t="s">
        <v>847</v>
      </c>
      <c r="S544" s="1277"/>
      <c r="T544" s="1280" t="str">
        <f t="shared" si="54"/>
        <v/>
      </c>
      <c r="U544" s="1277"/>
      <c r="V544" s="1277"/>
      <c r="W544" s="1277"/>
      <c r="X544" s="1277"/>
      <c r="Y544" s="1277"/>
      <c r="Z544" s="1277"/>
    </row>
    <row r="545" spans="1:26" x14ac:dyDescent="0.25">
      <c r="A545" s="818" t="s">
        <v>1375</v>
      </c>
      <c r="B545" s="801" t="str">
        <f t="shared" ca="1" si="52"/>
        <v>N5</v>
      </c>
      <c r="C545" s="801" t="str">
        <f t="shared" ca="1" si="53"/>
        <v>N6</v>
      </c>
      <c r="D545" s="801" t="s">
        <v>1343</v>
      </c>
      <c r="E545" s="801" t="s">
        <v>1508</v>
      </c>
      <c r="F545" s="1280" t="s">
        <v>1375</v>
      </c>
      <c r="G545" s="1280" t="str">
        <f>IF(T545&lt;&gt;"",IF(Q543="Credit Memo","J",IF(Q543="Check","K","")),"")</f>
        <v/>
      </c>
      <c r="H545" s="1280" t="s">
        <v>1982</v>
      </c>
      <c r="I545" s="1241" t="str">
        <f t="shared" si="46"/>
        <v/>
      </c>
      <c r="J545" s="1280" t="str">
        <f t="shared" si="51"/>
        <v/>
      </c>
      <c r="K545" s="1280" t="str">
        <f t="shared" si="47"/>
        <v/>
      </c>
      <c r="L545" s="801" t="s">
        <v>1375</v>
      </c>
      <c r="M545" s="1295">
        <v>528</v>
      </c>
      <c r="N545" s="1280"/>
      <c r="O545" s="1277"/>
      <c r="P545" s="1277"/>
      <c r="Q545" s="1277"/>
      <c r="R545" s="1280" t="s">
        <v>847</v>
      </c>
      <c r="S545" s="1277"/>
      <c r="T545" s="1280" t="str">
        <f t="shared" si="54"/>
        <v/>
      </c>
      <c r="U545" s="1277"/>
      <c r="V545" s="1277"/>
      <c r="W545" s="1277"/>
      <c r="X545" s="1277"/>
      <c r="Y545" s="1277"/>
      <c r="Z545" s="1277"/>
    </row>
    <row r="546" spans="1:26" x14ac:dyDescent="0.25">
      <c r="A546" s="818" t="s">
        <v>1478</v>
      </c>
      <c r="B546" s="801" t="str">
        <f t="shared" ca="1" si="52"/>
        <v>P5</v>
      </c>
      <c r="C546" s="801" t="str">
        <f t="shared" ca="1" si="53"/>
        <v>P6</v>
      </c>
      <c r="D546" s="801" t="s">
        <v>1343</v>
      </c>
      <c r="E546" s="801" t="s">
        <v>1508</v>
      </c>
      <c r="F546" s="1280" t="s">
        <v>1986</v>
      </c>
      <c r="G546" s="1280" t="str">
        <f>IF(T546&lt;&gt;"","F","")</f>
        <v/>
      </c>
      <c r="H546" s="1280" t="s">
        <v>1982</v>
      </c>
      <c r="I546" s="1241" t="str">
        <f t="shared" si="46"/>
        <v/>
      </c>
      <c r="J546" s="1280" t="str">
        <f t="shared" si="51"/>
        <v/>
      </c>
      <c r="K546" s="1280" t="str">
        <f t="shared" si="47"/>
        <v/>
      </c>
      <c r="L546" s="801" t="s">
        <v>1478</v>
      </c>
      <c r="M546" s="1295">
        <v>529</v>
      </c>
      <c r="N546" s="1280"/>
      <c r="O546" s="1277"/>
      <c r="P546" s="1277"/>
      <c r="Q546" s="1277"/>
      <c r="R546" s="1280" t="s">
        <v>847</v>
      </c>
      <c r="S546" s="1277"/>
      <c r="T546" s="1280" t="str">
        <f t="shared" si="54"/>
        <v/>
      </c>
      <c r="U546" s="1277"/>
      <c r="V546" s="1277"/>
      <c r="W546" s="1277"/>
      <c r="X546" s="1277"/>
      <c r="Y546" s="1277"/>
      <c r="Z546" s="1277"/>
    </row>
    <row r="547" spans="1:26" x14ac:dyDescent="0.25">
      <c r="A547" s="818" t="s">
        <v>1479</v>
      </c>
      <c r="B547" s="801" t="str">
        <f t="shared" ca="1" si="52"/>
        <v>R5</v>
      </c>
      <c r="C547" s="801" t="str">
        <f t="shared" ca="1" si="53"/>
        <v>R6</v>
      </c>
      <c r="D547" s="801" t="s">
        <v>1343</v>
      </c>
      <c r="E547" s="801" t="s">
        <v>1508</v>
      </c>
      <c r="F547" s="1280" t="s">
        <v>1987</v>
      </c>
      <c r="G547" s="1280" t="str">
        <f>IF(T547&lt;&gt;"","G","")</f>
        <v/>
      </c>
      <c r="H547" s="1280" t="s">
        <v>1982</v>
      </c>
      <c r="I547" s="1241" t="str">
        <f t="shared" si="46"/>
        <v/>
      </c>
      <c r="J547" s="1280" t="str">
        <f t="shared" si="51"/>
        <v/>
      </c>
      <c r="K547" s="1280" t="str">
        <f t="shared" si="47"/>
        <v/>
      </c>
      <c r="L547" s="801" t="s">
        <v>1479</v>
      </c>
      <c r="M547" s="1295">
        <v>530</v>
      </c>
      <c r="N547" s="1280"/>
      <c r="O547" s="1277"/>
      <c r="P547" s="1277"/>
      <c r="Q547" s="1277"/>
      <c r="R547" s="1280" t="s">
        <v>847</v>
      </c>
      <c r="S547" s="1277"/>
      <c r="T547" s="1280" t="str">
        <f t="shared" si="54"/>
        <v/>
      </c>
      <c r="U547" s="1277"/>
      <c r="V547" s="1277"/>
      <c r="W547" s="1277"/>
      <c r="X547" s="1277"/>
      <c r="Y547" s="1277"/>
      <c r="Z547" s="1277"/>
    </row>
    <row r="548" spans="1:26" x14ac:dyDescent="0.25">
      <c r="A548" s="818" t="s">
        <v>1480</v>
      </c>
      <c r="B548" s="801" t="str">
        <f t="shared" ca="1" si="52"/>
        <v>T5</v>
      </c>
      <c r="C548" s="801" t="str">
        <f t="shared" ca="1" si="53"/>
        <v>T6</v>
      </c>
      <c r="D548" s="801" t="s">
        <v>1343</v>
      </c>
      <c r="E548" s="801" t="s">
        <v>1508</v>
      </c>
      <c r="F548" s="813" t="s">
        <v>1480</v>
      </c>
      <c r="G548" s="1280" t="str">
        <f>IF(T548&lt;&gt;"","AW","")</f>
        <v/>
      </c>
      <c r="H548" s="1280" t="s">
        <v>1982</v>
      </c>
      <c r="I548" s="1241" t="str">
        <f t="shared" si="46"/>
        <v/>
      </c>
      <c r="J548" s="1280" t="str">
        <f t="shared" si="51"/>
        <v/>
      </c>
      <c r="K548" s="1280" t="str">
        <f t="shared" si="47"/>
        <v/>
      </c>
      <c r="L548" s="801" t="s">
        <v>1480</v>
      </c>
      <c r="M548" s="1295">
        <v>531</v>
      </c>
      <c r="N548" s="1280"/>
      <c r="O548" s="1277"/>
      <c r="P548" s="1277"/>
      <c r="Q548" s="1277"/>
      <c r="R548" s="1280" t="s">
        <v>847</v>
      </c>
      <c r="S548" s="1277"/>
      <c r="T548" s="1280" t="str">
        <f t="shared" si="54"/>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46"/>
        <v/>
      </c>
      <c r="J549" s="1280"/>
      <c r="K549" s="1280" t="str">
        <f t="shared" si="47"/>
        <v/>
      </c>
      <c r="L549" s="801" t="s">
        <v>1378</v>
      </c>
      <c r="M549" s="1295">
        <v>532</v>
      </c>
      <c r="N549" s="1280"/>
      <c r="O549" s="1277"/>
      <c r="P549" s="1277"/>
      <c r="Q549" s="1277"/>
      <c r="R549" s="1280" t="s">
        <v>847</v>
      </c>
      <c r="S549" s="1277"/>
      <c r="T549" s="1280" t="str">
        <f t="shared" si="54"/>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46"/>
        <v/>
      </c>
      <c r="J550" s="1280"/>
      <c r="K550" s="1280" t="str">
        <f t="shared" si="47"/>
        <v/>
      </c>
      <c r="L550" s="801" t="s">
        <v>1379</v>
      </c>
      <c r="M550" s="1295">
        <v>533</v>
      </c>
      <c r="N550" s="1280"/>
      <c r="O550" s="1277"/>
      <c r="P550" s="1277"/>
      <c r="Q550" s="1277"/>
      <c r="R550" s="1280" t="s">
        <v>847</v>
      </c>
      <c r="S550" s="1277"/>
      <c r="T550" s="1280" t="str">
        <f t="shared" si="54"/>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46"/>
        <v/>
      </c>
      <c r="J551" s="1280" t="str">
        <f t="shared" si="51"/>
        <v/>
      </c>
      <c r="K551" s="1280" t="str">
        <f t="shared" si="47"/>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4"/>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46"/>
        <v/>
      </c>
      <c r="J552" s="1280" t="str">
        <f t="shared" si="51"/>
        <v/>
      </c>
      <c r="K552" s="1280" t="str">
        <f t="shared" si="47"/>
        <v/>
      </c>
      <c r="L552" s="801" t="s">
        <v>1484</v>
      </c>
      <c r="M552" s="1295">
        <v>535</v>
      </c>
      <c r="N552" s="1280"/>
      <c r="O552" s="1277"/>
      <c r="P552" s="1277"/>
      <c r="Q552" s="1277"/>
      <c r="R552" s="1280" t="s">
        <v>847</v>
      </c>
      <c r="S552" s="1277"/>
      <c r="T552" s="1280" t="str">
        <f t="shared" si="54"/>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46"/>
        <v/>
      </c>
      <c r="J553" s="1280"/>
      <c r="K553" s="1280" t="str">
        <f t="shared" si="47"/>
        <v/>
      </c>
      <c r="L553" s="801" t="s">
        <v>1382</v>
      </c>
      <c r="M553" s="1295">
        <v>536</v>
      </c>
      <c r="N553" s="1280"/>
      <c r="O553" s="1277"/>
      <c r="P553" s="1277"/>
      <c r="Q553" s="1277"/>
      <c r="R553" s="1280" t="s">
        <v>847</v>
      </c>
      <c r="S553" s="1277"/>
      <c r="T553" s="1280" t="str">
        <f t="shared" si="54"/>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46"/>
        <v/>
      </c>
      <c r="J554" s="1280"/>
      <c r="K554" s="1280" t="str">
        <f t="shared" si="47"/>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46"/>
        <v/>
      </c>
      <c r="J555" s="1280" t="str">
        <f t="shared" ref="J555:J567" si="55">IF(M555&lt;&gt;"",IF($Q$555="Yes",Q$1&amp;M555,""))</f>
        <v/>
      </c>
      <c r="K555" s="1280" t="str">
        <f t="shared" si="47"/>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46"/>
        <v/>
      </c>
      <c r="J556" s="1280"/>
      <c r="K556" s="1280" t="str">
        <f t="shared" si="47"/>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46"/>
        <v/>
      </c>
      <c r="J557" s="1280" t="str">
        <f t="shared" si="55"/>
        <v/>
      </c>
      <c r="K557" s="1280" t="str">
        <f t="shared" si="47"/>
        <v/>
      </c>
      <c r="L557" s="801" t="s">
        <v>1373</v>
      </c>
      <c r="M557" s="1295">
        <v>540</v>
      </c>
      <c r="N557" s="1280"/>
      <c r="O557" s="1277">
        <f>'Configurable Tab'!I4</f>
        <v>30</v>
      </c>
      <c r="P557" s="1277"/>
      <c r="Q557" s="1277"/>
      <c r="R557" s="1280" t="s">
        <v>847</v>
      </c>
      <c r="S557" s="1277"/>
      <c r="T557" s="1280" t="str">
        <f t="shared" ref="T557:T568" si="56">IF(Q$555="Yes",2,"")</f>
        <v/>
      </c>
      <c r="U557" s="1277"/>
      <c r="V557" s="1277"/>
      <c r="W557" s="1277"/>
      <c r="X557" s="1277"/>
      <c r="Y557" s="1277"/>
      <c r="Z557" s="1277"/>
    </row>
    <row r="558" spans="1:26" x14ac:dyDescent="0.25">
      <c r="A558" s="821" t="s">
        <v>1374</v>
      </c>
      <c r="B558" s="801" t="str">
        <f t="shared" ref="B558:B563" ca="1" si="57">_xlfn.CONCAT(IFERROR(SUBSTITUTE(ADDRESS(1,MATCH(A558,INDIRECT("'"&amp;E558&amp;"'"&amp;"!A" &amp; $O$555+2 &amp; ":Z" &amp; $O$555+2),0),4),1,""),""),$O$555+2)</f>
        <v>J19</v>
      </c>
      <c r="C558" s="801" t="str">
        <f t="shared" ref="C558:C563" ca="1" si="58">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46"/>
        <v/>
      </c>
      <c r="J558" s="1280" t="str">
        <f t="shared" si="55"/>
        <v/>
      </c>
      <c r="K558" s="1280" t="str">
        <f t="shared" si="47"/>
        <v/>
      </c>
      <c r="L558" s="801" t="s">
        <v>1374</v>
      </c>
      <c r="M558" s="1295">
        <v>541</v>
      </c>
      <c r="N558" s="1280"/>
      <c r="O558" s="1277" t="s">
        <v>1625</v>
      </c>
      <c r="P558" s="1277"/>
      <c r="Q558" s="1277"/>
      <c r="R558" s="1280" t="s">
        <v>847</v>
      </c>
      <c r="S558" s="1277"/>
      <c r="T558" s="1280" t="str">
        <f t="shared" si="56"/>
        <v/>
      </c>
      <c r="U558" s="1277"/>
      <c r="V558" s="1277"/>
      <c r="W558" s="1277"/>
      <c r="X558" s="1277"/>
      <c r="Y558" s="1277"/>
      <c r="Z558" s="1277"/>
    </row>
    <row r="559" spans="1:26" x14ac:dyDescent="0.25">
      <c r="A559" s="821" t="s">
        <v>1390</v>
      </c>
      <c r="B559" s="801" t="str">
        <f t="shared" ca="1" si="57"/>
        <v>L19</v>
      </c>
      <c r="C559" s="801" t="str">
        <f t="shared" ca="1" si="58"/>
        <v>L20</v>
      </c>
      <c r="D559" s="801" t="s">
        <v>1343</v>
      </c>
      <c r="E559" s="801" t="s">
        <v>1508</v>
      </c>
      <c r="F559" s="1280" t="s">
        <v>1985</v>
      </c>
      <c r="G559" s="1280" t="str">
        <f>IF(T559&lt;&gt;"","H","")</f>
        <v/>
      </c>
      <c r="H559" s="1280" t="s">
        <v>1982</v>
      </c>
      <c r="I559" s="1241" t="str">
        <f t="shared" si="46"/>
        <v/>
      </c>
      <c r="J559" s="1280" t="str">
        <f t="shared" si="55"/>
        <v/>
      </c>
      <c r="K559" s="1280" t="str">
        <f t="shared" si="47"/>
        <v/>
      </c>
      <c r="L559" s="801" t="s">
        <v>1390</v>
      </c>
      <c r="M559" s="1295">
        <v>542</v>
      </c>
      <c r="N559" s="1280"/>
      <c r="O559" s="1277"/>
      <c r="P559" s="1277"/>
      <c r="Q559" s="1277"/>
      <c r="R559" s="1280" t="s">
        <v>847</v>
      </c>
      <c r="S559" s="1277"/>
      <c r="T559" s="1280" t="str">
        <f t="shared" si="56"/>
        <v/>
      </c>
      <c r="U559" s="1277"/>
      <c r="V559" s="1277"/>
      <c r="W559" s="1277"/>
      <c r="X559" s="1277"/>
      <c r="Y559" s="1277"/>
      <c r="Z559" s="1277"/>
    </row>
    <row r="560" spans="1:26" x14ac:dyDescent="0.25">
      <c r="A560" s="821" t="s">
        <v>1375</v>
      </c>
      <c r="B560" s="801" t="str">
        <f t="shared" ca="1" si="57"/>
        <v>N19</v>
      </c>
      <c r="C560" s="801" t="str">
        <f t="shared" ca="1" si="58"/>
        <v>N20</v>
      </c>
      <c r="D560" s="801" t="s">
        <v>1343</v>
      </c>
      <c r="E560" s="801" t="s">
        <v>1508</v>
      </c>
      <c r="F560" s="1280" t="s">
        <v>1375</v>
      </c>
      <c r="G560" s="1280" t="str">
        <f>IF(T560&lt;&gt;"",IF(Q558="Credit Memo","J",IF(Q558="Check","K","")),"")</f>
        <v/>
      </c>
      <c r="H560" s="1280" t="s">
        <v>1982</v>
      </c>
      <c r="I560" s="1241" t="str">
        <f t="shared" si="46"/>
        <v/>
      </c>
      <c r="J560" s="1280" t="str">
        <f t="shared" si="55"/>
        <v/>
      </c>
      <c r="K560" s="1280" t="str">
        <f t="shared" si="47"/>
        <v/>
      </c>
      <c r="L560" s="801" t="s">
        <v>1375</v>
      </c>
      <c r="M560" s="1295">
        <v>543</v>
      </c>
      <c r="N560" s="1280"/>
      <c r="O560" s="1277"/>
      <c r="P560" s="1277"/>
      <c r="Q560" s="1277"/>
      <c r="R560" s="1280" t="s">
        <v>847</v>
      </c>
      <c r="S560" s="1277"/>
      <c r="T560" s="1280" t="str">
        <f t="shared" si="56"/>
        <v/>
      </c>
      <c r="U560" s="1277"/>
      <c r="V560" s="1277"/>
      <c r="W560" s="1277"/>
      <c r="X560" s="1277"/>
      <c r="Y560" s="1277"/>
      <c r="Z560" s="1277"/>
    </row>
    <row r="561" spans="1:26" x14ac:dyDescent="0.25">
      <c r="A561" s="821" t="s">
        <v>1478</v>
      </c>
      <c r="B561" s="801" t="str">
        <f t="shared" ca="1" si="57"/>
        <v>P19</v>
      </c>
      <c r="C561" s="801" t="str">
        <f t="shared" ca="1" si="58"/>
        <v>P20</v>
      </c>
      <c r="D561" s="801" t="s">
        <v>1343</v>
      </c>
      <c r="E561" s="801" t="s">
        <v>1508</v>
      </c>
      <c r="F561" s="1280" t="s">
        <v>1986</v>
      </c>
      <c r="G561" s="1280" t="str">
        <f>IF(T561&lt;&gt;"","F","")</f>
        <v/>
      </c>
      <c r="H561" s="1280" t="s">
        <v>1982</v>
      </c>
      <c r="I561" s="1241" t="str">
        <f t="shared" si="46"/>
        <v/>
      </c>
      <c r="J561" s="1280" t="str">
        <f t="shared" si="55"/>
        <v/>
      </c>
      <c r="K561" s="1280" t="str">
        <f t="shared" si="47"/>
        <v/>
      </c>
      <c r="L561" s="801" t="s">
        <v>1478</v>
      </c>
      <c r="M561" s="1295">
        <v>544</v>
      </c>
      <c r="N561" s="1280"/>
      <c r="O561" s="1277"/>
      <c r="P561" s="1277"/>
      <c r="Q561" s="1277"/>
      <c r="R561" s="1280" t="s">
        <v>847</v>
      </c>
      <c r="S561" s="1277"/>
      <c r="T561" s="1280" t="str">
        <f t="shared" si="56"/>
        <v/>
      </c>
      <c r="U561" s="1277"/>
      <c r="V561" s="1277"/>
      <c r="W561" s="1277"/>
      <c r="X561" s="1277"/>
      <c r="Y561" s="1277"/>
      <c r="Z561" s="1277"/>
    </row>
    <row r="562" spans="1:26" x14ac:dyDescent="0.25">
      <c r="A562" s="821" t="s">
        <v>1479</v>
      </c>
      <c r="B562" s="801" t="str">
        <f t="shared" ca="1" si="57"/>
        <v>R19</v>
      </c>
      <c r="C562" s="801" t="str">
        <f t="shared" ca="1" si="58"/>
        <v>R20</v>
      </c>
      <c r="D562" s="801" t="s">
        <v>1343</v>
      </c>
      <c r="E562" s="801" t="s">
        <v>1508</v>
      </c>
      <c r="F562" s="1280" t="s">
        <v>1987</v>
      </c>
      <c r="G562" s="1280" t="str">
        <f>IF(T562&lt;&gt;"","G","")</f>
        <v/>
      </c>
      <c r="H562" s="1280" t="s">
        <v>1982</v>
      </c>
      <c r="I562" s="1241" t="str">
        <f t="shared" si="46"/>
        <v/>
      </c>
      <c r="J562" s="1280" t="str">
        <f t="shared" si="55"/>
        <v/>
      </c>
      <c r="K562" s="1280" t="str">
        <f t="shared" si="47"/>
        <v/>
      </c>
      <c r="L562" s="801" t="s">
        <v>1479</v>
      </c>
      <c r="M562" s="1295">
        <v>545</v>
      </c>
      <c r="N562" s="1280"/>
      <c r="O562" s="1277"/>
      <c r="P562" s="1277"/>
      <c r="Q562" s="1277"/>
      <c r="R562" s="1280" t="s">
        <v>847</v>
      </c>
      <c r="S562" s="1277"/>
      <c r="T562" s="1280" t="str">
        <f t="shared" si="56"/>
        <v/>
      </c>
      <c r="U562" s="1277"/>
      <c r="V562" s="1277"/>
      <c r="W562" s="1277"/>
      <c r="X562" s="1277"/>
      <c r="Y562" s="1277"/>
      <c r="Z562" s="1277"/>
    </row>
    <row r="563" spans="1:26" x14ac:dyDescent="0.25">
      <c r="A563" s="821" t="s">
        <v>1480</v>
      </c>
      <c r="B563" s="801" t="str">
        <f t="shared" ca="1" si="57"/>
        <v>T19</v>
      </c>
      <c r="C563" s="801" t="str">
        <f t="shared" ca="1" si="58"/>
        <v>T20</v>
      </c>
      <c r="D563" s="801" t="s">
        <v>1343</v>
      </c>
      <c r="E563" s="801" t="s">
        <v>1508</v>
      </c>
      <c r="F563" s="813" t="s">
        <v>1480</v>
      </c>
      <c r="G563" s="1280" t="str">
        <f>IF(T563&lt;&gt;"","AW","")</f>
        <v/>
      </c>
      <c r="H563" s="1280" t="s">
        <v>1982</v>
      </c>
      <c r="I563" s="1241" t="str">
        <f t="shared" si="46"/>
        <v/>
      </c>
      <c r="J563" s="1280" t="str">
        <f t="shared" si="55"/>
        <v/>
      </c>
      <c r="K563" s="1280" t="str">
        <f t="shared" si="47"/>
        <v/>
      </c>
      <c r="L563" s="801" t="s">
        <v>1480</v>
      </c>
      <c r="M563" s="1295">
        <v>546</v>
      </c>
      <c r="N563" s="1280"/>
      <c r="O563" s="1277"/>
      <c r="P563" s="1277"/>
      <c r="Q563" s="1277"/>
      <c r="R563" s="1280" t="s">
        <v>847</v>
      </c>
      <c r="S563" s="1277"/>
      <c r="T563" s="1280" t="str">
        <f t="shared" si="56"/>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46"/>
        <v/>
      </c>
      <c r="J564" s="1280"/>
      <c r="K564" s="1280" t="str">
        <f t="shared" si="47"/>
        <v/>
      </c>
      <c r="L564" s="801" t="s">
        <v>1378</v>
      </c>
      <c r="M564" s="1295">
        <v>547</v>
      </c>
      <c r="N564" s="1280"/>
      <c r="O564" s="1277"/>
      <c r="P564" s="1277"/>
      <c r="Q564" s="1277"/>
      <c r="R564" s="1280" t="s">
        <v>847</v>
      </c>
      <c r="S564" s="1277"/>
      <c r="T564" s="1280" t="str">
        <f t="shared" si="56"/>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46"/>
        <v/>
      </c>
      <c r="J565" s="1280"/>
      <c r="K565" s="1280" t="str">
        <f t="shared" si="47"/>
        <v/>
      </c>
      <c r="L565" s="801" t="s">
        <v>1379</v>
      </c>
      <c r="M565" s="1295">
        <v>548</v>
      </c>
      <c r="N565" s="1280"/>
      <c r="O565" s="1277"/>
      <c r="P565" s="1277"/>
      <c r="Q565" s="1277"/>
      <c r="R565" s="1280" t="s">
        <v>847</v>
      </c>
      <c r="S565" s="1277"/>
      <c r="T565" s="1280" t="str">
        <f t="shared" si="56"/>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46"/>
        <v/>
      </c>
      <c r="J566" s="1280" t="str">
        <f t="shared" si="55"/>
        <v/>
      </c>
      <c r="K566" s="1280" t="str">
        <f t="shared" si="47"/>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56"/>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46"/>
        <v/>
      </c>
      <c r="J567" s="1280" t="str">
        <f t="shared" si="55"/>
        <v/>
      </c>
      <c r="K567" s="1280" t="str">
        <f t="shared" si="47"/>
        <v/>
      </c>
      <c r="L567" s="801" t="s">
        <v>1484</v>
      </c>
      <c r="M567" s="1295">
        <v>550</v>
      </c>
      <c r="N567" s="1280"/>
      <c r="O567" s="1277"/>
      <c r="P567" s="1277"/>
      <c r="Q567" s="1277"/>
      <c r="R567" s="1280" t="s">
        <v>847</v>
      </c>
      <c r="S567" s="1277"/>
      <c r="T567" s="1280" t="str">
        <f t="shared" si="56"/>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46"/>
        <v/>
      </c>
      <c r="J568" s="1280"/>
      <c r="K568" s="1280" t="str">
        <f t="shared" si="47"/>
        <v/>
      </c>
      <c r="L568" s="801" t="s">
        <v>1382</v>
      </c>
      <c r="M568" s="1295">
        <v>551</v>
      </c>
      <c r="N568" s="1280"/>
      <c r="O568" s="1277"/>
      <c r="P568" s="1277"/>
      <c r="Q568" s="1277"/>
      <c r="R568" s="1280" t="s">
        <v>847</v>
      </c>
      <c r="S568" s="1277"/>
      <c r="T568" s="1280" t="str">
        <f t="shared" si="56"/>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46"/>
        <v/>
      </c>
      <c r="J569" s="1280"/>
      <c r="K569" s="1280" t="str">
        <f t="shared" si="47"/>
        <v/>
      </c>
      <c r="L569" s="801" t="s">
        <v>1483</v>
      </c>
      <c r="M569" s="1295">
        <v>552</v>
      </c>
      <c r="N569" s="1280"/>
      <c r="O569" s="1277" t="s">
        <v>725</v>
      </c>
      <c r="P569" s="1277"/>
      <c r="Q569" s="1277"/>
      <c r="R569" s="1280" t="s">
        <v>847</v>
      </c>
      <c r="S569" s="1277"/>
      <c r="T569" s="1280" t="str">
        <f t="shared" ref="T569:T586" si="59">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46"/>
        <v/>
      </c>
      <c r="J570" s="1280" t="str">
        <f t="shared" ref="J570:J587" si="60">IF(M570&lt;&gt;"",IF($Q$570="Yes",Q$1&amp;M570,""))</f>
        <v/>
      </c>
      <c r="K570" s="1280" t="str">
        <f t="shared" si="47"/>
        <v/>
      </c>
      <c r="L570" s="801" t="s">
        <v>1697</v>
      </c>
      <c r="M570" s="1295">
        <v>553</v>
      </c>
      <c r="N570" s="1280"/>
      <c r="O570" s="1277">
        <f>'Configurable Tab'!H5</f>
        <v>31</v>
      </c>
      <c r="P570" s="1372" t="str">
        <f>'Configurable Tab'!J5</f>
        <v>Yes</v>
      </c>
      <c r="Q570" s="1317" t="s">
        <v>648</v>
      </c>
      <c r="R570" s="1280" t="s">
        <v>847</v>
      </c>
      <c r="S570" s="1277"/>
      <c r="T570" s="1280" t="str">
        <f t="shared" si="59"/>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46"/>
        <v/>
      </c>
      <c r="J571" s="1280"/>
      <c r="K571" s="1280" t="str">
        <f t="shared" si="47"/>
        <v/>
      </c>
      <c r="L571" s="801" t="s">
        <v>1376</v>
      </c>
      <c r="M571" s="1295">
        <v>554</v>
      </c>
      <c r="N571" s="1280"/>
      <c r="O571" s="1277" t="s">
        <v>726</v>
      </c>
      <c r="P571" s="1277"/>
      <c r="Q571" s="1277"/>
      <c r="R571" s="1280" t="s">
        <v>847</v>
      </c>
      <c r="S571" s="1277"/>
      <c r="T571" s="1280" t="str">
        <f t="shared" si="59"/>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46"/>
        <v/>
      </c>
      <c r="J572" s="1280" t="str">
        <f t="shared" si="60"/>
        <v/>
      </c>
      <c r="K572" s="1280" t="str">
        <f t="shared" si="47"/>
        <v/>
      </c>
      <c r="L572" s="801" t="s">
        <v>1373</v>
      </c>
      <c r="M572" s="1295">
        <v>555</v>
      </c>
      <c r="N572" s="1280"/>
      <c r="O572" s="1277">
        <f>'Configurable Tab'!I5</f>
        <v>44</v>
      </c>
      <c r="P572" s="1277"/>
      <c r="Q572" s="1277"/>
      <c r="R572" s="1280" t="s">
        <v>847</v>
      </c>
      <c r="S572" s="1277"/>
      <c r="T572" s="1280" t="str">
        <f t="shared" si="59"/>
        <v/>
      </c>
      <c r="U572" s="1277"/>
      <c r="V572" s="1277"/>
      <c r="W572" s="1277"/>
      <c r="X572" s="1277"/>
      <c r="Y572" s="1277"/>
      <c r="Z572" s="1277"/>
    </row>
    <row r="573" spans="1:26" x14ac:dyDescent="0.25">
      <c r="A573" s="818" t="s">
        <v>1374</v>
      </c>
      <c r="B573" s="801" t="str">
        <f t="shared" ref="B573:B578" ca="1" si="61">_xlfn.CONCAT(IFERROR(SUBSTITUTE(ADDRESS(1,MATCH(A573,INDIRECT("'"&amp;E573&amp;"'"&amp;"!A" &amp; $O$570+2 &amp; ":Z" &amp; $O$570+2),0),4),1,""),""),$O$570+2)</f>
        <v>J33</v>
      </c>
      <c r="C573" s="801" t="str">
        <f t="shared" ref="C573:C578" ca="1" si="62">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46"/>
        <v/>
      </c>
      <c r="J573" s="1280" t="str">
        <f t="shared" si="60"/>
        <v/>
      </c>
      <c r="K573" s="1280" t="str">
        <f t="shared" si="47"/>
        <v/>
      </c>
      <c r="L573" s="801" t="s">
        <v>1374</v>
      </c>
      <c r="M573" s="1295">
        <v>556</v>
      </c>
      <c r="N573" s="1280"/>
      <c r="O573" s="1070" t="s">
        <v>1626</v>
      </c>
      <c r="P573" s="1277"/>
      <c r="Q573" s="1277" t="s">
        <v>482</v>
      </c>
      <c r="R573" s="1280" t="s">
        <v>847</v>
      </c>
      <c r="S573" s="1277"/>
      <c r="T573" s="1280" t="str">
        <f t="shared" si="59"/>
        <v/>
      </c>
      <c r="U573" s="1277"/>
      <c r="V573" s="1277"/>
      <c r="W573" s="1277"/>
      <c r="X573" s="1277"/>
      <c r="Y573" s="1277"/>
      <c r="Z573" s="1277"/>
    </row>
    <row r="574" spans="1:26" x14ac:dyDescent="0.25">
      <c r="A574" s="818" t="s">
        <v>1390</v>
      </c>
      <c r="B574" s="801" t="str">
        <f t="shared" ca="1" si="61"/>
        <v>L33</v>
      </c>
      <c r="C574" s="801" t="str">
        <f t="shared" ca="1" si="62"/>
        <v>L34</v>
      </c>
      <c r="D574" s="801" t="s">
        <v>1343</v>
      </c>
      <c r="E574" s="801" t="s">
        <v>1508</v>
      </c>
      <c r="F574" s="1280" t="s">
        <v>1985</v>
      </c>
      <c r="G574" s="1280" t="str">
        <f>IF(T574&lt;&gt;"","H","")</f>
        <v/>
      </c>
      <c r="H574" s="1280" t="s">
        <v>1982</v>
      </c>
      <c r="I574" s="1241" t="str">
        <f t="shared" si="46"/>
        <v/>
      </c>
      <c r="J574" s="1280" t="str">
        <f t="shared" si="60"/>
        <v/>
      </c>
      <c r="K574" s="1280" t="str">
        <f t="shared" si="47"/>
        <v/>
      </c>
      <c r="L574" s="801" t="s">
        <v>1390</v>
      </c>
      <c r="M574" s="1295">
        <v>557</v>
      </c>
      <c r="N574" s="1280"/>
      <c r="O574" s="1277"/>
      <c r="P574" s="1277"/>
      <c r="Q574" s="1277"/>
      <c r="R574" s="1280" t="s">
        <v>847</v>
      </c>
      <c r="S574" s="1277"/>
      <c r="T574" s="1280" t="str">
        <f t="shared" si="59"/>
        <v/>
      </c>
      <c r="U574" s="1277"/>
      <c r="V574" s="1277"/>
      <c r="W574" s="1277"/>
      <c r="X574" s="1277"/>
      <c r="Y574" s="1277"/>
      <c r="Z574" s="1277"/>
    </row>
    <row r="575" spans="1:26" x14ac:dyDescent="0.25">
      <c r="A575" s="818" t="s">
        <v>1375</v>
      </c>
      <c r="B575" s="801" t="str">
        <f t="shared" ca="1" si="61"/>
        <v>N33</v>
      </c>
      <c r="C575" s="801" t="str">
        <f t="shared" ca="1" si="62"/>
        <v>N34</v>
      </c>
      <c r="D575" s="801" t="s">
        <v>1343</v>
      </c>
      <c r="E575" s="801" t="s">
        <v>1508</v>
      </c>
      <c r="F575" s="1280" t="s">
        <v>1375</v>
      </c>
      <c r="G575" s="1280" t="str">
        <f>IF(T575&lt;&gt;"",IF(Q573="Credit Memo","J",IF(Q573="Check","K","")),"")</f>
        <v/>
      </c>
      <c r="H575" s="1280" t="s">
        <v>1982</v>
      </c>
      <c r="I575" s="1241" t="str">
        <f t="shared" si="46"/>
        <v/>
      </c>
      <c r="J575" s="1280" t="str">
        <f t="shared" si="60"/>
        <v/>
      </c>
      <c r="K575" s="1280" t="str">
        <f t="shared" si="47"/>
        <v/>
      </c>
      <c r="L575" s="801" t="s">
        <v>1375</v>
      </c>
      <c r="M575" s="1295">
        <v>558</v>
      </c>
      <c r="N575" s="1280"/>
      <c r="O575" s="1277"/>
      <c r="P575" s="1277"/>
      <c r="Q575" s="1277"/>
      <c r="R575" s="1280" t="s">
        <v>847</v>
      </c>
      <c r="S575" s="1277"/>
      <c r="T575" s="1280" t="str">
        <f t="shared" si="59"/>
        <v/>
      </c>
      <c r="U575" s="1277"/>
      <c r="V575" s="1277"/>
      <c r="W575" s="1277"/>
      <c r="X575" s="1277"/>
      <c r="Y575" s="1277"/>
      <c r="Z575" s="1277"/>
    </row>
    <row r="576" spans="1:26" x14ac:dyDescent="0.25">
      <c r="A576" s="818" t="s">
        <v>1478</v>
      </c>
      <c r="B576" s="801" t="str">
        <f t="shared" ca="1" si="61"/>
        <v>P33</v>
      </c>
      <c r="C576" s="801" t="str">
        <f t="shared" ca="1" si="62"/>
        <v>P34</v>
      </c>
      <c r="D576" s="801" t="s">
        <v>1343</v>
      </c>
      <c r="E576" s="801" t="s">
        <v>1508</v>
      </c>
      <c r="F576" s="1280" t="s">
        <v>1986</v>
      </c>
      <c r="G576" s="1280" t="str">
        <f>IF(T576&lt;&gt;"","F","")</f>
        <v/>
      </c>
      <c r="H576" s="1280" t="s">
        <v>1982</v>
      </c>
      <c r="I576" s="1241" t="str">
        <f t="shared" si="46"/>
        <v/>
      </c>
      <c r="J576" s="1280" t="str">
        <f t="shared" si="60"/>
        <v/>
      </c>
      <c r="K576" s="1280" t="str">
        <f t="shared" si="47"/>
        <v/>
      </c>
      <c r="L576" s="801" t="s">
        <v>1478</v>
      </c>
      <c r="M576" s="1295">
        <v>559</v>
      </c>
      <c r="N576" s="1280"/>
      <c r="O576" s="1277"/>
      <c r="P576" s="1277"/>
      <c r="Q576" s="1277"/>
      <c r="R576" s="1280" t="s">
        <v>847</v>
      </c>
      <c r="S576" s="1277"/>
      <c r="T576" s="1280" t="str">
        <f t="shared" si="59"/>
        <v/>
      </c>
      <c r="U576" s="1277"/>
      <c r="V576" s="1277"/>
      <c r="W576" s="1277"/>
      <c r="X576" s="1277"/>
      <c r="Y576" s="1277"/>
      <c r="Z576" s="1277"/>
    </row>
    <row r="577" spans="1:26" x14ac:dyDescent="0.25">
      <c r="A577" s="818" t="s">
        <v>1479</v>
      </c>
      <c r="B577" s="801" t="str">
        <f t="shared" ca="1" si="61"/>
        <v>R33</v>
      </c>
      <c r="C577" s="801" t="str">
        <f t="shared" ca="1" si="62"/>
        <v>R34</v>
      </c>
      <c r="D577" s="801" t="s">
        <v>1343</v>
      </c>
      <c r="E577" s="801" t="s">
        <v>1508</v>
      </c>
      <c r="F577" s="1280" t="s">
        <v>1987</v>
      </c>
      <c r="G577" s="1280" t="str">
        <f>IF(T577&lt;&gt;"","G","")</f>
        <v/>
      </c>
      <c r="H577" s="1280" t="s">
        <v>1982</v>
      </c>
      <c r="I577" s="1241" t="str">
        <f t="shared" si="46"/>
        <v/>
      </c>
      <c r="J577" s="1280" t="str">
        <f t="shared" si="60"/>
        <v/>
      </c>
      <c r="K577" s="1280" t="str">
        <f t="shared" si="47"/>
        <v/>
      </c>
      <c r="L577" s="801" t="s">
        <v>1479</v>
      </c>
      <c r="M577" s="1295">
        <v>560</v>
      </c>
      <c r="N577" s="1280"/>
      <c r="O577" s="1277"/>
      <c r="P577" s="1277"/>
      <c r="Q577" s="1277"/>
      <c r="R577" s="1280" t="s">
        <v>847</v>
      </c>
      <c r="S577" s="1277"/>
      <c r="T577" s="1280" t="str">
        <f t="shared" si="59"/>
        <v/>
      </c>
      <c r="U577" s="1277"/>
      <c r="V577" s="1277"/>
      <c r="W577" s="1277"/>
      <c r="X577" s="1277"/>
      <c r="Y577" s="1277"/>
      <c r="Z577" s="1277"/>
    </row>
    <row r="578" spans="1:26" x14ac:dyDescent="0.25">
      <c r="A578" s="818" t="s">
        <v>1480</v>
      </c>
      <c r="B578" s="801" t="str">
        <f t="shared" ca="1" si="61"/>
        <v>T33</v>
      </c>
      <c r="C578" s="801" t="str">
        <f t="shared" ca="1" si="62"/>
        <v>T34</v>
      </c>
      <c r="D578" s="801" t="s">
        <v>1343</v>
      </c>
      <c r="E578" s="801" t="s">
        <v>1508</v>
      </c>
      <c r="F578" s="813" t="s">
        <v>1480</v>
      </c>
      <c r="G578" s="1280" t="str">
        <f>IF(T578&lt;&gt;"","AW","")</f>
        <v/>
      </c>
      <c r="H578" s="1280" t="s">
        <v>1982</v>
      </c>
      <c r="I578" s="1241" t="str">
        <f t="shared" si="46"/>
        <v/>
      </c>
      <c r="J578" s="1280" t="str">
        <f t="shared" si="60"/>
        <v/>
      </c>
      <c r="K578" s="1280" t="str">
        <f t="shared" si="47"/>
        <v/>
      </c>
      <c r="L578" s="801" t="s">
        <v>1480</v>
      </c>
      <c r="M578" s="1295">
        <v>561</v>
      </c>
      <c r="N578" s="1280"/>
      <c r="O578" s="1277"/>
      <c r="P578" s="1277"/>
      <c r="Q578" s="1277"/>
      <c r="R578" s="1280" t="s">
        <v>847</v>
      </c>
      <c r="S578" s="1277"/>
      <c r="T578" s="1280" t="str">
        <f t="shared" si="59"/>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46"/>
        <v/>
      </c>
      <c r="J579" s="1280"/>
      <c r="K579" s="1280" t="str">
        <f t="shared" si="47"/>
        <v/>
      </c>
      <c r="L579" s="801" t="s">
        <v>1378</v>
      </c>
      <c r="M579" s="1295">
        <v>562</v>
      </c>
      <c r="N579" s="1280"/>
      <c r="O579" s="1277"/>
      <c r="P579" s="1277"/>
      <c r="Q579" s="1277"/>
      <c r="R579" s="1280" t="s">
        <v>847</v>
      </c>
      <c r="S579" s="1277"/>
      <c r="T579" s="1280" t="str">
        <f t="shared" si="59"/>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3">IF(J580&lt;&gt;"",A580,"")</f>
        <v/>
      </c>
      <c r="J580" s="1280"/>
      <c r="K580" s="1280" t="str">
        <f t="shared" ref="K580:K643" si="64">IF(J580&lt;&gt;"",E580,"")</f>
        <v/>
      </c>
      <c r="L580" s="801" t="s">
        <v>1379</v>
      </c>
      <c r="M580" s="1295">
        <v>563</v>
      </c>
      <c r="N580" s="1280"/>
      <c r="O580" s="1277"/>
      <c r="P580" s="1277"/>
      <c r="Q580" s="1277"/>
      <c r="R580" s="1280" t="s">
        <v>847</v>
      </c>
      <c r="S580" s="1277"/>
      <c r="T580" s="1280" t="str">
        <f t="shared" si="59"/>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3"/>
        <v/>
      </c>
      <c r="J581" s="1280" t="str">
        <f t="shared" si="60"/>
        <v/>
      </c>
      <c r="K581" s="1280" t="str">
        <f t="shared" si="64"/>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59"/>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3"/>
        <v/>
      </c>
      <c r="J582" s="1280" t="str">
        <f t="shared" si="60"/>
        <v/>
      </c>
      <c r="K582" s="1280" t="str">
        <f t="shared" si="64"/>
        <v/>
      </c>
      <c r="L582" s="801" t="s">
        <v>1484</v>
      </c>
      <c r="M582" s="1295">
        <v>565</v>
      </c>
      <c r="N582" s="1280"/>
      <c r="O582" s="1277"/>
      <c r="P582" s="1277"/>
      <c r="Q582" s="1277"/>
      <c r="R582" s="1280" t="s">
        <v>847</v>
      </c>
      <c r="S582" s="1277"/>
      <c r="T582" s="1280" t="str">
        <f t="shared" si="59"/>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3"/>
        <v/>
      </c>
      <c r="J583" s="1280" t="str">
        <f t="shared" si="60"/>
        <v/>
      </c>
      <c r="K583" s="1280" t="str">
        <f t="shared" si="64"/>
        <v/>
      </c>
      <c r="L583" s="801" t="s">
        <v>1498</v>
      </c>
      <c r="M583" s="1295">
        <v>566</v>
      </c>
      <c r="N583" s="1280"/>
      <c r="O583" s="1277"/>
      <c r="P583" s="1277"/>
      <c r="Q583" s="1277"/>
      <c r="R583" s="1280" t="s">
        <v>847</v>
      </c>
      <c r="S583" s="1277"/>
      <c r="T583" s="1280" t="str">
        <f t="shared" si="59"/>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3"/>
        <v/>
      </c>
      <c r="J584" s="1280" t="str">
        <f t="shared" si="60"/>
        <v/>
      </c>
      <c r="K584" s="1280" t="str">
        <f t="shared" si="64"/>
        <v/>
      </c>
      <c r="L584" s="801" t="s">
        <v>1380</v>
      </c>
      <c r="M584" s="1295">
        <v>567</v>
      </c>
      <c r="N584" s="1280"/>
      <c r="O584" s="1277"/>
      <c r="P584" s="1277"/>
      <c r="Q584" s="1277"/>
      <c r="R584" s="1280" t="s">
        <v>847</v>
      </c>
      <c r="S584" s="1277"/>
      <c r="T584" s="1280" t="str">
        <f t="shared" si="59"/>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3"/>
        <v/>
      </c>
      <c r="J585" s="1280"/>
      <c r="K585" s="1280" t="str">
        <f t="shared" si="64"/>
        <v/>
      </c>
      <c r="L585" s="801" t="s">
        <v>1381</v>
      </c>
      <c r="M585" s="1295">
        <v>568</v>
      </c>
      <c r="N585" s="1280"/>
      <c r="O585" s="1277"/>
      <c r="P585" s="1277"/>
      <c r="Q585" s="1277"/>
      <c r="R585" s="1280" t="s">
        <v>847</v>
      </c>
      <c r="S585" s="1277"/>
      <c r="T585" s="1280" t="str">
        <f t="shared" si="59"/>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3"/>
        <v/>
      </c>
      <c r="J586" s="1280"/>
      <c r="K586" s="1280" t="str">
        <f t="shared" si="64"/>
        <v/>
      </c>
      <c r="L586" s="803" t="s">
        <v>1382</v>
      </c>
      <c r="M586" s="1295">
        <v>569</v>
      </c>
      <c r="N586" s="1280"/>
      <c r="O586" s="1277"/>
      <c r="P586" s="1277"/>
      <c r="Q586" s="1277"/>
      <c r="R586" s="1280" t="s">
        <v>847</v>
      </c>
      <c r="S586" s="1277"/>
      <c r="T586" s="1280" t="str">
        <f t="shared" si="59"/>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3"/>
        <v/>
      </c>
      <c r="J587" s="1280" t="str">
        <f t="shared" si="60"/>
        <v/>
      </c>
      <c r="K587" s="1280" t="str">
        <f t="shared" si="64"/>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3"/>
        <v/>
      </c>
      <c r="J588" s="1280"/>
      <c r="K588" s="1280" t="str">
        <f t="shared" si="64"/>
        <v/>
      </c>
      <c r="L588" s="801" t="s">
        <v>1483</v>
      </c>
      <c r="M588" s="1295">
        <v>571</v>
      </c>
      <c r="N588" s="1280"/>
      <c r="O588" s="1277" t="s">
        <v>725</v>
      </c>
      <c r="P588" s="1277"/>
      <c r="Q588" s="1277"/>
      <c r="R588" s="1280" t="s">
        <v>847</v>
      </c>
      <c r="S588" s="1277"/>
      <c r="T588" s="1280" t="str">
        <f t="shared" ref="T588:T605" si="65">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3"/>
        <v/>
      </c>
      <c r="J589" s="1280" t="str">
        <f t="shared" ref="J589:J606" si="66">IF(M589&lt;&gt;"",IF($Q$589="Yes",Q$1&amp;M589,""))</f>
        <v/>
      </c>
      <c r="K589" s="1280" t="str">
        <f t="shared" si="64"/>
        <v/>
      </c>
      <c r="L589" s="801" t="s">
        <v>1697</v>
      </c>
      <c r="M589" s="1295">
        <v>572</v>
      </c>
      <c r="N589" s="1280"/>
      <c r="O589" s="1277">
        <f>'Configurable Tab'!H6</f>
        <v>45</v>
      </c>
      <c r="P589" s="1372" t="str">
        <f>'Configurable Tab'!J6</f>
        <v>Yes</v>
      </c>
      <c r="Q589" s="1317" t="s">
        <v>648</v>
      </c>
      <c r="R589" s="1280" t="s">
        <v>847</v>
      </c>
      <c r="S589" s="1277"/>
      <c r="T589" s="1280" t="str">
        <f t="shared" si="65"/>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3"/>
        <v/>
      </c>
      <c r="J590" s="1280"/>
      <c r="K590" s="1280" t="str">
        <f t="shared" si="64"/>
        <v/>
      </c>
      <c r="L590" s="801" t="s">
        <v>1376</v>
      </c>
      <c r="M590" s="1295">
        <v>573</v>
      </c>
      <c r="N590" s="1280"/>
      <c r="O590" s="1277" t="s">
        <v>726</v>
      </c>
      <c r="P590" s="1277"/>
      <c r="Q590" s="1277"/>
      <c r="R590" s="1280" t="s">
        <v>847</v>
      </c>
      <c r="S590" s="1277"/>
      <c r="T590" s="1280" t="str">
        <f t="shared" si="65"/>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3"/>
        <v/>
      </c>
      <c r="J591" s="1280" t="str">
        <f t="shared" si="66"/>
        <v/>
      </c>
      <c r="K591" s="1280" t="str">
        <f t="shared" si="64"/>
        <v/>
      </c>
      <c r="L591" s="801" t="s">
        <v>1373</v>
      </c>
      <c r="M591" s="1295">
        <v>574</v>
      </c>
      <c r="N591" s="1280"/>
      <c r="O591" s="1277">
        <f>'Configurable Tab'!I6</f>
        <v>58</v>
      </c>
      <c r="P591" s="1277"/>
      <c r="Q591" s="1277"/>
      <c r="R591" s="1280" t="s">
        <v>847</v>
      </c>
      <c r="S591" s="1277"/>
      <c r="T591" s="1280" t="str">
        <f t="shared" si="65"/>
        <v/>
      </c>
      <c r="U591" s="1277"/>
      <c r="V591" s="1277"/>
      <c r="W591" s="1277"/>
      <c r="X591" s="1277"/>
      <c r="Y591" s="1277"/>
      <c r="Z591" s="1277"/>
    </row>
    <row r="592" spans="1:26" x14ac:dyDescent="0.25">
      <c r="A592" s="821" t="s">
        <v>1374</v>
      </c>
      <c r="B592" s="801" t="str">
        <f t="shared" ref="B592:B597" ca="1" si="67">_xlfn.CONCAT(IFERROR(SUBSTITUTE(ADDRESS(1,MATCH(A592,INDIRECT("'"&amp;E592&amp;"'"&amp;"!A" &amp; $O$589+2 &amp; ":Z" &amp; $O$589+2),0),4),1,""),""),$O$589+2)</f>
        <v>J47</v>
      </c>
      <c r="C592" s="801" t="str">
        <f t="shared" ref="C592:C597" ca="1" si="68">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3"/>
        <v/>
      </c>
      <c r="J592" s="1280" t="str">
        <f t="shared" si="66"/>
        <v/>
      </c>
      <c r="K592" s="1280" t="str">
        <f t="shared" si="64"/>
        <v/>
      </c>
      <c r="L592" s="801" t="s">
        <v>1374</v>
      </c>
      <c r="M592" s="1295">
        <v>575</v>
      </c>
      <c r="N592" s="1280"/>
      <c r="O592" s="1070" t="s">
        <v>1627</v>
      </c>
      <c r="P592" s="1277"/>
      <c r="Q592" s="1277"/>
      <c r="R592" s="1280" t="s">
        <v>847</v>
      </c>
      <c r="S592" s="1277"/>
      <c r="T592" s="1280" t="str">
        <f t="shared" si="65"/>
        <v/>
      </c>
      <c r="U592" s="1277"/>
      <c r="V592" s="1277"/>
      <c r="W592" s="1277"/>
      <c r="X592" s="1277"/>
      <c r="Y592" s="1277"/>
      <c r="Z592" s="1277"/>
    </row>
    <row r="593" spans="1:26" x14ac:dyDescent="0.25">
      <c r="A593" s="821" t="s">
        <v>1390</v>
      </c>
      <c r="B593" s="801" t="str">
        <f t="shared" ca="1" si="67"/>
        <v>L47</v>
      </c>
      <c r="C593" s="801" t="str">
        <f t="shared" ca="1" si="68"/>
        <v>L48</v>
      </c>
      <c r="D593" s="801" t="s">
        <v>1343</v>
      </c>
      <c r="E593" s="801" t="s">
        <v>1508</v>
      </c>
      <c r="F593" s="1280" t="s">
        <v>1985</v>
      </c>
      <c r="G593" s="1280" t="str">
        <f>IF(T593&lt;&gt;"","H","")</f>
        <v/>
      </c>
      <c r="H593" s="1280" t="s">
        <v>1982</v>
      </c>
      <c r="I593" s="1241" t="str">
        <f t="shared" si="63"/>
        <v/>
      </c>
      <c r="J593" s="1280" t="str">
        <f t="shared" si="66"/>
        <v/>
      </c>
      <c r="K593" s="1280" t="str">
        <f t="shared" si="64"/>
        <v/>
      </c>
      <c r="L593" s="801" t="s">
        <v>1390</v>
      </c>
      <c r="M593" s="1295">
        <v>576</v>
      </c>
      <c r="N593" s="1280"/>
      <c r="O593" s="1277"/>
      <c r="P593" s="1277"/>
      <c r="Q593" s="1277"/>
      <c r="R593" s="1280" t="s">
        <v>847</v>
      </c>
      <c r="S593" s="1277"/>
      <c r="T593" s="1280" t="str">
        <f t="shared" si="65"/>
        <v/>
      </c>
      <c r="U593" s="1277"/>
      <c r="V593" s="1277"/>
      <c r="W593" s="1277"/>
      <c r="X593" s="1277"/>
      <c r="Y593" s="1277"/>
      <c r="Z593" s="1277"/>
    </row>
    <row r="594" spans="1:26" x14ac:dyDescent="0.25">
      <c r="A594" s="821" t="s">
        <v>1375</v>
      </c>
      <c r="B594" s="801" t="str">
        <f t="shared" ca="1" si="67"/>
        <v>N47</v>
      </c>
      <c r="C594" s="801" t="str">
        <f t="shared" ca="1" si="68"/>
        <v>N48</v>
      </c>
      <c r="D594" s="801" t="s">
        <v>1343</v>
      </c>
      <c r="E594" s="801" t="s">
        <v>1508</v>
      </c>
      <c r="F594" s="1280" t="s">
        <v>1375</v>
      </c>
      <c r="G594" s="1280" t="str">
        <f>IF(T594&lt;&gt;"",IF(Q592="Credit Memo","J",IF(Q592="Check","K","")),"")</f>
        <v/>
      </c>
      <c r="H594" s="1280" t="s">
        <v>1982</v>
      </c>
      <c r="I594" s="1241" t="str">
        <f t="shared" si="63"/>
        <v/>
      </c>
      <c r="J594" s="1280" t="str">
        <f t="shared" si="66"/>
        <v/>
      </c>
      <c r="K594" s="1280" t="str">
        <f t="shared" si="64"/>
        <v/>
      </c>
      <c r="L594" s="801" t="s">
        <v>1375</v>
      </c>
      <c r="M594" s="1295">
        <v>577</v>
      </c>
      <c r="N594" s="1280"/>
      <c r="O594" s="1277"/>
      <c r="P594" s="1277"/>
      <c r="Q594" s="1277"/>
      <c r="R594" s="1280" t="s">
        <v>847</v>
      </c>
      <c r="S594" s="1277"/>
      <c r="T594" s="1280" t="str">
        <f t="shared" si="65"/>
        <v/>
      </c>
      <c r="U594" s="1277"/>
      <c r="V594" s="1277"/>
      <c r="W594" s="1277"/>
      <c r="X594" s="1277"/>
      <c r="Y594" s="1277"/>
      <c r="Z594" s="1277"/>
    </row>
    <row r="595" spans="1:26" x14ac:dyDescent="0.25">
      <c r="A595" s="821" t="s">
        <v>1478</v>
      </c>
      <c r="B595" s="801" t="str">
        <f t="shared" ca="1" si="67"/>
        <v>P47</v>
      </c>
      <c r="C595" s="801" t="str">
        <f t="shared" ca="1" si="68"/>
        <v>P48</v>
      </c>
      <c r="D595" s="801" t="s">
        <v>1343</v>
      </c>
      <c r="E595" s="801" t="s">
        <v>1508</v>
      </c>
      <c r="F595" s="1280" t="s">
        <v>1986</v>
      </c>
      <c r="G595" s="1280" t="str">
        <f>IF(T595&lt;&gt;"","F","")</f>
        <v/>
      </c>
      <c r="H595" s="1280" t="s">
        <v>1982</v>
      </c>
      <c r="I595" s="1241" t="str">
        <f t="shared" si="63"/>
        <v/>
      </c>
      <c r="J595" s="1280" t="str">
        <f t="shared" si="66"/>
        <v/>
      </c>
      <c r="K595" s="1280" t="str">
        <f t="shared" si="64"/>
        <v/>
      </c>
      <c r="L595" s="801" t="s">
        <v>1478</v>
      </c>
      <c r="M595" s="1295">
        <v>578</v>
      </c>
      <c r="N595" s="1280"/>
      <c r="O595" s="1277"/>
      <c r="P595" s="1277"/>
      <c r="Q595" s="1277"/>
      <c r="R595" s="1280" t="s">
        <v>847</v>
      </c>
      <c r="S595" s="1277"/>
      <c r="T595" s="1280" t="str">
        <f t="shared" si="65"/>
        <v/>
      </c>
      <c r="U595" s="1277"/>
      <c r="V595" s="1277"/>
      <c r="W595" s="1277"/>
      <c r="X595" s="1277"/>
      <c r="Y595" s="1277"/>
      <c r="Z595" s="1277"/>
    </row>
    <row r="596" spans="1:26" x14ac:dyDescent="0.25">
      <c r="A596" s="821" t="s">
        <v>1479</v>
      </c>
      <c r="B596" s="801" t="str">
        <f t="shared" ca="1" si="67"/>
        <v>R47</v>
      </c>
      <c r="C596" s="801" t="str">
        <f t="shared" ca="1" si="68"/>
        <v>R48</v>
      </c>
      <c r="D596" s="801" t="s">
        <v>1343</v>
      </c>
      <c r="E596" s="801" t="s">
        <v>1508</v>
      </c>
      <c r="F596" s="1280" t="s">
        <v>1987</v>
      </c>
      <c r="G596" s="1280" t="str">
        <f>IF(T596&lt;&gt;"","G","")</f>
        <v/>
      </c>
      <c r="H596" s="1280" t="s">
        <v>1982</v>
      </c>
      <c r="I596" s="1241" t="str">
        <f t="shared" si="63"/>
        <v/>
      </c>
      <c r="J596" s="1280" t="str">
        <f t="shared" si="66"/>
        <v/>
      </c>
      <c r="K596" s="1280" t="str">
        <f t="shared" si="64"/>
        <v/>
      </c>
      <c r="L596" s="801" t="s">
        <v>1479</v>
      </c>
      <c r="M596" s="1295">
        <v>579</v>
      </c>
      <c r="N596" s="1280"/>
      <c r="O596" s="1277"/>
      <c r="P596" s="1277"/>
      <c r="Q596" s="1277"/>
      <c r="R596" s="1280" t="s">
        <v>847</v>
      </c>
      <c r="S596" s="1277"/>
      <c r="T596" s="1280" t="str">
        <f t="shared" si="65"/>
        <v/>
      </c>
      <c r="U596" s="1277"/>
      <c r="V596" s="1277"/>
      <c r="W596" s="1277"/>
      <c r="X596" s="1277"/>
      <c r="Y596" s="1277"/>
      <c r="Z596" s="1277"/>
    </row>
    <row r="597" spans="1:26" x14ac:dyDescent="0.25">
      <c r="A597" s="821" t="s">
        <v>1480</v>
      </c>
      <c r="B597" s="801" t="str">
        <f t="shared" ca="1" si="67"/>
        <v>T47</v>
      </c>
      <c r="C597" s="801" t="str">
        <f t="shared" ca="1" si="68"/>
        <v>T48</v>
      </c>
      <c r="D597" s="801" t="s">
        <v>1343</v>
      </c>
      <c r="E597" s="801" t="s">
        <v>1508</v>
      </c>
      <c r="F597" s="813" t="s">
        <v>1480</v>
      </c>
      <c r="G597" s="1280" t="str">
        <f>IF(T597&lt;&gt;"","AW","")</f>
        <v/>
      </c>
      <c r="H597" s="1280" t="s">
        <v>1982</v>
      </c>
      <c r="I597" s="1241" t="str">
        <f t="shared" si="63"/>
        <v/>
      </c>
      <c r="J597" s="1280" t="str">
        <f t="shared" si="66"/>
        <v/>
      </c>
      <c r="K597" s="1280" t="str">
        <f t="shared" si="64"/>
        <v/>
      </c>
      <c r="L597" s="801" t="s">
        <v>1480</v>
      </c>
      <c r="M597" s="1295">
        <v>580</v>
      </c>
      <c r="N597" s="1280"/>
      <c r="O597" s="1277"/>
      <c r="P597" s="1277"/>
      <c r="Q597" s="1277"/>
      <c r="R597" s="1280" t="s">
        <v>847</v>
      </c>
      <c r="S597" s="1277"/>
      <c r="T597" s="1280" t="str">
        <f t="shared" si="65"/>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3"/>
        <v/>
      </c>
      <c r="J598" s="1280"/>
      <c r="K598" s="1280" t="str">
        <f t="shared" si="64"/>
        <v/>
      </c>
      <c r="L598" s="801" t="s">
        <v>1378</v>
      </c>
      <c r="M598" s="1295">
        <v>581</v>
      </c>
      <c r="N598" s="1280"/>
      <c r="O598" s="1277"/>
      <c r="P598" s="1277"/>
      <c r="Q598" s="1277"/>
      <c r="R598" s="1280" t="s">
        <v>847</v>
      </c>
      <c r="S598" s="1277"/>
      <c r="T598" s="1280" t="str">
        <f t="shared" si="65"/>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3"/>
        <v/>
      </c>
      <c r="J599" s="1280"/>
      <c r="K599" s="1280" t="str">
        <f t="shared" si="64"/>
        <v/>
      </c>
      <c r="L599" s="801" t="s">
        <v>1379</v>
      </c>
      <c r="M599" s="1295">
        <v>582</v>
      </c>
      <c r="N599" s="1280"/>
      <c r="O599" s="1277"/>
      <c r="P599" s="1277"/>
      <c r="Q599" s="1277"/>
      <c r="R599" s="1280" t="s">
        <v>847</v>
      </c>
      <c r="S599" s="1277"/>
      <c r="T599" s="1280" t="str">
        <f t="shared" si="65"/>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3"/>
        <v/>
      </c>
      <c r="J600" s="1280" t="str">
        <f t="shared" si="66"/>
        <v/>
      </c>
      <c r="K600" s="1280" t="str">
        <f t="shared" si="64"/>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65"/>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3"/>
        <v/>
      </c>
      <c r="J601" s="1280" t="str">
        <f t="shared" si="66"/>
        <v/>
      </c>
      <c r="K601" s="1280" t="str">
        <f t="shared" si="64"/>
        <v/>
      </c>
      <c r="L601" s="801" t="s">
        <v>1484</v>
      </c>
      <c r="M601" s="1295">
        <v>584</v>
      </c>
      <c r="N601" s="1280"/>
      <c r="O601" s="1277"/>
      <c r="P601" s="1277"/>
      <c r="Q601" s="1277"/>
      <c r="R601" s="1280" t="s">
        <v>847</v>
      </c>
      <c r="S601" s="1277"/>
      <c r="T601" s="1280" t="str">
        <f t="shared" si="65"/>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3"/>
        <v/>
      </c>
      <c r="J602" s="1280" t="str">
        <f t="shared" si="66"/>
        <v/>
      </c>
      <c r="K602" s="1280" t="str">
        <f t="shared" si="64"/>
        <v/>
      </c>
      <c r="L602" s="801" t="s">
        <v>1498</v>
      </c>
      <c r="M602" s="1295">
        <v>585</v>
      </c>
      <c r="N602" s="1280"/>
      <c r="O602" s="1277"/>
      <c r="P602" s="1277"/>
      <c r="Q602" s="1277"/>
      <c r="R602" s="1280" t="s">
        <v>847</v>
      </c>
      <c r="S602" s="1277"/>
      <c r="T602" s="1280" t="str">
        <f t="shared" si="65"/>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3"/>
        <v/>
      </c>
      <c r="J603" s="1280" t="str">
        <f t="shared" si="66"/>
        <v/>
      </c>
      <c r="K603" s="1280" t="str">
        <f t="shared" si="64"/>
        <v/>
      </c>
      <c r="L603" s="801" t="s">
        <v>1380</v>
      </c>
      <c r="M603" s="1295">
        <v>586</v>
      </c>
      <c r="N603" s="1280"/>
      <c r="O603" s="1277"/>
      <c r="P603" s="1277"/>
      <c r="Q603" s="1277"/>
      <c r="R603" s="1280" t="s">
        <v>847</v>
      </c>
      <c r="S603" s="1277"/>
      <c r="T603" s="1280" t="str">
        <f t="shared" si="65"/>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3"/>
        <v/>
      </c>
      <c r="J604" s="1280"/>
      <c r="K604" s="1280" t="str">
        <f t="shared" si="64"/>
        <v/>
      </c>
      <c r="L604" s="801" t="s">
        <v>1381</v>
      </c>
      <c r="M604" s="1295">
        <v>587</v>
      </c>
      <c r="N604" s="1280"/>
      <c r="O604" s="1277"/>
      <c r="P604" s="1277"/>
      <c r="Q604" s="1277"/>
      <c r="R604" s="1280" t="s">
        <v>847</v>
      </c>
      <c r="S604" s="1277"/>
      <c r="T604" s="1280" t="str">
        <f t="shared" si="65"/>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3"/>
        <v/>
      </c>
      <c r="J605" s="1280"/>
      <c r="K605" s="1280" t="str">
        <f t="shared" si="64"/>
        <v/>
      </c>
      <c r="L605" s="801" t="s">
        <v>1382</v>
      </c>
      <c r="M605" s="1295">
        <v>588</v>
      </c>
      <c r="N605" s="1280"/>
      <c r="O605" s="1277"/>
      <c r="P605" s="1277"/>
      <c r="Q605" s="1277"/>
      <c r="R605" s="1280" t="s">
        <v>847</v>
      </c>
      <c r="S605" s="1277"/>
      <c r="T605" s="1280" t="str">
        <f t="shared" si="65"/>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3"/>
        <v/>
      </c>
      <c r="J606" s="1280" t="str">
        <f t="shared" si="66"/>
        <v/>
      </c>
      <c r="K606" s="1280" t="str">
        <f t="shared" si="64"/>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3"/>
        <v/>
      </c>
      <c r="J607" s="1280"/>
      <c r="K607" s="1280" t="str">
        <f t="shared" si="64"/>
        <v/>
      </c>
      <c r="L607" s="801" t="s">
        <v>1483</v>
      </c>
      <c r="M607" s="1295">
        <v>590</v>
      </c>
      <c r="N607" s="1280"/>
      <c r="O607" s="1277" t="s">
        <v>725</v>
      </c>
      <c r="P607" s="1277"/>
      <c r="Q607" s="1277"/>
      <c r="R607" s="1280" t="s">
        <v>847</v>
      </c>
      <c r="S607" s="1277"/>
      <c r="T607" s="1280" t="str">
        <f t="shared" ref="T607:T620" si="69">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3"/>
        <v/>
      </c>
      <c r="J608" s="1280" t="str">
        <f t="shared" ref="J608:J637" si="70">IF(M608&lt;&gt;"",IF($Q$608="Yes",Q$1&amp;M608,""))</f>
        <v/>
      </c>
      <c r="K608" s="1280" t="str">
        <f t="shared" si="64"/>
        <v/>
      </c>
      <c r="L608" s="801" t="s">
        <v>1697</v>
      </c>
      <c r="M608" s="1295">
        <v>591</v>
      </c>
      <c r="N608" s="1280"/>
      <c r="O608" s="1277">
        <f>'Configurable Tab'!H7</f>
        <v>59</v>
      </c>
      <c r="P608" s="1372" t="str">
        <f>'Configurable Tab'!J7</f>
        <v>Yes</v>
      </c>
      <c r="Q608" s="1317" t="s">
        <v>648</v>
      </c>
      <c r="R608" s="1280" t="s">
        <v>847</v>
      </c>
      <c r="S608" s="1277"/>
      <c r="T608" s="1280" t="str">
        <f t="shared" si="69"/>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3"/>
        <v/>
      </c>
      <c r="J609" s="1280"/>
      <c r="K609" s="1280" t="str">
        <f t="shared" si="64"/>
        <v/>
      </c>
      <c r="L609" s="801" t="s">
        <v>1376</v>
      </c>
      <c r="M609" s="1295">
        <v>592</v>
      </c>
      <c r="N609" s="1280"/>
      <c r="O609" s="1277" t="s">
        <v>726</v>
      </c>
      <c r="P609" s="1277"/>
      <c r="Q609" s="1277"/>
      <c r="R609" s="1280" t="s">
        <v>847</v>
      </c>
      <c r="S609" s="1277"/>
      <c r="T609" s="1280" t="str">
        <f t="shared" si="69"/>
        <v/>
      </c>
      <c r="U609" s="1277"/>
      <c r="V609" s="1277"/>
      <c r="W609" s="1277"/>
      <c r="X609" s="1277"/>
      <c r="Y609" s="1277"/>
      <c r="Z609" s="1277"/>
    </row>
    <row r="610" spans="1:26" x14ac:dyDescent="0.25">
      <c r="A610" s="819" t="s">
        <v>1373</v>
      </c>
      <c r="B610" s="801" t="str">
        <f t="shared" ref="B610:B616" ca="1" si="71">_xlfn.CONCAT(IFERROR(SUBSTITUTE(ADDRESS(1,MATCH(A610,INDIRECT("'"&amp;E610&amp;"'"&amp;"!A" &amp; $O$608+2&amp;":Z" &amp; $O$608+2),0),4),1,""),""),$O$608+2)</f>
        <v>H61</v>
      </c>
      <c r="C610" s="801" t="str">
        <f t="shared" ref="C610:C616" ca="1" si="72">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3"/>
        <v/>
      </c>
      <c r="J610" s="1280" t="str">
        <f t="shared" si="70"/>
        <v/>
      </c>
      <c r="K610" s="1280" t="str">
        <f t="shared" si="64"/>
        <v/>
      </c>
      <c r="L610" s="801" t="s">
        <v>1373</v>
      </c>
      <c r="M610" s="1295">
        <v>593</v>
      </c>
      <c r="N610" s="1280"/>
      <c r="O610" s="1277">
        <f>'Configurable Tab'!I7</f>
        <v>74</v>
      </c>
      <c r="P610" s="1277"/>
      <c r="Q610" s="1277"/>
      <c r="R610" s="1280" t="s">
        <v>847</v>
      </c>
      <c r="S610" s="1277"/>
      <c r="T610" s="1280" t="str">
        <f t="shared" si="69"/>
        <v/>
      </c>
      <c r="U610" s="1277"/>
      <c r="V610" s="1277"/>
      <c r="W610" s="1277"/>
      <c r="X610" s="1277"/>
      <c r="Y610" s="1277"/>
      <c r="Z610" s="1277"/>
    </row>
    <row r="611" spans="1:26" x14ac:dyDescent="0.25">
      <c r="A611" s="819" t="s">
        <v>1374</v>
      </c>
      <c r="B611" s="801" t="str">
        <f t="shared" ca="1" si="71"/>
        <v>J61</v>
      </c>
      <c r="C611" s="801" t="str">
        <f t="shared" ca="1" si="72"/>
        <v>J62</v>
      </c>
      <c r="D611" s="801" t="s">
        <v>1343</v>
      </c>
      <c r="E611" s="801" t="s">
        <v>1508</v>
      </c>
      <c r="F611" s="1280" t="s">
        <v>1984</v>
      </c>
      <c r="G611" s="1280" t="str">
        <f>IF(T611&lt;&gt;"","I","")</f>
        <v/>
      </c>
      <c r="H611" s="1280" t="s">
        <v>1982</v>
      </c>
      <c r="I611" s="1241" t="str">
        <f t="shared" si="63"/>
        <v/>
      </c>
      <c r="J611" s="1280" t="str">
        <f t="shared" si="70"/>
        <v/>
      </c>
      <c r="K611" s="1280" t="str">
        <f t="shared" si="64"/>
        <v/>
      </c>
      <c r="L611" s="801" t="s">
        <v>1374</v>
      </c>
      <c r="M611" s="1295">
        <v>594</v>
      </c>
      <c r="N611" s="1280"/>
      <c r="O611" s="1277" t="s">
        <v>1628</v>
      </c>
      <c r="P611" s="1277"/>
      <c r="Q611" s="1277"/>
      <c r="R611" s="1280" t="s">
        <v>847</v>
      </c>
      <c r="S611" s="1277"/>
      <c r="T611" s="1280" t="str">
        <f t="shared" si="69"/>
        <v/>
      </c>
      <c r="U611" s="1277"/>
      <c r="V611" s="1277"/>
      <c r="W611" s="1277"/>
      <c r="X611" s="1277"/>
      <c r="Y611" s="1277"/>
      <c r="Z611" s="1277"/>
    </row>
    <row r="612" spans="1:26" x14ac:dyDescent="0.25">
      <c r="A612" s="819" t="s">
        <v>1390</v>
      </c>
      <c r="B612" s="801" t="str">
        <f t="shared" ca="1" si="71"/>
        <v>L61</v>
      </c>
      <c r="C612" s="801" t="str">
        <f t="shared" ca="1" si="72"/>
        <v>L62</v>
      </c>
      <c r="D612" s="801" t="s">
        <v>1343</v>
      </c>
      <c r="E612" s="801" t="s">
        <v>1508</v>
      </c>
      <c r="F612" s="1280" t="s">
        <v>1985</v>
      </c>
      <c r="G612" s="1280" t="str">
        <f>IF(T612&lt;&gt;"","H","")</f>
        <v/>
      </c>
      <c r="H612" s="1280" t="s">
        <v>1982</v>
      </c>
      <c r="I612" s="1241" t="str">
        <f t="shared" si="63"/>
        <v/>
      </c>
      <c r="J612" s="1280" t="str">
        <f t="shared" si="70"/>
        <v/>
      </c>
      <c r="K612" s="1280" t="str">
        <f t="shared" si="64"/>
        <v/>
      </c>
      <c r="L612" s="801" t="s">
        <v>1390</v>
      </c>
      <c r="M612" s="1295">
        <v>595</v>
      </c>
      <c r="N612" s="1280"/>
      <c r="O612" s="1277"/>
      <c r="P612" s="1277"/>
      <c r="Q612" s="1277"/>
      <c r="R612" s="1280" t="s">
        <v>847</v>
      </c>
      <c r="S612" s="1277"/>
      <c r="T612" s="1280" t="str">
        <f t="shared" si="69"/>
        <v/>
      </c>
      <c r="U612" s="1277"/>
      <c r="V612" s="1277"/>
      <c r="W612" s="1277"/>
      <c r="X612" s="1277"/>
      <c r="Y612" s="1277"/>
      <c r="Z612" s="1277"/>
    </row>
    <row r="613" spans="1:26" x14ac:dyDescent="0.25">
      <c r="A613" s="819" t="s">
        <v>1375</v>
      </c>
      <c r="B613" s="801" t="str">
        <f t="shared" ca="1" si="71"/>
        <v>N61</v>
      </c>
      <c r="C613" s="801" t="str">
        <f t="shared" ca="1" si="72"/>
        <v>N62</v>
      </c>
      <c r="D613" s="801" t="s">
        <v>1343</v>
      </c>
      <c r="E613" s="801" t="s">
        <v>1508</v>
      </c>
      <c r="F613" s="1280" t="s">
        <v>1375</v>
      </c>
      <c r="G613" s="1280" t="str">
        <f>IF(T613&lt;&gt;"",IF(Q611="Credit Memo","J",IF(Q611="Check","K","")),"")</f>
        <v/>
      </c>
      <c r="H613" s="1280" t="s">
        <v>1982</v>
      </c>
      <c r="I613" s="1241" t="str">
        <f t="shared" si="63"/>
        <v/>
      </c>
      <c r="J613" s="1280" t="str">
        <f t="shared" si="70"/>
        <v/>
      </c>
      <c r="K613" s="1280" t="str">
        <f t="shared" si="64"/>
        <v/>
      </c>
      <c r="L613" s="801" t="s">
        <v>1375</v>
      </c>
      <c r="M613" s="1295">
        <v>596</v>
      </c>
      <c r="N613" s="1280"/>
      <c r="O613" s="1277"/>
      <c r="P613" s="1277"/>
      <c r="Q613" s="1277"/>
      <c r="R613" s="1280" t="s">
        <v>847</v>
      </c>
      <c r="S613" s="1277"/>
      <c r="T613" s="1280" t="str">
        <f t="shared" si="69"/>
        <v/>
      </c>
      <c r="U613" s="1277"/>
      <c r="V613" s="1277"/>
      <c r="W613" s="1277"/>
      <c r="X613" s="1277"/>
      <c r="Y613" s="1277"/>
      <c r="Z613" s="1277"/>
    </row>
    <row r="614" spans="1:26" x14ac:dyDescent="0.25">
      <c r="A614" s="819" t="s">
        <v>1478</v>
      </c>
      <c r="B614" s="801" t="str">
        <f t="shared" ca="1" si="71"/>
        <v>P61</v>
      </c>
      <c r="C614" s="801" t="str">
        <f t="shared" ca="1" si="72"/>
        <v>P62</v>
      </c>
      <c r="D614" s="801" t="s">
        <v>1343</v>
      </c>
      <c r="E614" s="801" t="s">
        <v>1508</v>
      </c>
      <c r="F614" s="1280" t="s">
        <v>1986</v>
      </c>
      <c r="G614" s="1280" t="str">
        <f>IF(T614&lt;&gt;"","F","")</f>
        <v/>
      </c>
      <c r="H614" s="1280" t="s">
        <v>1982</v>
      </c>
      <c r="I614" s="1241" t="str">
        <f t="shared" si="63"/>
        <v/>
      </c>
      <c r="J614" s="1280" t="str">
        <f t="shared" si="70"/>
        <v/>
      </c>
      <c r="K614" s="1280" t="str">
        <f t="shared" si="64"/>
        <v/>
      </c>
      <c r="L614" s="801" t="s">
        <v>1478</v>
      </c>
      <c r="M614" s="1295">
        <v>597</v>
      </c>
      <c r="N614" s="1280"/>
      <c r="O614" s="1277"/>
      <c r="P614" s="1277"/>
      <c r="Q614" s="1277"/>
      <c r="R614" s="1280" t="s">
        <v>847</v>
      </c>
      <c r="S614" s="1277"/>
      <c r="T614" s="1280" t="str">
        <f t="shared" si="69"/>
        <v/>
      </c>
      <c r="U614" s="1277"/>
      <c r="V614" s="1277"/>
      <c r="W614" s="1277"/>
      <c r="X614" s="1277"/>
      <c r="Y614" s="1277"/>
      <c r="Z614" s="1277"/>
    </row>
    <row r="615" spans="1:26" x14ac:dyDescent="0.25">
      <c r="A615" s="819" t="s">
        <v>1479</v>
      </c>
      <c r="B615" s="801" t="str">
        <f t="shared" ca="1" si="71"/>
        <v>R61</v>
      </c>
      <c r="C615" s="801" t="str">
        <f t="shared" ca="1" si="72"/>
        <v>R62</v>
      </c>
      <c r="D615" s="801" t="s">
        <v>1343</v>
      </c>
      <c r="E615" s="801" t="s">
        <v>1508</v>
      </c>
      <c r="F615" s="1280" t="s">
        <v>1987</v>
      </c>
      <c r="G615" s="1280" t="str">
        <f>IF(T615&lt;&gt;"","G","")</f>
        <v/>
      </c>
      <c r="H615" s="1280" t="s">
        <v>1982</v>
      </c>
      <c r="I615" s="1241" t="str">
        <f t="shared" si="63"/>
        <v/>
      </c>
      <c r="J615" s="1280" t="str">
        <f t="shared" si="70"/>
        <v/>
      </c>
      <c r="K615" s="1280" t="str">
        <f t="shared" si="64"/>
        <v/>
      </c>
      <c r="L615" s="801" t="s">
        <v>1479</v>
      </c>
      <c r="M615" s="1295">
        <v>598</v>
      </c>
      <c r="N615" s="1280"/>
      <c r="O615" s="1277"/>
      <c r="P615" s="1277"/>
      <c r="Q615" s="1277"/>
      <c r="R615" s="1280" t="s">
        <v>847</v>
      </c>
      <c r="S615" s="1277"/>
      <c r="T615" s="1280" t="str">
        <f t="shared" si="69"/>
        <v/>
      </c>
      <c r="U615" s="1277"/>
      <c r="V615" s="1277"/>
      <c r="W615" s="1277"/>
      <c r="X615" s="1277"/>
      <c r="Y615" s="1277"/>
      <c r="Z615" s="1277"/>
    </row>
    <row r="616" spans="1:26" x14ac:dyDescent="0.25">
      <c r="A616" s="819" t="s">
        <v>1480</v>
      </c>
      <c r="B616" s="801" t="str">
        <f t="shared" ca="1" si="71"/>
        <v>T61</v>
      </c>
      <c r="C616" s="801" t="str">
        <f t="shared" ca="1" si="72"/>
        <v>T62</v>
      </c>
      <c r="D616" s="801" t="s">
        <v>1343</v>
      </c>
      <c r="E616" s="801" t="s">
        <v>1508</v>
      </c>
      <c r="F616" s="813" t="s">
        <v>1480</v>
      </c>
      <c r="G616" s="1280" t="str">
        <f>IF(T616&lt;&gt;"","AW","")</f>
        <v/>
      </c>
      <c r="H616" s="1280" t="s">
        <v>1982</v>
      </c>
      <c r="I616" s="1241" t="str">
        <f t="shared" si="63"/>
        <v/>
      </c>
      <c r="J616" s="1280" t="str">
        <f t="shared" si="70"/>
        <v/>
      </c>
      <c r="K616" s="1280" t="str">
        <f t="shared" si="64"/>
        <v/>
      </c>
      <c r="L616" s="801" t="s">
        <v>1480</v>
      </c>
      <c r="M616" s="1295">
        <v>599</v>
      </c>
      <c r="N616" s="1280"/>
      <c r="O616" s="1277"/>
      <c r="P616" s="1277"/>
      <c r="Q616" s="1277"/>
      <c r="R616" s="1280" t="s">
        <v>847</v>
      </c>
      <c r="S616" s="1277"/>
      <c r="T616" s="1280" t="str">
        <f t="shared" si="69"/>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3"/>
        <v/>
      </c>
      <c r="J617" s="1280"/>
      <c r="K617" s="1280" t="str">
        <f t="shared" si="64"/>
        <v/>
      </c>
      <c r="L617" s="801" t="s">
        <v>1378</v>
      </c>
      <c r="M617" s="1295">
        <v>600</v>
      </c>
      <c r="N617" s="1280"/>
      <c r="O617" s="1277"/>
      <c r="P617" s="1277"/>
      <c r="Q617" s="1277"/>
      <c r="R617" s="1280" t="s">
        <v>847</v>
      </c>
      <c r="S617" s="1277"/>
      <c r="T617" s="1280" t="str">
        <f t="shared" si="69"/>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3"/>
        <v/>
      </c>
      <c r="J618" s="1280"/>
      <c r="K618" s="1280" t="str">
        <f t="shared" si="64"/>
        <v/>
      </c>
      <c r="L618" s="801" t="s">
        <v>1379</v>
      </c>
      <c r="M618" s="1295">
        <v>601</v>
      </c>
      <c r="N618" s="1280"/>
      <c r="O618" s="1277"/>
      <c r="P618" s="1277"/>
      <c r="Q618" s="1277"/>
      <c r="R618" s="1280" t="s">
        <v>847</v>
      </c>
      <c r="S618" s="1277"/>
      <c r="T618" s="1280" t="str">
        <f t="shared" si="69"/>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3"/>
        <v/>
      </c>
      <c r="J619" s="1280" t="str">
        <f t="shared" si="70"/>
        <v/>
      </c>
      <c r="K619" s="1280" t="str">
        <f t="shared" si="64"/>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69"/>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3"/>
        <v/>
      </c>
      <c r="J620" s="1280" t="str">
        <f t="shared" si="70"/>
        <v/>
      </c>
      <c r="K620" s="1280" t="str">
        <f t="shared" si="64"/>
        <v/>
      </c>
      <c r="L620" s="801" t="s">
        <v>1484</v>
      </c>
      <c r="M620" s="1295">
        <v>603</v>
      </c>
      <c r="N620" s="1280"/>
      <c r="O620" s="1277"/>
      <c r="P620" s="1277"/>
      <c r="Q620" s="1277"/>
      <c r="R620" s="1280" t="s">
        <v>847</v>
      </c>
      <c r="S620" s="1277"/>
      <c r="T620" s="1280" t="str">
        <f t="shared" si="69"/>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3"/>
        <v/>
      </c>
      <c r="J621" s="1280" t="str">
        <f t="shared" si="70"/>
        <v/>
      </c>
      <c r="K621" s="1280" t="str">
        <f t="shared" si="64"/>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3"/>
        <v/>
      </c>
      <c r="J622" s="1280" t="str">
        <f t="shared" si="70"/>
        <v/>
      </c>
      <c r="K622" s="1280" t="str">
        <f t="shared" si="64"/>
        <v/>
      </c>
      <c r="L622" s="801" t="s">
        <v>1380</v>
      </c>
      <c r="M622" s="1295">
        <v>605</v>
      </c>
      <c r="N622" s="1280"/>
      <c r="O622" s="1277"/>
      <c r="P622" s="1277"/>
      <c r="Q622" s="1277"/>
      <c r="R622" s="1280" t="s">
        <v>847</v>
      </c>
      <c r="S622" s="1277"/>
      <c r="T622" s="1280" t="str">
        <f t="shared" ref="T622:T637" si="73">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4">_xlfn.IFNA(SUBSTITUTE(ADDRESS(1,MATCH(A623,INDIRECT("'"&amp;E623&amp;"'"&amp;"!A" &amp; O$608+5 &amp; ":Z" &amp; O$608+5),0),4),1,""),"")</f>
        <v>J</v>
      </c>
      <c r="D623" s="801" t="s">
        <v>1350</v>
      </c>
      <c r="E623" s="801" t="s">
        <v>1508</v>
      </c>
      <c r="F623" s="813"/>
      <c r="G623" s="1280"/>
      <c r="H623" s="1280"/>
      <c r="I623" s="1241" t="str">
        <f t="shared" si="63"/>
        <v/>
      </c>
      <c r="J623" s="1280"/>
      <c r="K623" s="1280" t="str">
        <f t="shared" si="64"/>
        <v/>
      </c>
      <c r="L623" s="801" t="s">
        <v>1381</v>
      </c>
      <c r="M623" s="1295">
        <v>606</v>
      </c>
      <c r="N623" s="1280"/>
      <c r="O623" s="1277"/>
      <c r="P623" s="1277"/>
      <c r="Q623" s="1277"/>
      <c r="R623" s="1280" t="s">
        <v>847</v>
      </c>
      <c r="S623" s="1277"/>
      <c r="T623" s="1280" t="str">
        <f t="shared" si="73"/>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4"/>
        <v>L</v>
      </c>
      <c r="D624" s="801" t="s">
        <v>1350</v>
      </c>
      <c r="E624" s="801" t="s">
        <v>1508</v>
      </c>
      <c r="F624" s="1052"/>
      <c r="G624" s="1280"/>
      <c r="H624" s="1280"/>
      <c r="I624" s="1241" t="str">
        <f t="shared" si="63"/>
        <v/>
      </c>
      <c r="J624" s="1280"/>
      <c r="K624" s="1280" t="str">
        <f t="shared" si="64"/>
        <v/>
      </c>
      <c r="L624" s="801" t="s">
        <v>1382</v>
      </c>
      <c r="M624" s="1295">
        <v>607</v>
      </c>
      <c r="N624" s="1280"/>
      <c r="O624" s="1277"/>
      <c r="P624" s="1277"/>
      <c r="Q624" s="1277"/>
      <c r="R624" s="1280" t="s">
        <v>847</v>
      </c>
      <c r="S624" s="1277"/>
      <c r="T624" s="1280" t="str">
        <f t="shared" si="73"/>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4"/>
        <v>H</v>
      </c>
      <c r="D625" s="801" t="s">
        <v>1350</v>
      </c>
      <c r="E625" s="801" t="s">
        <v>1508</v>
      </c>
      <c r="F625" s="1280"/>
      <c r="G625" s="1280"/>
      <c r="H625" s="1280"/>
      <c r="I625" s="1241" t="str">
        <f t="shared" si="63"/>
        <v/>
      </c>
      <c r="J625" s="1280" t="str">
        <f t="shared" si="70"/>
        <v/>
      </c>
      <c r="K625" s="1280" t="str">
        <f t="shared" si="64"/>
        <v/>
      </c>
      <c r="L625" s="801" t="s">
        <v>1380</v>
      </c>
      <c r="M625" s="1295">
        <v>608</v>
      </c>
      <c r="N625" s="1280"/>
      <c r="O625" s="1277"/>
      <c r="P625" s="1277"/>
      <c r="Q625" s="1277"/>
      <c r="R625" s="1280" t="s">
        <v>847</v>
      </c>
      <c r="S625" s="1277"/>
      <c r="T625" s="1280" t="str">
        <f t="shared" si="73"/>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4"/>
        <v>J</v>
      </c>
      <c r="D626" s="801" t="s">
        <v>1350</v>
      </c>
      <c r="E626" s="801" t="s">
        <v>1508</v>
      </c>
      <c r="F626" s="1280"/>
      <c r="G626" s="1280"/>
      <c r="H626" s="1280"/>
      <c r="I626" s="1241" t="str">
        <f t="shared" si="63"/>
        <v/>
      </c>
      <c r="J626" s="1280"/>
      <c r="K626" s="1280" t="str">
        <f t="shared" si="64"/>
        <v/>
      </c>
      <c r="L626" s="801" t="s">
        <v>1381</v>
      </c>
      <c r="M626" s="1295">
        <v>609</v>
      </c>
      <c r="N626" s="1280"/>
      <c r="O626" s="1277"/>
      <c r="P626" s="1277"/>
      <c r="Q626" s="1277"/>
      <c r="R626" s="1280" t="s">
        <v>847</v>
      </c>
      <c r="S626" s="1277"/>
      <c r="T626" s="1280" t="str">
        <f t="shared" si="73"/>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4"/>
        <v>L</v>
      </c>
      <c r="D627" s="801" t="s">
        <v>1350</v>
      </c>
      <c r="E627" s="801" t="s">
        <v>1508</v>
      </c>
      <c r="F627" s="1280"/>
      <c r="G627" s="1280"/>
      <c r="H627" s="1280"/>
      <c r="I627" s="1241" t="str">
        <f t="shared" si="63"/>
        <v/>
      </c>
      <c r="J627" s="1280"/>
      <c r="K627" s="1280" t="str">
        <f t="shared" si="64"/>
        <v/>
      </c>
      <c r="L627" s="801" t="s">
        <v>1382</v>
      </c>
      <c r="M627" s="1295">
        <v>610</v>
      </c>
      <c r="N627" s="1280"/>
      <c r="O627" s="1277"/>
      <c r="P627" s="1277"/>
      <c r="Q627" s="1277"/>
      <c r="R627" s="1280" t="s">
        <v>847</v>
      </c>
      <c r="S627" s="1277"/>
      <c r="T627" s="1280" t="str">
        <f t="shared" si="73"/>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4"/>
        <v>H</v>
      </c>
      <c r="D628" s="801" t="s">
        <v>1350</v>
      </c>
      <c r="E628" s="801" t="s">
        <v>1508</v>
      </c>
      <c r="F628" s="1280"/>
      <c r="G628" s="1280"/>
      <c r="H628" s="1280"/>
      <c r="I628" s="1241" t="str">
        <f t="shared" si="63"/>
        <v/>
      </c>
      <c r="J628" s="1280" t="str">
        <f t="shared" si="70"/>
        <v/>
      </c>
      <c r="K628" s="1280" t="str">
        <f t="shared" si="64"/>
        <v/>
      </c>
      <c r="L628" s="801" t="s">
        <v>1380</v>
      </c>
      <c r="M628" s="1295">
        <v>611</v>
      </c>
      <c r="N628" s="1280"/>
      <c r="O628" s="1277"/>
      <c r="P628" s="1277"/>
      <c r="Q628" s="1277"/>
      <c r="R628" s="1280" t="s">
        <v>847</v>
      </c>
      <c r="S628" s="1277"/>
      <c r="T628" s="1280" t="str">
        <f t="shared" si="73"/>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4"/>
        <v>J</v>
      </c>
      <c r="D629" s="801" t="s">
        <v>1350</v>
      </c>
      <c r="E629" s="801" t="s">
        <v>1508</v>
      </c>
      <c r="F629" s="1280"/>
      <c r="G629" s="1280"/>
      <c r="H629" s="1280"/>
      <c r="I629" s="1241" t="str">
        <f t="shared" si="63"/>
        <v/>
      </c>
      <c r="J629" s="1280"/>
      <c r="K629" s="1280" t="str">
        <f t="shared" si="64"/>
        <v/>
      </c>
      <c r="L629" s="801" t="s">
        <v>1381</v>
      </c>
      <c r="M629" s="1295">
        <v>612</v>
      </c>
      <c r="N629" s="1280"/>
      <c r="O629" s="1277"/>
      <c r="P629" s="1277"/>
      <c r="Q629" s="1277"/>
      <c r="R629" s="1280" t="s">
        <v>847</v>
      </c>
      <c r="S629" s="1277"/>
      <c r="T629" s="1280" t="str">
        <f t="shared" si="73"/>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4"/>
        <v>L</v>
      </c>
      <c r="D630" s="801" t="s">
        <v>1350</v>
      </c>
      <c r="E630" s="801" t="s">
        <v>1508</v>
      </c>
      <c r="F630" s="1280"/>
      <c r="G630" s="1280"/>
      <c r="H630" s="1280"/>
      <c r="I630" s="1241" t="str">
        <f t="shared" si="63"/>
        <v/>
      </c>
      <c r="J630" s="1280"/>
      <c r="K630" s="1280" t="str">
        <f t="shared" si="64"/>
        <v/>
      </c>
      <c r="L630" s="801" t="s">
        <v>1382</v>
      </c>
      <c r="M630" s="1295">
        <v>613</v>
      </c>
      <c r="N630" s="1280"/>
      <c r="O630" s="1277"/>
      <c r="P630" s="1277"/>
      <c r="Q630" s="1277"/>
      <c r="R630" s="1280" t="s">
        <v>847</v>
      </c>
      <c r="S630" s="1277"/>
      <c r="T630" s="1280" t="str">
        <f t="shared" si="73"/>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4"/>
        <v>H</v>
      </c>
      <c r="D631" s="801" t="s">
        <v>1350</v>
      </c>
      <c r="E631" s="801" t="s">
        <v>1508</v>
      </c>
      <c r="F631" s="1280"/>
      <c r="G631" s="1280"/>
      <c r="H631" s="1280"/>
      <c r="I631" s="1241" t="str">
        <f t="shared" si="63"/>
        <v/>
      </c>
      <c r="J631" s="1280" t="str">
        <f t="shared" si="70"/>
        <v/>
      </c>
      <c r="K631" s="1280" t="str">
        <f t="shared" si="64"/>
        <v/>
      </c>
      <c r="L631" s="801" t="s">
        <v>1380</v>
      </c>
      <c r="M631" s="1295">
        <v>614</v>
      </c>
      <c r="N631" s="1280"/>
      <c r="O631" s="1277"/>
      <c r="P631" s="1277"/>
      <c r="Q631" s="1277"/>
      <c r="R631" s="1280" t="s">
        <v>847</v>
      </c>
      <c r="S631" s="1277"/>
      <c r="T631" s="1280" t="str">
        <f t="shared" si="73"/>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4"/>
        <v>J</v>
      </c>
      <c r="D632" s="801" t="s">
        <v>1350</v>
      </c>
      <c r="E632" s="801" t="s">
        <v>1508</v>
      </c>
      <c r="F632" s="1280"/>
      <c r="G632" s="1280"/>
      <c r="H632" s="1280"/>
      <c r="I632" s="1241" t="str">
        <f t="shared" si="63"/>
        <v/>
      </c>
      <c r="J632" s="1280"/>
      <c r="K632" s="1280" t="str">
        <f t="shared" si="64"/>
        <v/>
      </c>
      <c r="L632" s="801" t="s">
        <v>1381</v>
      </c>
      <c r="M632" s="1295">
        <v>615</v>
      </c>
      <c r="N632" s="1280"/>
      <c r="O632" s="1277"/>
      <c r="P632" s="1277"/>
      <c r="Q632" s="1277"/>
      <c r="R632" s="1280" t="s">
        <v>847</v>
      </c>
      <c r="S632" s="1277"/>
      <c r="T632" s="1280" t="str">
        <f t="shared" si="73"/>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4"/>
        <v>L</v>
      </c>
      <c r="D633" s="801" t="s">
        <v>1350</v>
      </c>
      <c r="E633" s="801" t="s">
        <v>1508</v>
      </c>
      <c r="F633" s="1280"/>
      <c r="G633" s="1280"/>
      <c r="H633" s="1280"/>
      <c r="I633" s="1241" t="str">
        <f t="shared" si="63"/>
        <v/>
      </c>
      <c r="J633" s="1280"/>
      <c r="K633" s="1280" t="str">
        <f t="shared" si="64"/>
        <v/>
      </c>
      <c r="L633" s="801" t="s">
        <v>1382</v>
      </c>
      <c r="M633" s="1295">
        <v>616</v>
      </c>
      <c r="N633" s="1280"/>
      <c r="O633" s="1277"/>
      <c r="P633" s="1277"/>
      <c r="Q633" s="1277"/>
      <c r="R633" s="1280" t="s">
        <v>847</v>
      </c>
      <c r="S633" s="1277"/>
      <c r="T633" s="1280" t="str">
        <f t="shared" si="73"/>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4"/>
        <v>H</v>
      </c>
      <c r="D634" s="801" t="s">
        <v>1350</v>
      </c>
      <c r="E634" s="801" t="s">
        <v>1508</v>
      </c>
      <c r="F634" s="1280"/>
      <c r="G634" s="1280"/>
      <c r="H634" s="1280"/>
      <c r="I634" s="1241" t="str">
        <f t="shared" si="63"/>
        <v/>
      </c>
      <c r="J634" s="1280" t="str">
        <f t="shared" si="70"/>
        <v/>
      </c>
      <c r="K634" s="1280" t="str">
        <f t="shared" si="64"/>
        <v/>
      </c>
      <c r="L634" s="801" t="s">
        <v>1380</v>
      </c>
      <c r="M634" s="1295">
        <v>617</v>
      </c>
      <c r="N634" s="1280"/>
      <c r="O634" s="1277"/>
      <c r="P634" s="1277"/>
      <c r="Q634" s="1277"/>
      <c r="R634" s="1280" t="s">
        <v>847</v>
      </c>
      <c r="S634" s="1277"/>
      <c r="T634" s="1280" t="str">
        <f t="shared" si="73"/>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4"/>
        <v>J</v>
      </c>
      <c r="D635" s="801" t="s">
        <v>1350</v>
      </c>
      <c r="E635" s="801" t="s">
        <v>1508</v>
      </c>
      <c r="F635" s="1280"/>
      <c r="G635" s="1280"/>
      <c r="H635" s="1280"/>
      <c r="I635" s="1241" t="str">
        <f t="shared" si="63"/>
        <v/>
      </c>
      <c r="J635" s="1280"/>
      <c r="K635" s="1280" t="str">
        <f t="shared" si="64"/>
        <v/>
      </c>
      <c r="L635" s="801" t="s">
        <v>1381</v>
      </c>
      <c r="M635" s="1295">
        <v>618</v>
      </c>
      <c r="N635" s="1280"/>
      <c r="O635" s="1277"/>
      <c r="P635" s="1277"/>
      <c r="Q635" s="1277"/>
      <c r="R635" s="1280" t="s">
        <v>847</v>
      </c>
      <c r="S635" s="1277"/>
      <c r="T635" s="1280" t="str">
        <f t="shared" si="73"/>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4"/>
        <v>L</v>
      </c>
      <c r="D636" s="801" t="s">
        <v>1350</v>
      </c>
      <c r="E636" s="801" t="s">
        <v>1508</v>
      </c>
      <c r="F636" s="1280"/>
      <c r="G636" s="1280"/>
      <c r="H636" s="1280"/>
      <c r="I636" s="1241" t="str">
        <f t="shared" si="63"/>
        <v/>
      </c>
      <c r="J636" s="1280"/>
      <c r="K636" s="1280" t="str">
        <f t="shared" si="64"/>
        <v/>
      </c>
      <c r="L636" s="801" t="s">
        <v>1382</v>
      </c>
      <c r="M636" s="1295">
        <v>619</v>
      </c>
      <c r="N636" s="1280"/>
      <c r="O636" s="1277"/>
      <c r="P636" s="1277"/>
      <c r="Q636" s="1277"/>
      <c r="R636" s="1280" t="s">
        <v>847</v>
      </c>
      <c r="S636" s="1277"/>
      <c r="T636" s="1280" t="str">
        <f t="shared" si="73"/>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3"/>
        <v/>
      </c>
      <c r="J637" s="1280" t="str">
        <f t="shared" si="70"/>
        <v/>
      </c>
      <c r="K637" s="1280" t="str">
        <f t="shared" si="64"/>
        <v/>
      </c>
      <c r="L637" s="801" t="s">
        <v>1500</v>
      </c>
      <c r="M637" s="1295">
        <v>620</v>
      </c>
      <c r="N637" s="1280"/>
      <c r="O637" s="1277"/>
      <c r="P637" s="1277"/>
      <c r="Q637" s="1277"/>
      <c r="R637" s="571" t="s">
        <v>847</v>
      </c>
      <c r="S637" s="1277"/>
      <c r="T637" s="1280" t="str">
        <f t="shared" si="73"/>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3"/>
        <v/>
      </c>
      <c r="J638" s="1280"/>
      <c r="K638" s="1280" t="str">
        <f t="shared" si="64"/>
        <v/>
      </c>
      <c r="L638" s="801" t="s">
        <v>1483</v>
      </c>
      <c r="M638" s="1295">
        <v>621</v>
      </c>
      <c r="N638" s="1280"/>
      <c r="O638" s="1277" t="s">
        <v>725</v>
      </c>
      <c r="P638" s="1277"/>
      <c r="Q638" s="1277"/>
      <c r="R638" s="1280" t="s">
        <v>847</v>
      </c>
      <c r="S638" s="1277"/>
      <c r="T638" s="1280" t="str">
        <f t="shared" ref="T638:T651" si="75">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3"/>
        <v/>
      </c>
      <c r="J639" s="1280" t="str">
        <f t="shared" ref="J639:J668" si="76">IF(M639&lt;&gt;"",IF($Q$639="Yes",Q$1&amp;M639,""))</f>
        <v/>
      </c>
      <c r="K639" s="1280" t="str">
        <f t="shared" si="64"/>
        <v/>
      </c>
      <c r="L639" s="801" t="s">
        <v>1697</v>
      </c>
      <c r="M639" s="1295">
        <v>622</v>
      </c>
      <c r="N639" s="1280"/>
      <c r="O639" s="1277">
        <f>'Configurable Tab'!H8</f>
        <v>75</v>
      </c>
      <c r="P639" s="1372" t="str">
        <f>'Configurable Tab'!J8</f>
        <v>Yes</v>
      </c>
      <c r="Q639" s="1317" t="s">
        <v>648</v>
      </c>
      <c r="R639" s="571" t="s">
        <v>847</v>
      </c>
      <c r="S639" s="1277"/>
      <c r="T639" s="1280" t="str">
        <f t="shared" si="75"/>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3"/>
        <v/>
      </c>
      <c r="J640" s="1280"/>
      <c r="K640" s="1280" t="str">
        <f t="shared" si="64"/>
        <v/>
      </c>
      <c r="L640" s="801" t="s">
        <v>1376</v>
      </c>
      <c r="M640" s="1295">
        <v>623</v>
      </c>
      <c r="N640" s="1280"/>
      <c r="O640" s="1277" t="s">
        <v>726</v>
      </c>
      <c r="P640" s="1277"/>
      <c r="Q640" s="1277"/>
      <c r="R640" s="1280" t="s">
        <v>847</v>
      </c>
      <c r="S640" s="1277"/>
      <c r="T640" s="1280" t="str">
        <f t="shared" si="75"/>
        <v/>
      </c>
      <c r="U640" s="1277"/>
      <c r="V640" s="1277"/>
      <c r="W640" s="1277"/>
      <c r="X640" s="1277"/>
      <c r="Y640" s="1277"/>
      <c r="Z640" s="1277"/>
    </row>
    <row r="641" spans="1:26" x14ac:dyDescent="0.25">
      <c r="A641" s="822" t="s">
        <v>1373</v>
      </c>
      <c r="B641" s="801" t="str">
        <f t="shared" ref="B641:B647" ca="1" si="77">_xlfn.CONCAT(IFERROR(SUBSTITUTE(ADDRESS(1,MATCH(A641,INDIRECT("'"&amp;E641&amp;"'"&amp;"!A" &amp; $O$639 + 2 &amp; ":Z" &amp; $O$639 + 2),0),4),1,""),""),$O$639 + 2)</f>
        <v>H77</v>
      </c>
      <c r="C641" s="801" t="str">
        <f t="shared" ref="C641:C647" ca="1" si="78">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3"/>
        <v/>
      </c>
      <c r="J641" s="1280" t="str">
        <f t="shared" si="76"/>
        <v/>
      </c>
      <c r="K641" s="1280" t="str">
        <f t="shared" si="64"/>
        <v/>
      </c>
      <c r="L641" s="801" t="s">
        <v>1373</v>
      </c>
      <c r="M641" s="1295">
        <v>624</v>
      </c>
      <c r="N641" s="1280"/>
      <c r="O641" s="1277">
        <f>'Configurable Tab'!I8</f>
        <v>90</v>
      </c>
      <c r="P641" s="1277"/>
      <c r="Q641" s="1277"/>
      <c r="R641" s="571" t="s">
        <v>847</v>
      </c>
      <c r="S641" s="1277"/>
      <c r="T641" s="1280" t="str">
        <f t="shared" si="75"/>
        <v/>
      </c>
      <c r="U641" s="1277"/>
      <c r="V641" s="1277"/>
      <c r="W641" s="1277"/>
      <c r="X641" s="1277"/>
      <c r="Y641" s="1277"/>
      <c r="Z641" s="1277"/>
    </row>
    <row r="642" spans="1:26" x14ac:dyDescent="0.25">
      <c r="A642" s="822" t="s">
        <v>1374</v>
      </c>
      <c r="B642" s="801" t="str">
        <f t="shared" ca="1" si="77"/>
        <v>J77</v>
      </c>
      <c r="C642" s="801" t="str">
        <f t="shared" ca="1" si="78"/>
        <v>J78</v>
      </c>
      <c r="D642" s="801" t="s">
        <v>1343</v>
      </c>
      <c r="E642" s="801" t="s">
        <v>1508</v>
      </c>
      <c r="F642" s="1280" t="s">
        <v>1984</v>
      </c>
      <c r="G642" s="1280" t="str">
        <f>IF(T642&lt;&gt;"","I","")</f>
        <v/>
      </c>
      <c r="H642" s="1280" t="s">
        <v>1982</v>
      </c>
      <c r="I642" s="1241" t="str">
        <f t="shared" si="63"/>
        <v/>
      </c>
      <c r="J642" s="1280" t="str">
        <f t="shared" si="76"/>
        <v/>
      </c>
      <c r="K642" s="1280" t="str">
        <f t="shared" si="64"/>
        <v/>
      </c>
      <c r="L642" s="801" t="s">
        <v>1374</v>
      </c>
      <c r="M642" s="1295">
        <v>625</v>
      </c>
      <c r="N642" s="1280"/>
      <c r="O642" s="1277" t="s">
        <v>1629</v>
      </c>
      <c r="P642" s="1277"/>
      <c r="Q642" s="1277"/>
      <c r="R642" s="571" t="s">
        <v>847</v>
      </c>
      <c r="S642" s="1277"/>
      <c r="T642" s="1280" t="str">
        <f t="shared" si="75"/>
        <v/>
      </c>
      <c r="U642" s="1277"/>
      <c r="V642" s="1277"/>
      <c r="W642" s="1277"/>
      <c r="X642" s="1277"/>
      <c r="Y642" s="1277"/>
      <c r="Z642" s="1277"/>
    </row>
    <row r="643" spans="1:26" x14ac:dyDescent="0.25">
      <c r="A643" s="822" t="s">
        <v>1390</v>
      </c>
      <c r="B643" s="801" t="str">
        <f t="shared" ca="1" si="77"/>
        <v>L77</v>
      </c>
      <c r="C643" s="801" t="str">
        <f t="shared" ca="1" si="78"/>
        <v>L78</v>
      </c>
      <c r="D643" s="801" t="s">
        <v>1343</v>
      </c>
      <c r="E643" s="801" t="s">
        <v>1508</v>
      </c>
      <c r="F643" s="1280" t="s">
        <v>1985</v>
      </c>
      <c r="G643" s="1280" t="str">
        <f>IF(T643&lt;&gt;"","H","")</f>
        <v/>
      </c>
      <c r="H643" s="1280" t="s">
        <v>1982</v>
      </c>
      <c r="I643" s="1241" t="str">
        <f t="shared" si="63"/>
        <v/>
      </c>
      <c r="J643" s="1280" t="str">
        <f t="shared" si="76"/>
        <v/>
      </c>
      <c r="K643" s="1280" t="str">
        <f t="shared" si="64"/>
        <v/>
      </c>
      <c r="L643" s="801" t="s">
        <v>1390</v>
      </c>
      <c r="M643" s="1295">
        <v>626</v>
      </c>
      <c r="N643" s="1280"/>
      <c r="O643" s="1277"/>
      <c r="P643" s="1277"/>
      <c r="Q643" s="1277"/>
      <c r="R643" s="571" t="s">
        <v>847</v>
      </c>
      <c r="S643" s="1277"/>
      <c r="T643" s="1280" t="str">
        <f t="shared" si="75"/>
        <v/>
      </c>
      <c r="U643" s="1277"/>
      <c r="V643" s="1277"/>
      <c r="W643" s="1277"/>
      <c r="X643" s="1277"/>
      <c r="Y643" s="1277"/>
      <c r="Z643" s="1277"/>
    </row>
    <row r="644" spans="1:26" x14ac:dyDescent="0.25">
      <c r="A644" s="822" t="s">
        <v>1375</v>
      </c>
      <c r="B644" s="801" t="str">
        <f t="shared" ca="1" si="77"/>
        <v>N77</v>
      </c>
      <c r="C644" s="801" t="str">
        <f t="shared" ca="1" si="78"/>
        <v>N78</v>
      </c>
      <c r="D644" s="801" t="s">
        <v>1343</v>
      </c>
      <c r="E644" s="801" t="s">
        <v>1508</v>
      </c>
      <c r="F644" s="1280" t="s">
        <v>1375</v>
      </c>
      <c r="G644" s="1280" t="str">
        <f>IF(T644&lt;&gt;"",IF(Q642="Credit Memo","J",IF(Q642="Check","K","")),"")</f>
        <v/>
      </c>
      <c r="H644" s="1280" t="s">
        <v>1982</v>
      </c>
      <c r="I644" s="1241" t="str">
        <f t="shared" ref="I644:I707" si="79">IF(J644&lt;&gt;"",A644,"")</f>
        <v/>
      </c>
      <c r="J644" s="1280" t="str">
        <f t="shared" si="76"/>
        <v/>
      </c>
      <c r="K644" s="1280" t="str">
        <f t="shared" ref="K644:K707" si="80">IF(J644&lt;&gt;"",E644,"")</f>
        <v/>
      </c>
      <c r="L644" s="801" t="s">
        <v>1375</v>
      </c>
      <c r="M644" s="1295">
        <v>627</v>
      </c>
      <c r="N644" s="1280"/>
      <c r="O644" s="1277"/>
      <c r="P644" s="1277"/>
      <c r="Q644" s="1277"/>
      <c r="R644" s="571" t="s">
        <v>847</v>
      </c>
      <c r="S644" s="1277"/>
      <c r="T644" s="1280" t="str">
        <f t="shared" si="75"/>
        <v/>
      </c>
      <c r="U644" s="1277"/>
      <c r="V644" s="1277"/>
      <c r="W644" s="1277"/>
      <c r="X644" s="1277"/>
      <c r="Y644" s="1277"/>
      <c r="Z644" s="1277"/>
    </row>
    <row r="645" spans="1:26" x14ac:dyDescent="0.25">
      <c r="A645" s="822" t="s">
        <v>1478</v>
      </c>
      <c r="B645" s="801" t="str">
        <f t="shared" ca="1" si="77"/>
        <v>P77</v>
      </c>
      <c r="C645" s="801" t="str">
        <f t="shared" ca="1" si="78"/>
        <v>P78</v>
      </c>
      <c r="D645" s="801" t="s">
        <v>1343</v>
      </c>
      <c r="E645" s="801" t="s">
        <v>1508</v>
      </c>
      <c r="F645" s="1280" t="s">
        <v>1986</v>
      </c>
      <c r="G645" s="1280" t="str">
        <f>IF(T645&lt;&gt;"","F","")</f>
        <v/>
      </c>
      <c r="H645" s="1280" t="s">
        <v>1982</v>
      </c>
      <c r="I645" s="1241" t="str">
        <f t="shared" si="79"/>
        <v/>
      </c>
      <c r="J645" s="1280" t="str">
        <f t="shared" si="76"/>
        <v/>
      </c>
      <c r="K645" s="1280" t="str">
        <f t="shared" si="80"/>
        <v/>
      </c>
      <c r="L645" s="801" t="s">
        <v>1478</v>
      </c>
      <c r="M645" s="1295">
        <v>628</v>
      </c>
      <c r="N645" s="1280"/>
      <c r="O645" s="1277"/>
      <c r="P645" s="1277"/>
      <c r="Q645" s="1277"/>
      <c r="R645" s="571" t="s">
        <v>847</v>
      </c>
      <c r="S645" s="1277"/>
      <c r="T645" s="1280" t="str">
        <f t="shared" si="75"/>
        <v/>
      </c>
      <c r="U645" s="1277"/>
      <c r="V645" s="1277"/>
      <c r="W645" s="1277"/>
      <c r="X645" s="1277"/>
      <c r="Y645" s="1277"/>
      <c r="Z645" s="1277"/>
    </row>
    <row r="646" spans="1:26" x14ac:dyDescent="0.25">
      <c r="A646" s="822" t="s">
        <v>1479</v>
      </c>
      <c r="B646" s="801" t="str">
        <f t="shared" ca="1" si="77"/>
        <v>R77</v>
      </c>
      <c r="C646" s="801" t="str">
        <f t="shared" ca="1" si="78"/>
        <v>R78</v>
      </c>
      <c r="D646" s="801" t="s">
        <v>1343</v>
      </c>
      <c r="E646" s="801" t="s">
        <v>1508</v>
      </c>
      <c r="F646" s="1280" t="s">
        <v>1987</v>
      </c>
      <c r="G646" s="1280" t="str">
        <f>IF(T646&lt;&gt;"","G","")</f>
        <v/>
      </c>
      <c r="H646" s="1280" t="s">
        <v>1982</v>
      </c>
      <c r="I646" s="1241" t="str">
        <f t="shared" si="79"/>
        <v/>
      </c>
      <c r="J646" s="1280" t="str">
        <f t="shared" si="76"/>
        <v/>
      </c>
      <c r="K646" s="1280" t="str">
        <f t="shared" si="80"/>
        <v/>
      </c>
      <c r="L646" s="801" t="s">
        <v>1479</v>
      </c>
      <c r="M646" s="1295">
        <v>629</v>
      </c>
      <c r="N646" s="1280"/>
      <c r="O646" s="1277"/>
      <c r="P646" s="1277"/>
      <c r="Q646" s="1277"/>
      <c r="R646" s="571" t="s">
        <v>847</v>
      </c>
      <c r="S646" s="1277"/>
      <c r="T646" s="1280" t="str">
        <f t="shared" si="75"/>
        <v/>
      </c>
      <c r="U646" s="1277"/>
      <c r="V646" s="1277"/>
      <c r="W646" s="1277"/>
      <c r="X646" s="1277"/>
      <c r="Y646" s="1277"/>
      <c r="Z646" s="1277"/>
    </row>
    <row r="647" spans="1:26" x14ac:dyDescent="0.25">
      <c r="A647" s="822" t="s">
        <v>1480</v>
      </c>
      <c r="B647" s="801" t="str">
        <f t="shared" ca="1" si="77"/>
        <v>T77</v>
      </c>
      <c r="C647" s="801" t="str">
        <f t="shared" ca="1" si="78"/>
        <v>T78</v>
      </c>
      <c r="D647" s="801" t="s">
        <v>1343</v>
      </c>
      <c r="E647" s="801" t="s">
        <v>1508</v>
      </c>
      <c r="F647" s="813" t="s">
        <v>1480</v>
      </c>
      <c r="G647" s="1280" t="str">
        <f>IF(T647&lt;&gt;"","AW","")</f>
        <v/>
      </c>
      <c r="H647" s="1280" t="s">
        <v>1982</v>
      </c>
      <c r="I647" s="1241" t="str">
        <f t="shared" si="79"/>
        <v/>
      </c>
      <c r="J647" s="1280" t="str">
        <f t="shared" si="76"/>
        <v/>
      </c>
      <c r="K647" s="1280" t="str">
        <f t="shared" si="80"/>
        <v/>
      </c>
      <c r="L647" s="801" t="s">
        <v>1480</v>
      </c>
      <c r="M647" s="1295">
        <v>630</v>
      </c>
      <c r="N647" s="1280"/>
      <c r="O647" s="1277"/>
      <c r="P647" s="1277"/>
      <c r="Q647" s="1277"/>
      <c r="R647" s="571" t="s">
        <v>847</v>
      </c>
      <c r="S647" s="1277"/>
      <c r="T647" s="1280" t="str">
        <f t="shared" si="75"/>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79"/>
        <v/>
      </c>
      <c r="J648" s="1280"/>
      <c r="K648" s="1280" t="str">
        <f t="shared" si="80"/>
        <v/>
      </c>
      <c r="L648" s="801" t="s">
        <v>1378</v>
      </c>
      <c r="M648" s="1295">
        <v>631</v>
      </c>
      <c r="N648" s="1280"/>
      <c r="O648" s="1277"/>
      <c r="P648" s="1277"/>
      <c r="Q648" s="1277"/>
      <c r="R648" s="571" t="s">
        <v>847</v>
      </c>
      <c r="S648" s="1277"/>
      <c r="T648" s="1280" t="str">
        <f t="shared" si="75"/>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79"/>
        <v/>
      </c>
      <c r="J649" s="1280"/>
      <c r="K649" s="1280" t="str">
        <f t="shared" si="80"/>
        <v/>
      </c>
      <c r="L649" s="801" t="s">
        <v>1379</v>
      </c>
      <c r="M649" s="1295">
        <v>632</v>
      </c>
      <c r="N649" s="1280"/>
      <c r="O649" s="1277"/>
      <c r="P649" s="1277"/>
      <c r="Q649" s="1277"/>
      <c r="R649" s="571" t="s">
        <v>847</v>
      </c>
      <c r="S649" s="1277"/>
      <c r="T649" s="1280" t="str">
        <f t="shared" si="75"/>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79"/>
        <v/>
      </c>
      <c r="J650" s="1280" t="str">
        <f t="shared" si="76"/>
        <v/>
      </c>
      <c r="K650" s="1280" t="str">
        <f t="shared" si="80"/>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75"/>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79"/>
        <v/>
      </c>
      <c r="J651" s="1280" t="str">
        <f t="shared" si="76"/>
        <v/>
      </c>
      <c r="K651" s="1280" t="str">
        <f t="shared" si="80"/>
        <v/>
      </c>
      <c r="L651" s="801" t="s">
        <v>1484</v>
      </c>
      <c r="M651" s="1295">
        <v>634</v>
      </c>
      <c r="N651" s="1280"/>
      <c r="O651" s="1277"/>
      <c r="P651" s="1277"/>
      <c r="Q651" s="1277"/>
      <c r="R651" s="571" t="s">
        <v>847</v>
      </c>
      <c r="S651" s="1277"/>
      <c r="T651" s="1280" t="str">
        <f t="shared" si="75"/>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79"/>
        <v/>
      </c>
      <c r="J652" s="1280" t="str">
        <f t="shared" si="76"/>
        <v/>
      </c>
      <c r="K652" s="1280" t="str">
        <f t="shared" si="80"/>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1">_xlfn.IFNA(SUBSTITUTE(ADDRESS(1,MATCH(A653,INDIRECT("'"&amp;E653&amp;"'"&amp;"!A" &amp; $O$639 + 5 &amp; ":Z" &amp; $O$639 + 5),0),4),1,""),"")</f>
        <v>H</v>
      </c>
      <c r="D653" s="801" t="s">
        <v>1350</v>
      </c>
      <c r="E653" s="801" t="s">
        <v>1508</v>
      </c>
      <c r="F653" s="813"/>
      <c r="G653" s="1280"/>
      <c r="H653" s="1280"/>
      <c r="I653" s="1241" t="str">
        <f t="shared" si="79"/>
        <v/>
      </c>
      <c r="J653" s="1280" t="str">
        <f t="shared" si="76"/>
        <v/>
      </c>
      <c r="K653" s="1280" t="str">
        <f t="shared" si="80"/>
        <v/>
      </c>
      <c r="L653" s="801" t="s">
        <v>1380</v>
      </c>
      <c r="M653" s="1295">
        <v>636</v>
      </c>
      <c r="N653" s="1280"/>
      <c r="O653" s="1277"/>
      <c r="P653" s="1277"/>
      <c r="Q653" s="1277"/>
      <c r="R653" s="1280" t="s">
        <v>847</v>
      </c>
      <c r="S653" s="1277"/>
      <c r="T653" s="1280" t="str">
        <f t="shared" ref="T653:T667" si="82">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1"/>
        <v>J</v>
      </c>
      <c r="D654" s="801" t="s">
        <v>1350</v>
      </c>
      <c r="E654" s="801" t="s">
        <v>1508</v>
      </c>
      <c r="F654" s="813"/>
      <c r="G654" s="1280"/>
      <c r="H654" s="1280"/>
      <c r="I654" s="1241" t="str">
        <f t="shared" si="79"/>
        <v/>
      </c>
      <c r="J654" s="1280"/>
      <c r="K654" s="1280" t="str">
        <f t="shared" si="80"/>
        <v/>
      </c>
      <c r="L654" s="801" t="s">
        <v>1381</v>
      </c>
      <c r="M654" s="1295">
        <v>637</v>
      </c>
      <c r="N654" s="1280"/>
      <c r="O654" s="1277"/>
      <c r="P654" s="1277"/>
      <c r="Q654" s="1277"/>
      <c r="R654" s="1280" t="s">
        <v>847</v>
      </c>
      <c r="S654" s="1277"/>
      <c r="T654" s="1280" t="str">
        <f t="shared" si="82"/>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1"/>
        <v>L</v>
      </c>
      <c r="D655" s="801" t="s">
        <v>1350</v>
      </c>
      <c r="E655" s="801" t="s">
        <v>1508</v>
      </c>
      <c r="F655" s="1052"/>
      <c r="G655" s="1280"/>
      <c r="H655" s="1280"/>
      <c r="I655" s="1241" t="str">
        <f t="shared" si="79"/>
        <v/>
      </c>
      <c r="J655" s="1280"/>
      <c r="K655" s="1280" t="str">
        <f t="shared" si="80"/>
        <v/>
      </c>
      <c r="L655" s="801" t="s">
        <v>1382</v>
      </c>
      <c r="M655" s="1295">
        <v>638</v>
      </c>
      <c r="N655" s="1280"/>
      <c r="O655" s="1277"/>
      <c r="P655" s="1277"/>
      <c r="Q655" s="1277"/>
      <c r="R655" s="1280" t="s">
        <v>847</v>
      </c>
      <c r="S655" s="1277"/>
      <c r="T655" s="1280" t="str">
        <f t="shared" si="82"/>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1"/>
        <v>H</v>
      </c>
      <c r="D656" s="801" t="s">
        <v>1350</v>
      </c>
      <c r="E656" s="801" t="s">
        <v>1508</v>
      </c>
      <c r="F656" s="1280"/>
      <c r="G656" s="1280"/>
      <c r="H656" s="1280"/>
      <c r="I656" s="1241" t="str">
        <f t="shared" si="79"/>
        <v/>
      </c>
      <c r="J656" s="1280" t="str">
        <f t="shared" si="76"/>
        <v/>
      </c>
      <c r="K656" s="1280" t="str">
        <f t="shared" si="80"/>
        <v/>
      </c>
      <c r="L656" s="801" t="s">
        <v>1380</v>
      </c>
      <c r="M656" s="1295">
        <v>639</v>
      </c>
      <c r="N656" s="1280"/>
      <c r="O656" s="1277"/>
      <c r="P656" s="1277"/>
      <c r="Q656" s="1277"/>
      <c r="R656" s="1280" t="s">
        <v>847</v>
      </c>
      <c r="S656" s="1277"/>
      <c r="T656" s="1280" t="str">
        <f t="shared" si="82"/>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1"/>
        <v>J</v>
      </c>
      <c r="D657" s="801" t="s">
        <v>1350</v>
      </c>
      <c r="E657" s="801" t="s">
        <v>1508</v>
      </c>
      <c r="F657" s="1280"/>
      <c r="G657" s="1280"/>
      <c r="H657" s="1280"/>
      <c r="I657" s="1241" t="str">
        <f t="shared" si="79"/>
        <v/>
      </c>
      <c r="J657" s="1280"/>
      <c r="K657" s="1280" t="str">
        <f t="shared" si="80"/>
        <v/>
      </c>
      <c r="L657" s="801" t="s">
        <v>1381</v>
      </c>
      <c r="M657" s="1295">
        <v>640</v>
      </c>
      <c r="N657" s="1280"/>
      <c r="O657" s="1277"/>
      <c r="P657" s="1277"/>
      <c r="Q657" s="1277"/>
      <c r="R657" s="1280" t="s">
        <v>847</v>
      </c>
      <c r="S657" s="1277"/>
      <c r="T657" s="1280" t="str">
        <f t="shared" si="82"/>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1"/>
        <v>L</v>
      </c>
      <c r="D658" s="801" t="s">
        <v>1350</v>
      </c>
      <c r="E658" s="801" t="s">
        <v>1508</v>
      </c>
      <c r="F658" s="1280"/>
      <c r="G658" s="1280"/>
      <c r="H658" s="1280"/>
      <c r="I658" s="1241" t="str">
        <f t="shared" si="79"/>
        <v/>
      </c>
      <c r="J658" s="1280"/>
      <c r="K658" s="1280" t="str">
        <f t="shared" si="80"/>
        <v/>
      </c>
      <c r="L658" s="801" t="s">
        <v>1382</v>
      </c>
      <c r="M658" s="1295">
        <v>641</v>
      </c>
      <c r="N658" s="1280"/>
      <c r="O658" s="1277"/>
      <c r="P658" s="1277"/>
      <c r="Q658" s="1277"/>
      <c r="R658" s="1280" t="s">
        <v>847</v>
      </c>
      <c r="S658" s="1277"/>
      <c r="T658" s="1280" t="str">
        <f t="shared" si="82"/>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1"/>
        <v>H</v>
      </c>
      <c r="D659" s="801" t="s">
        <v>1350</v>
      </c>
      <c r="E659" s="801" t="s">
        <v>1508</v>
      </c>
      <c r="F659" s="1280"/>
      <c r="G659" s="1280"/>
      <c r="H659" s="1280"/>
      <c r="I659" s="1241" t="str">
        <f t="shared" si="79"/>
        <v/>
      </c>
      <c r="J659" s="1280" t="str">
        <f t="shared" si="76"/>
        <v/>
      </c>
      <c r="K659" s="1280" t="str">
        <f t="shared" si="80"/>
        <v/>
      </c>
      <c r="L659" s="801" t="s">
        <v>1380</v>
      </c>
      <c r="M659" s="1295">
        <v>642</v>
      </c>
      <c r="N659" s="1280"/>
      <c r="O659" s="1277"/>
      <c r="P659" s="1277"/>
      <c r="Q659" s="1277"/>
      <c r="R659" s="1280" t="s">
        <v>847</v>
      </c>
      <c r="S659" s="1277"/>
      <c r="T659" s="1280" t="str">
        <f t="shared" si="82"/>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1"/>
        <v>J</v>
      </c>
      <c r="D660" s="801" t="s">
        <v>1350</v>
      </c>
      <c r="E660" s="801" t="s">
        <v>1508</v>
      </c>
      <c r="F660" s="1280"/>
      <c r="G660" s="1280"/>
      <c r="H660" s="1280"/>
      <c r="I660" s="1241" t="str">
        <f t="shared" si="79"/>
        <v/>
      </c>
      <c r="J660" s="1280"/>
      <c r="K660" s="1280" t="str">
        <f t="shared" si="80"/>
        <v/>
      </c>
      <c r="L660" s="801" t="s">
        <v>1381</v>
      </c>
      <c r="M660" s="1295">
        <v>643</v>
      </c>
      <c r="N660" s="1280"/>
      <c r="O660" s="1277"/>
      <c r="P660" s="1277"/>
      <c r="Q660" s="1277"/>
      <c r="R660" s="1280" t="s">
        <v>847</v>
      </c>
      <c r="S660" s="1277"/>
      <c r="T660" s="1280" t="str">
        <f t="shared" si="82"/>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1"/>
        <v>L</v>
      </c>
      <c r="D661" s="801" t="s">
        <v>1350</v>
      </c>
      <c r="E661" s="801" t="s">
        <v>1508</v>
      </c>
      <c r="F661" s="1280"/>
      <c r="G661" s="1280"/>
      <c r="H661" s="1280"/>
      <c r="I661" s="1241" t="str">
        <f t="shared" si="79"/>
        <v/>
      </c>
      <c r="J661" s="1280"/>
      <c r="K661" s="1280" t="str">
        <f t="shared" si="80"/>
        <v/>
      </c>
      <c r="L661" s="801" t="s">
        <v>1382</v>
      </c>
      <c r="M661" s="1295">
        <v>644</v>
      </c>
      <c r="N661" s="1280"/>
      <c r="O661" s="1277"/>
      <c r="P661" s="1277"/>
      <c r="Q661" s="1277"/>
      <c r="R661" s="1280" t="s">
        <v>847</v>
      </c>
      <c r="S661" s="1277"/>
      <c r="T661" s="1280" t="str">
        <f t="shared" si="82"/>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1"/>
        <v>H</v>
      </c>
      <c r="D662" s="801" t="s">
        <v>1350</v>
      </c>
      <c r="E662" s="801" t="s">
        <v>1508</v>
      </c>
      <c r="F662" s="1280"/>
      <c r="G662" s="1280"/>
      <c r="H662" s="1280"/>
      <c r="I662" s="1241" t="str">
        <f t="shared" si="79"/>
        <v/>
      </c>
      <c r="J662" s="1280" t="str">
        <f t="shared" si="76"/>
        <v/>
      </c>
      <c r="K662" s="1280" t="str">
        <f t="shared" si="80"/>
        <v/>
      </c>
      <c r="L662" s="801" t="s">
        <v>1380</v>
      </c>
      <c r="M662" s="1295">
        <v>645</v>
      </c>
      <c r="N662" s="1280"/>
      <c r="O662" s="1277"/>
      <c r="P662" s="1277"/>
      <c r="Q662" s="1277"/>
      <c r="R662" s="1280" t="s">
        <v>847</v>
      </c>
      <c r="S662" s="1277"/>
      <c r="T662" s="1280" t="str">
        <f t="shared" si="82"/>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1"/>
        <v>J</v>
      </c>
      <c r="D663" s="801" t="s">
        <v>1350</v>
      </c>
      <c r="E663" s="801" t="s">
        <v>1508</v>
      </c>
      <c r="F663" s="1280"/>
      <c r="G663" s="1280"/>
      <c r="H663" s="1280"/>
      <c r="I663" s="1241" t="str">
        <f t="shared" si="79"/>
        <v/>
      </c>
      <c r="J663" s="1280"/>
      <c r="K663" s="1280" t="str">
        <f t="shared" si="80"/>
        <v/>
      </c>
      <c r="L663" s="801" t="s">
        <v>1381</v>
      </c>
      <c r="M663" s="1295">
        <v>646</v>
      </c>
      <c r="N663" s="1280"/>
      <c r="O663" s="1277"/>
      <c r="P663" s="1277"/>
      <c r="Q663" s="1277"/>
      <c r="R663" s="1280" t="s">
        <v>847</v>
      </c>
      <c r="S663" s="1277"/>
      <c r="T663" s="1280" t="str">
        <f t="shared" si="82"/>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1"/>
        <v>L</v>
      </c>
      <c r="D664" s="801" t="s">
        <v>1350</v>
      </c>
      <c r="E664" s="801" t="s">
        <v>1508</v>
      </c>
      <c r="F664" s="1280"/>
      <c r="G664" s="1280"/>
      <c r="H664" s="1280"/>
      <c r="I664" s="1241" t="str">
        <f t="shared" si="79"/>
        <v/>
      </c>
      <c r="J664" s="1280"/>
      <c r="K664" s="1280" t="str">
        <f t="shared" si="80"/>
        <v/>
      </c>
      <c r="L664" s="801" t="s">
        <v>1382</v>
      </c>
      <c r="M664" s="1295">
        <v>647</v>
      </c>
      <c r="N664" s="1280"/>
      <c r="O664" s="1277"/>
      <c r="P664" s="1277"/>
      <c r="Q664" s="1277"/>
      <c r="R664" s="1280" t="s">
        <v>847</v>
      </c>
      <c r="S664" s="1277"/>
      <c r="T664" s="1280" t="str">
        <f t="shared" si="82"/>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1"/>
        <v>H</v>
      </c>
      <c r="D665" s="801" t="s">
        <v>1350</v>
      </c>
      <c r="E665" s="801" t="s">
        <v>1508</v>
      </c>
      <c r="F665" s="1280"/>
      <c r="G665" s="1280"/>
      <c r="H665" s="1280"/>
      <c r="I665" s="1241" t="str">
        <f t="shared" si="79"/>
        <v/>
      </c>
      <c r="J665" s="1280" t="str">
        <f t="shared" si="76"/>
        <v/>
      </c>
      <c r="K665" s="1280" t="str">
        <f t="shared" si="80"/>
        <v/>
      </c>
      <c r="L665" s="801" t="s">
        <v>1380</v>
      </c>
      <c r="M665" s="1295">
        <v>648</v>
      </c>
      <c r="N665" s="1280"/>
      <c r="O665" s="1277"/>
      <c r="P665" s="1277"/>
      <c r="Q665" s="1277"/>
      <c r="R665" s="1280" t="s">
        <v>847</v>
      </c>
      <c r="S665" s="1277"/>
      <c r="T665" s="1280" t="str">
        <f t="shared" si="82"/>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1"/>
        <v>J</v>
      </c>
      <c r="D666" s="801" t="s">
        <v>1350</v>
      </c>
      <c r="E666" s="801" t="s">
        <v>1508</v>
      </c>
      <c r="F666" s="1280"/>
      <c r="G666" s="1280"/>
      <c r="H666" s="1280"/>
      <c r="I666" s="1241" t="str">
        <f t="shared" si="79"/>
        <v/>
      </c>
      <c r="J666" s="1280"/>
      <c r="K666" s="1280" t="str">
        <f t="shared" si="80"/>
        <v/>
      </c>
      <c r="L666" s="801" t="s">
        <v>1381</v>
      </c>
      <c r="M666" s="1295">
        <v>649</v>
      </c>
      <c r="N666" s="1280"/>
      <c r="O666" s="1277"/>
      <c r="P666" s="1277"/>
      <c r="Q666" s="1277"/>
      <c r="R666" s="1280" t="s">
        <v>847</v>
      </c>
      <c r="S666" s="1277"/>
      <c r="T666" s="1280" t="str">
        <f t="shared" si="82"/>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1"/>
        <v>L</v>
      </c>
      <c r="D667" s="801" t="s">
        <v>1350</v>
      </c>
      <c r="E667" s="801" t="s">
        <v>1508</v>
      </c>
      <c r="F667" s="1280"/>
      <c r="G667" s="1280"/>
      <c r="H667" s="1280"/>
      <c r="I667" s="1241" t="str">
        <f t="shared" si="79"/>
        <v/>
      </c>
      <c r="J667" s="1280"/>
      <c r="K667" s="1280" t="str">
        <f t="shared" si="80"/>
        <v/>
      </c>
      <c r="L667" s="801" t="s">
        <v>1382</v>
      </c>
      <c r="M667" s="1295">
        <v>650</v>
      </c>
      <c r="N667" s="1280"/>
      <c r="O667" s="1277"/>
      <c r="P667" s="1277"/>
      <c r="Q667" s="1277"/>
      <c r="R667" s="1280" t="s">
        <v>847</v>
      </c>
      <c r="S667" s="1277"/>
      <c r="T667" s="1280" t="str">
        <f t="shared" si="82"/>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79"/>
        <v/>
      </c>
      <c r="J668" s="1280" t="str">
        <f t="shared" si="76"/>
        <v/>
      </c>
      <c r="K668" s="1280" t="str">
        <f t="shared" si="80"/>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79"/>
        <v/>
      </c>
      <c r="J669" s="1280"/>
      <c r="K669" s="1280" t="str">
        <f t="shared" si="80"/>
        <v/>
      </c>
      <c r="L669" s="801" t="s">
        <v>1483</v>
      </c>
      <c r="M669" s="1295">
        <v>652</v>
      </c>
      <c r="N669" s="1280"/>
      <c r="O669" s="1277" t="s">
        <v>725</v>
      </c>
      <c r="P669" s="1277"/>
      <c r="Q669" s="1277"/>
      <c r="R669" s="1280" t="s">
        <v>1517</v>
      </c>
      <c r="S669" s="1277"/>
      <c r="T669" s="1280" t="str">
        <f t="shared" ref="T669:T682" si="83">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79"/>
        <v/>
      </c>
      <c r="J670" s="1280" t="str">
        <f t="shared" ref="J670:J684" si="84">IF(M670&lt;&gt;"",IF($Q$670="Yes",Q$1&amp;M670,""))</f>
        <v/>
      </c>
      <c r="K670" s="1280" t="str">
        <f t="shared" si="80"/>
        <v/>
      </c>
      <c r="L670" s="801" t="s">
        <v>1697</v>
      </c>
      <c r="M670" s="1295">
        <v>653</v>
      </c>
      <c r="N670" s="1280"/>
      <c r="O670" s="1277">
        <f>'Configurable Tab'!H9</f>
        <v>91</v>
      </c>
      <c r="P670" s="1372" t="str">
        <f>'Configurable Tab'!J9</f>
        <v>Yes</v>
      </c>
      <c r="Q670" s="1317" t="s">
        <v>648</v>
      </c>
      <c r="R670" s="1280" t="s">
        <v>1517</v>
      </c>
      <c r="S670" s="1277"/>
      <c r="T670" s="1280" t="str">
        <f t="shared" si="83"/>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79"/>
        <v/>
      </c>
      <c r="J671" s="1280"/>
      <c r="K671" s="1280" t="str">
        <f t="shared" si="80"/>
        <v/>
      </c>
      <c r="L671" s="801" t="s">
        <v>1376</v>
      </c>
      <c r="M671" s="1295">
        <v>654</v>
      </c>
      <c r="N671" s="1280"/>
      <c r="O671" s="1277" t="s">
        <v>726</v>
      </c>
      <c r="P671" s="1277"/>
      <c r="Q671" s="1277"/>
      <c r="R671" s="1280" t="s">
        <v>1517</v>
      </c>
      <c r="S671" s="1277"/>
      <c r="T671" s="1280" t="str">
        <f t="shared" si="83"/>
        <v/>
      </c>
      <c r="U671" s="1277"/>
      <c r="V671" s="1277"/>
      <c r="W671" s="1277"/>
      <c r="X671" s="1277"/>
      <c r="Y671" s="1277"/>
      <c r="Z671" s="1277"/>
    </row>
    <row r="672" spans="1:26" x14ac:dyDescent="0.25">
      <c r="A672" s="819" t="s">
        <v>1373</v>
      </c>
      <c r="B672" s="801" t="str">
        <f t="shared" ref="B672:B678" ca="1" si="85">_xlfn.CONCAT(IFERROR(SUBSTITUTE(ADDRESS(1,MATCH(A672,INDIRECT("'"&amp;E672&amp;"'"&amp;"!A" &amp; $O$670 + 2 &amp; ":Z" &amp; $O$670 + 2),0),4),1,""),""),$O$670 + 2)</f>
        <v>H93</v>
      </c>
      <c r="C672" s="801" t="str">
        <f t="shared" ref="C672:C678" ca="1" si="86">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79"/>
        <v/>
      </c>
      <c r="J672" s="1280" t="str">
        <f t="shared" si="84"/>
        <v/>
      </c>
      <c r="K672" s="1280" t="str">
        <f t="shared" si="80"/>
        <v/>
      </c>
      <c r="L672" s="801" t="s">
        <v>1373</v>
      </c>
      <c r="M672" s="1295">
        <v>655</v>
      </c>
      <c r="N672" s="1280"/>
      <c r="O672" s="1277">
        <f>'Configurable Tab'!I9</f>
        <v>104</v>
      </c>
      <c r="P672" s="1277"/>
      <c r="Q672" s="1277"/>
      <c r="R672" s="1280" t="s">
        <v>1517</v>
      </c>
      <c r="S672" s="1277"/>
      <c r="T672" s="1280" t="str">
        <f t="shared" si="83"/>
        <v/>
      </c>
      <c r="U672" s="1277"/>
      <c r="V672" s="1277"/>
      <c r="W672" s="1277"/>
      <c r="X672" s="1277"/>
      <c r="Y672" s="1277"/>
      <c r="Z672" s="1277"/>
    </row>
    <row r="673" spans="1:26" x14ac:dyDescent="0.25">
      <c r="A673" s="819" t="s">
        <v>1374</v>
      </c>
      <c r="B673" s="801" t="str">
        <f t="shared" ca="1" si="85"/>
        <v>J93</v>
      </c>
      <c r="C673" s="801" t="str">
        <f t="shared" ca="1" si="86"/>
        <v>J94</v>
      </c>
      <c r="D673" s="801" t="s">
        <v>1343</v>
      </c>
      <c r="E673" s="801" t="s">
        <v>1508</v>
      </c>
      <c r="F673" s="1280" t="s">
        <v>1984</v>
      </c>
      <c r="G673" s="1280" t="str">
        <f>IF(T673&lt;&gt;"","I","")</f>
        <v/>
      </c>
      <c r="H673" s="1280" t="s">
        <v>1982</v>
      </c>
      <c r="I673" s="1241" t="str">
        <f t="shared" si="79"/>
        <v/>
      </c>
      <c r="J673" s="1280" t="str">
        <f t="shared" si="84"/>
        <v/>
      </c>
      <c r="K673" s="1280" t="str">
        <f t="shared" si="80"/>
        <v/>
      </c>
      <c r="L673" s="801" t="s">
        <v>1374</v>
      </c>
      <c r="M673" s="1295">
        <v>656</v>
      </c>
      <c r="N673" s="1280"/>
      <c r="O673" s="1277" t="s">
        <v>1630</v>
      </c>
      <c r="P673" s="1277"/>
      <c r="Q673" s="1277" t="s">
        <v>482</v>
      </c>
      <c r="R673" s="1280" t="s">
        <v>1517</v>
      </c>
      <c r="S673" s="1277"/>
      <c r="T673" s="1280" t="str">
        <f t="shared" si="83"/>
        <v/>
      </c>
      <c r="U673" s="1277"/>
      <c r="V673" s="1277"/>
      <c r="W673" s="1277"/>
      <c r="X673" s="1277"/>
      <c r="Y673" s="1277"/>
      <c r="Z673" s="1277"/>
    </row>
    <row r="674" spans="1:26" x14ac:dyDescent="0.25">
      <c r="A674" s="819" t="s">
        <v>1390</v>
      </c>
      <c r="B674" s="801" t="str">
        <f t="shared" ca="1" si="85"/>
        <v>L93</v>
      </c>
      <c r="C674" s="801" t="str">
        <f t="shared" ca="1" si="86"/>
        <v>L94</v>
      </c>
      <c r="D674" s="801" t="s">
        <v>1343</v>
      </c>
      <c r="E674" s="801" t="s">
        <v>1508</v>
      </c>
      <c r="F674" s="1280" t="s">
        <v>1985</v>
      </c>
      <c r="G674" s="1280" t="str">
        <f>IF(T674&lt;&gt;"","H","")</f>
        <v/>
      </c>
      <c r="H674" s="1280" t="s">
        <v>1982</v>
      </c>
      <c r="I674" s="1241" t="str">
        <f t="shared" si="79"/>
        <v/>
      </c>
      <c r="J674" s="1280" t="str">
        <f t="shared" si="84"/>
        <v/>
      </c>
      <c r="K674" s="1280" t="str">
        <f t="shared" si="80"/>
        <v/>
      </c>
      <c r="L674" s="801" t="s">
        <v>1390</v>
      </c>
      <c r="M674" s="1295">
        <v>657</v>
      </c>
      <c r="N674" s="1280"/>
      <c r="O674" s="1277"/>
      <c r="P674" s="1277"/>
      <c r="Q674" s="1277"/>
      <c r="R674" s="1280" t="s">
        <v>1517</v>
      </c>
      <c r="S674" s="1277"/>
      <c r="T674" s="1280" t="str">
        <f t="shared" si="83"/>
        <v/>
      </c>
      <c r="U674" s="1277"/>
      <c r="V674" s="1277"/>
      <c r="W674" s="1277"/>
      <c r="X674" s="1277"/>
      <c r="Y674" s="1277"/>
      <c r="Z674" s="1277"/>
    </row>
    <row r="675" spans="1:26" x14ac:dyDescent="0.25">
      <c r="A675" s="819" t="s">
        <v>1375</v>
      </c>
      <c r="B675" s="801" t="str">
        <f t="shared" ca="1" si="85"/>
        <v>N93</v>
      </c>
      <c r="C675" s="801" t="str">
        <f t="shared" ca="1" si="86"/>
        <v>N94</v>
      </c>
      <c r="D675" s="801" t="s">
        <v>1343</v>
      </c>
      <c r="E675" s="801" t="s">
        <v>1508</v>
      </c>
      <c r="F675" s="1280" t="s">
        <v>1375</v>
      </c>
      <c r="G675" s="1280" t="str">
        <f>IF(T675&lt;&gt;"",IF(Q673="Credit Memo","J",IF(Q673="Check","K","")),"")</f>
        <v/>
      </c>
      <c r="H675" s="1280" t="s">
        <v>1982</v>
      </c>
      <c r="I675" s="1241" t="str">
        <f t="shared" si="79"/>
        <v/>
      </c>
      <c r="J675" s="1280" t="str">
        <f t="shared" si="84"/>
        <v/>
      </c>
      <c r="K675" s="1280" t="str">
        <f t="shared" si="80"/>
        <v/>
      </c>
      <c r="L675" s="801" t="s">
        <v>1375</v>
      </c>
      <c r="M675" s="1295">
        <v>658</v>
      </c>
      <c r="N675" s="1280"/>
      <c r="O675" s="1277"/>
      <c r="P675" s="1277"/>
      <c r="Q675" s="1277"/>
      <c r="R675" s="1280" t="s">
        <v>1517</v>
      </c>
      <c r="S675" s="1277"/>
      <c r="T675" s="1280" t="str">
        <f t="shared" si="83"/>
        <v/>
      </c>
      <c r="U675" s="1277"/>
      <c r="V675" s="1277"/>
      <c r="W675" s="1277"/>
      <c r="X675" s="1277"/>
      <c r="Y675" s="1277"/>
      <c r="Z675" s="1277"/>
    </row>
    <row r="676" spans="1:26" x14ac:dyDescent="0.25">
      <c r="A676" s="819" t="s">
        <v>1478</v>
      </c>
      <c r="B676" s="801" t="str">
        <f t="shared" ca="1" si="85"/>
        <v>P93</v>
      </c>
      <c r="C676" s="801" t="str">
        <f t="shared" ca="1" si="86"/>
        <v>P94</v>
      </c>
      <c r="D676" s="801" t="s">
        <v>1343</v>
      </c>
      <c r="E676" s="801" t="s">
        <v>1508</v>
      </c>
      <c r="F676" s="1280" t="s">
        <v>1986</v>
      </c>
      <c r="G676" s="1280" t="str">
        <f>IF(T676&lt;&gt;"","F","")</f>
        <v/>
      </c>
      <c r="H676" s="1280" t="s">
        <v>1982</v>
      </c>
      <c r="I676" s="1241" t="str">
        <f t="shared" si="79"/>
        <v/>
      </c>
      <c r="J676" s="1280" t="str">
        <f t="shared" si="84"/>
        <v/>
      </c>
      <c r="K676" s="1280" t="str">
        <f t="shared" si="80"/>
        <v/>
      </c>
      <c r="L676" s="801" t="s">
        <v>1478</v>
      </c>
      <c r="M676" s="1295">
        <v>659</v>
      </c>
      <c r="N676" s="1280"/>
      <c r="O676" s="1277"/>
      <c r="P676" s="1277"/>
      <c r="Q676" s="1277"/>
      <c r="R676" s="1280" t="s">
        <v>1517</v>
      </c>
      <c r="S676" s="1277"/>
      <c r="T676" s="1280" t="str">
        <f t="shared" si="83"/>
        <v/>
      </c>
      <c r="U676" s="1277"/>
      <c r="V676" s="1277"/>
      <c r="W676" s="1277"/>
      <c r="X676" s="1277"/>
      <c r="Y676" s="1277"/>
      <c r="Z676" s="1277"/>
    </row>
    <row r="677" spans="1:26" x14ac:dyDescent="0.25">
      <c r="A677" s="819" t="s">
        <v>1479</v>
      </c>
      <c r="B677" s="801" t="str">
        <f t="shared" ca="1" si="85"/>
        <v>R93</v>
      </c>
      <c r="C677" s="801" t="str">
        <f t="shared" ca="1" si="86"/>
        <v>R94</v>
      </c>
      <c r="D677" s="801" t="s">
        <v>1343</v>
      </c>
      <c r="E677" s="801" t="s">
        <v>1508</v>
      </c>
      <c r="F677" s="1280" t="s">
        <v>1987</v>
      </c>
      <c r="G677" s="1280" t="str">
        <f>IF(T677&lt;&gt;"","G","")</f>
        <v/>
      </c>
      <c r="H677" s="1280" t="s">
        <v>1982</v>
      </c>
      <c r="I677" s="1241" t="str">
        <f t="shared" si="79"/>
        <v/>
      </c>
      <c r="J677" s="1280" t="str">
        <f t="shared" si="84"/>
        <v/>
      </c>
      <c r="K677" s="1280" t="str">
        <f t="shared" si="80"/>
        <v/>
      </c>
      <c r="L677" s="801" t="s">
        <v>1479</v>
      </c>
      <c r="M677" s="1295">
        <v>660</v>
      </c>
      <c r="N677" s="1280"/>
      <c r="O677" s="1277"/>
      <c r="P677" s="1277"/>
      <c r="Q677" s="1277"/>
      <c r="R677" s="1280" t="s">
        <v>1517</v>
      </c>
      <c r="S677" s="1277"/>
      <c r="T677" s="1280" t="str">
        <f t="shared" si="83"/>
        <v/>
      </c>
      <c r="U677" s="1277"/>
      <c r="V677" s="1277"/>
      <c r="W677" s="1277"/>
      <c r="X677" s="1277"/>
      <c r="Y677" s="1277"/>
      <c r="Z677" s="1277"/>
    </row>
    <row r="678" spans="1:26" x14ac:dyDescent="0.25">
      <c r="A678" s="819" t="s">
        <v>1480</v>
      </c>
      <c r="B678" s="801" t="str">
        <f t="shared" ca="1" si="85"/>
        <v>T93</v>
      </c>
      <c r="C678" s="801" t="str">
        <f t="shared" ca="1" si="86"/>
        <v>T94</v>
      </c>
      <c r="D678" s="801" t="s">
        <v>1343</v>
      </c>
      <c r="E678" s="801" t="s">
        <v>1508</v>
      </c>
      <c r="F678" s="813" t="s">
        <v>1480</v>
      </c>
      <c r="G678" s="1280" t="str">
        <f>IF(T678&lt;&gt;"","AW","")</f>
        <v/>
      </c>
      <c r="H678" s="1280" t="s">
        <v>1982</v>
      </c>
      <c r="I678" s="1241" t="str">
        <f t="shared" si="79"/>
        <v/>
      </c>
      <c r="J678" s="1280" t="str">
        <f t="shared" si="84"/>
        <v/>
      </c>
      <c r="K678" s="1280" t="str">
        <f t="shared" si="80"/>
        <v/>
      </c>
      <c r="L678" s="801" t="s">
        <v>1480</v>
      </c>
      <c r="M678" s="1295">
        <v>661</v>
      </c>
      <c r="N678" s="1280"/>
      <c r="O678" s="1277"/>
      <c r="P678" s="1277"/>
      <c r="Q678" s="1277"/>
      <c r="R678" s="1280" t="s">
        <v>1517</v>
      </c>
      <c r="S678" s="1277"/>
      <c r="T678" s="1280" t="str">
        <f t="shared" si="83"/>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79"/>
        <v/>
      </c>
      <c r="J679" s="1280"/>
      <c r="K679" s="1280" t="str">
        <f t="shared" si="80"/>
        <v/>
      </c>
      <c r="L679" s="801" t="s">
        <v>1378</v>
      </c>
      <c r="M679" s="1295">
        <v>662</v>
      </c>
      <c r="N679" s="1280"/>
      <c r="O679" s="1277"/>
      <c r="P679" s="1277"/>
      <c r="Q679" s="1277"/>
      <c r="R679" s="1280" t="s">
        <v>1517</v>
      </c>
      <c r="S679" s="1277"/>
      <c r="T679" s="1280" t="str">
        <f t="shared" si="83"/>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79"/>
        <v/>
      </c>
      <c r="J680" s="1280"/>
      <c r="K680" s="1280" t="str">
        <f t="shared" si="80"/>
        <v/>
      </c>
      <c r="L680" s="801" t="s">
        <v>1379</v>
      </c>
      <c r="M680" s="1295">
        <v>663</v>
      </c>
      <c r="N680" s="1280"/>
      <c r="O680" s="1277"/>
      <c r="P680" s="1277"/>
      <c r="Q680" s="1277"/>
      <c r="R680" s="1280" t="s">
        <v>1517</v>
      </c>
      <c r="S680" s="1277"/>
      <c r="T680" s="1280" t="str">
        <f t="shared" si="83"/>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79"/>
        <v/>
      </c>
      <c r="J681" s="1280" t="str">
        <f t="shared" si="84"/>
        <v/>
      </c>
      <c r="K681" s="1280" t="str">
        <f t="shared" si="80"/>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3"/>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79"/>
        <v/>
      </c>
      <c r="J682" s="1280" t="str">
        <f t="shared" si="84"/>
        <v/>
      </c>
      <c r="K682" s="1280" t="str">
        <f t="shared" si="80"/>
        <v/>
      </c>
      <c r="L682" s="801" t="s">
        <v>1484</v>
      </c>
      <c r="M682" s="1295">
        <v>665</v>
      </c>
      <c r="N682" s="1280"/>
      <c r="O682" s="1277"/>
      <c r="P682" s="1277"/>
      <c r="Q682" s="1277"/>
      <c r="R682" s="1280" t="s">
        <v>1517</v>
      </c>
      <c r="S682" s="1277"/>
      <c r="T682" s="1280" t="str">
        <f t="shared" si="83"/>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79"/>
        <v/>
      </c>
      <c r="J683" s="1280" t="str">
        <f t="shared" si="84"/>
        <v/>
      </c>
      <c r="K683" s="1280" t="str">
        <f t="shared" si="80"/>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79"/>
        <v/>
      </c>
      <c r="J684" s="1280" t="str">
        <f t="shared" si="84"/>
        <v/>
      </c>
      <c r="K684" s="1280" t="str">
        <f t="shared" si="80"/>
        <v/>
      </c>
      <c r="L684" s="801" t="s">
        <v>1380</v>
      </c>
      <c r="M684" s="1295">
        <v>667</v>
      </c>
      <c r="N684" s="1280"/>
      <c r="O684" s="1277"/>
      <c r="P684" s="1277"/>
      <c r="Q684" s="1277"/>
      <c r="R684" s="1280" t="s">
        <v>1517</v>
      </c>
      <c r="S684" s="1277"/>
      <c r="T684" s="1280" t="str">
        <f>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79"/>
        <v/>
      </c>
      <c r="J685" s="1280"/>
      <c r="K685" s="1280" t="str">
        <f t="shared" si="80"/>
        <v/>
      </c>
      <c r="L685" s="801" t="s">
        <v>1381</v>
      </c>
      <c r="M685" s="1295">
        <v>668</v>
      </c>
      <c r="N685" s="1280"/>
      <c r="O685" s="1277"/>
      <c r="P685" s="1277"/>
      <c r="Q685" s="1277"/>
      <c r="R685" s="1280" t="s">
        <v>1517</v>
      </c>
      <c r="S685" s="1277"/>
      <c r="T685" s="1280" t="str">
        <f>IF(Q$670="Yes",7,"")</f>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79"/>
        <v/>
      </c>
      <c r="J686" s="1280"/>
      <c r="K686" s="1280" t="str">
        <f t="shared" si="80"/>
        <v/>
      </c>
      <c r="L686" s="801" t="s">
        <v>1382</v>
      </c>
      <c r="M686" s="1295">
        <v>669</v>
      </c>
      <c r="N686" s="1280"/>
      <c r="O686" s="1277"/>
      <c r="P686" s="1277"/>
      <c r="Q686" s="1277"/>
      <c r="R686" s="1280" t="s">
        <v>1517</v>
      </c>
      <c r="S686" s="1277"/>
      <c r="T686" s="1280" t="str">
        <f>IF(Q$670="Yes",7,"")</f>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79"/>
        <v/>
      </c>
      <c r="J687" s="1280"/>
      <c r="K687" s="1280" t="str">
        <f t="shared" si="80"/>
        <v/>
      </c>
      <c r="L687" s="801" t="s">
        <v>1483</v>
      </c>
      <c r="M687" s="1295">
        <v>670</v>
      </c>
      <c r="N687" s="1280"/>
      <c r="O687" s="1277" t="s">
        <v>725</v>
      </c>
      <c r="P687" s="1277"/>
      <c r="Q687" s="1277"/>
      <c r="R687" s="1280" t="s">
        <v>1517</v>
      </c>
      <c r="S687" s="1277"/>
      <c r="T687" s="1280" t="str">
        <f t="shared" ref="T687:T704" si="87">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79"/>
        <v/>
      </c>
      <c r="J688" s="1280" t="str">
        <f t="shared" ref="J688:J702" si="88">IF(M688&lt;&gt;"",IF($Q$688="Yes",Q$1&amp;M688,""))</f>
        <v/>
      </c>
      <c r="K688" s="1280" t="str">
        <f t="shared" si="80"/>
        <v/>
      </c>
      <c r="L688" s="801" t="s">
        <v>1697</v>
      </c>
      <c r="M688" s="1295">
        <v>671</v>
      </c>
      <c r="N688" s="1280"/>
      <c r="O688" s="1277">
        <f>'Configurable Tab'!H10</f>
        <v>105</v>
      </c>
      <c r="P688" s="1372" t="str">
        <f>'Configurable Tab'!J10</f>
        <v>Yes</v>
      </c>
      <c r="Q688" s="1317" t="s">
        <v>648</v>
      </c>
      <c r="R688" s="1280" t="s">
        <v>1517</v>
      </c>
      <c r="S688" s="1277"/>
      <c r="T688" s="1280" t="str">
        <f t="shared" si="87"/>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79"/>
        <v/>
      </c>
      <c r="J689" s="1280"/>
      <c r="K689" s="1280" t="str">
        <f t="shared" si="80"/>
        <v/>
      </c>
      <c r="L689" s="801" t="s">
        <v>1376</v>
      </c>
      <c r="M689" s="1295">
        <v>672</v>
      </c>
      <c r="N689" s="1280"/>
      <c r="O689" s="1277" t="s">
        <v>726</v>
      </c>
      <c r="P689" s="1277"/>
      <c r="Q689" s="1277"/>
      <c r="R689" s="1280" t="s">
        <v>1517</v>
      </c>
      <c r="S689" s="1277"/>
      <c r="T689" s="1280" t="str">
        <f t="shared" si="87"/>
        <v/>
      </c>
      <c r="U689" s="1277"/>
      <c r="V689" s="1277"/>
      <c r="W689" s="1277"/>
      <c r="X689" s="1277"/>
      <c r="Y689" s="1277"/>
      <c r="Z689" s="1277"/>
    </row>
    <row r="690" spans="1:26" x14ac:dyDescent="0.25">
      <c r="A690" s="822" t="s">
        <v>1373</v>
      </c>
      <c r="B690" s="801" t="str">
        <f t="shared" ref="B690:B696" ca="1" si="89">_xlfn.CONCAT(IFERROR(SUBSTITUTE(ADDRESS(1,MATCH(A690,INDIRECT("'"&amp;E690&amp;"'"&amp;"!A" &amp; $O$688 + 2 &amp; ":Z" &amp; $O$688 + 2),0),4),1,""),""),$O$688 + 2)</f>
        <v>H107</v>
      </c>
      <c r="C690" s="801" t="str">
        <f t="shared" ref="C690:C696" ca="1" si="90">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79"/>
        <v/>
      </c>
      <c r="J690" s="1280" t="str">
        <f t="shared" si="88"/>
        <v/>
      </c>
      <c r="K690" s="1280" t="str">
        <f t="shared" si="80"/>
        <v/>
      </c>
      <c r="L690" s="801" t="s">
        <v>1373</v>
      </c>
      <c r="M690" s="1295">
        <v>673</v>
      </c>
      <c r="N690" s="1280"/>
      <c r="O690" s="1277">
        <f>'Configurable Tab'!I10</f>
        <v>118</v>
      </c>
      <c r="P690" s="1277"/>
      <c r="Q690" s="1277"/>
      <c r="R690" s="1280" t="s">
        <v>1517</v>
      </c>
      <c r="S690" s="1277"/>
      <c r="T690" s="1280" t="str">
        <f t="shared" si="87"/>
        <v/>
      </c>
      <c r="U690" s="1277"/>
      <c r="V690" s="1277"/>
      <c r="W690" s="1277"/>
      <c r="X690" s="1277"/>
      <c r="Y690" s="1277"/>
      <c r="Z690" s="1277"/>
    </row>
    <row r="691" spans="1:26" x14ac:dyDescent="0.25">
      <c r="A691" s="822" t="s">
        <v>1374</v>
      </c>
      <c r="B691" s="801" t="str">
        <f t="shared" ca="1" si="89"/>
        <v>J107</v>
      </c>
      <c r="C691" s="801" t="str">
        <f t="shared" ca="1" si="90"/>
        <v>J108</v>
      </c>
      <c r="D691" s="801" t="s">
        <v>1343</v>
      </c>
      <c r="E691" s="801" t="s">
        <v>1508</v>
      </c>
      <c r="F691" s="1280" t="s">
        <v>1984</v>
      </c>
      <c r="G691" s="1280" t="str">
        <f>IF(T691&lt;&gt;"","I","")</f>
        <v/>
      </c>
      <c r="H691" s="1280" t="s">
        <v>1982</v>
      </c>
      <c r="I691" s="1241" t="str">
        <f t="shared" si="79"/>
        <v/>
      </c>
      <c r="J691" s="1280" t="str">
        <f t="shared" si="88"/>
        <v/>
      </c>
      <c r="K691" s="1280" t="str">
        <f t="shared" si="80"/>
        <v/>
      </c>
      <c r="L691" s="801" t="s">
        <v>1374</v>
      </c>
      <c r="M691" s="1295">
        <v>674</v>
      </c>
      <c r="N691" s="1280"/>
      <c r="O691" s="1277" t="s">
        <v>1631</v>
      </c>
      <c r="P691" s="1277"/>
      <c r="Q691" s="1277"/>
      <c r="R691" s="1280" t="s">
        <v>1517</v>
      </c>
      <c r="S691" s="1277"/>
      <c r="T691" s="1280" t="str">
        <f t="shared" si="87"/>
        <v/>
      </c>
      <c r="U691" s="1277"/>
      <c r="V691" s="1277"/>
      <c r="W691" s="1277"/>
      <c r="X691" s="1277"/>
      <c r="Y691" s="1277"/>
      <c r="Z691" s="1277"/>
    </row>
    <row r="692" spans="1:26" x14ac:dyDescent="0.25">
      <c r="A692" s="822" t="s">
        <v>1390</v>
      </c>
      <c r="B692" s="801" t="str">
        <f t="shared" ca="1" si="89"/>
        <v>L107</v>
      </c>
      <c r="C692" s="801" t="str">
        <f t="shared" ca="1" si="90"/>
        <v>L108</v>
      </c>
      <c r="D692" s="801" t="s">
        <v>1343</v>
      </c>
      <c r="E692" s="801" t="s">
        <v>1508</v>
      </c>
      <c r="F692" s="1280" t="s">
        <v>1985</v>
      </c>
      <c r="G692" s="1280" t="str">
        <f>IF(T692&lt;&gt;"","H","")</f>
        <v/>
      </c>
      <c r="H692" s="1280" t="s">
        <v>1982</v>
      </c>
      <c r="I692" s="1241" t="str">
        <f t="shared" si="79"/>
        <v/>
      </c>
      <c r="J692" s="1280" t="str">
        <f t="shared" si="88"/>
        <v/>
      </c>
      <c r="K692" s="1280" t="str">
        <f t="shared" si="80"/>
        <v/>
      </c>
      <c r="L692" s="801" t="s">
        <v>1390</v>
      </c>
      <c r="M692" s="1295">
        <v>675</v>
      </c>
      <c r="N692" s="1280"/>
      <c r="O692" s="1277"/>
      <c r="P692" s="1277"/>
      <c r="Q692" s="1277"/>
      <c r="R692" s="1280" t="s">
        <v>1517</v>
      </c>
      <c r="S692" s="1277"/>
      <c r="T692" s="1280" t="str">
        <f t="shared" si="87"/>
        <v/>
      </c>
      <c r="U692" s="1277"/>
      <c r="V692" s="1277"/>
      <c r="W692" s="1277"/>
      <c r="X692" s="1277"/>
      <c r="Y692" s="1277"/>
      <c r="Z692" s="1277"/>
    </row>
    <row r="693" spans="1:26" x14ac:dyDescent="0.25">
      <c r="A693" s="822" t="s">
        <v>1375</v>
      </c>
      <c r="B693" s="801" t="str">
        <f t="shared" ca="1" si="89"/>
        <v>N107</v>
      </c>
      <c r="C693" s="801" t="str">
        <f t="shared" ca="1" si="90"/>
        <v>N108</v>
      </c>
      <c r="D693" s="801" t="s">
        <v>1343</v>
      </c>
      <c r="E693" s="801" t="s">
        <v>1508</v>
      </c>
      <c r="F693" s="1280" t="s">
        <v>1375</v>
      </c>
      <c r="G693" s="1280" t="str">
        <f>IF(T693&lt;&gt;"",IF(Q691="Credit Memo","J",IF(Q691="Check","K","")),"")</f>
        <v/>
      </c>
      <c r="H693" s="1280" t="s">
        <v>1982</v>
      </c>
      <c r="I693" s="1241" t="str">
        <f t="shared" si="79"/>
        <v/>
      </c>
      <c r="J693" s="1280" t="str">
        <f t="shared" si="88"/>
        <v/>
      </c>
      <c r="K693" s="1280" t="str">
        <f t="shared" si="80"/>
        <v/>
      </c>
      <c r="L693" s="801" t="s">
        <v>1375</v>
      </c>
      <c r="M693" s="1295">
        <v>676</v>
      </c>
      <c r="N693" s="1280"/>
      <c r="O693" s="1277"/>
      <c r="P693" s="1277"/>
      <c r="Q693" s="1277"/>
      <c r="R693" s="1280" t="s">
        <v>1517</v>
      </c>
      <c r="S693" s="1277"/>
      <c r="T693" s="1280" t="str">
        <f t="shared" si="87"/>
        <v/>
      </c>
      <c r="U693" s="1277"/>
      <c r="V693" s="1277"/>
      <c r="W693" s="1277"/>
      <c r="X693" s="1277"/>
      <c r="Y693" s="1277"/>
      <c r="Z693" s="1277"/>
    </row>
    <row r="694" spans="1:26" x14ac:dyDescent="0.25">
      <c r="A694" s="822" t="s">
        <v>1478</v>
      </c>
      <c r="B694" s="801" t="str">
        <f t="shared" ca="1" si="89"/>
        <v>P107</v>
      </c>
      <c r="C694" s="801" t="str">
        <f t="shared" ca="1" si="90"/>
        <v>P108</v>
      </c>
      <c r="D694" s="801" t="s">
        <v>1343</v>
      </c>
      <c r="E694" s="801" t="s">
        <v>1508</v>
      </c>
      <c r="F694" s="1280" t="s">
        <v>1986</v>
      </c>
      <c r="G694" s="1280" t="str">
        <f>IF(T694&lt;&gt;"","F","")</f>
        <v/>
      </c>
      <c r="H694" s="1280" t="s">
        <v>1982</v>
      </c>
      <c r="I694" s="1241" t="str">
        <f t="shared" si="79"/>
        <v/>
      </c>
      <c r="J694" s="1280" t="str">
        <f t="shared" si="88"/>
        <v/>
      </c>
      <c r="K694" s="1280" t="str">
        <f t="shared" si="80"/>
        <v/>
      </c>
      <c r="L694" s="801" t="s">
        <v>1478</v>
      </c>
      <c r="M694" s="1295">
        <v>677</v>
      </c>
      <c r="N694" s="1280"/>
      <c r="O694" s="1277"/>
      <c r="P694" s="1277"/>
      <c r="Q694" s="1277"/>
      <c r="R694" s="1280" t="s">
        <v>1517</v>
      </c>
      <c r="S694" s="1277"/>
      <c r="T694" s="1280" t="str">
        <f t="shared" si="87"/>
        <v/>
      </c>
      <c r="U694" s="1277"/>
      <c r="V694" s="1277"/>
      <c r="W694" s="1277"/>
      <c r="X694" s="1277"/>
      <c r="Y694" s="1277"/>
      <c r="Z694" s="1277"/>
    </row>
    <row r="695" spans="1:26" x14ac:dyDescent="0.25">
      <c r="A695" s="822" t="s">
        <v>1479</v>
      </c>
      <c r="B695" s="801" t="str">
        <f t="shared" ca="1" si="89"/>
        <v>R107</v>
      </c>
      <c r="C695" s="801" t="str">
        <f t="shared" ca="1" si="90"/>
        <v>R108</v>
      </c>
      <c r="D695" s="801" t="s">
        <v>1343</v>
      </c>
      <c r="E695" s="801" t="s">
        <v>1508</v>
      </c>
      <c r="F695" s="1280" t="s">
        <v>1987</v>
      </c>
      <c r="G695" s="1280" t="str">
        <f>IF(T695&lt;&gt;"","G","")</f>
        <v/>
      </c>
      <c r="H695" s="1280" t="s">
        <v>1982</v>
      </c>
      <c r="I695" s="1241" t="str">
        <f t="shared" si="79"/>
        <v/>
      </c>
      <c r="J695" s="1280" t="str">
        <f t="shared" si="88"/>
        <v/>
      </c>
      <c r="K695" s="1280" t="str">
        <f t="shared" si="80"/>
        <v/>
      </c>
      <c r="L695" s="801" t="s">
        <v>1479</v>
      </c>
      <c r="M695" s="1295">
        <v>678</v>
      </c>
      <c r="N695" s="1280"/>
      <c r="O695" s="1277"/>
      <c r="P695" s="1277"/>
      <c r="Q695" s="1277"/>
      <c r="R695" s="1280" t="s">
        <v>1517</v>
      </c>
      <c r="S695" s="1277"/>
      <c r="T695" s="1280" t="str">
        <f t="shared" si="87"/>
        <v/>
      </c>
      <c r="U695" s="1277"/>
      <c r="V695" s="1277"/>
      <c r="W695" s="1277"/>
      <c r="X695" s="1277"/>
      <c r="Y695" s="1277"/>
      <c r="Z695" s="1277"/>
    </row>
    <row r="696" spans="1:26" x14ac:dyDescent="0.25">
      <c r="A696" s="822" t="s">
        <v>1480</v>
      </c>
      <c r="B696" s="801" t="str">
        <f t="shared" ca="1" si="89"/>
        <v>T107</v>
      </c>
      <c r="C696" s="801" t="str">
        <f t="shared" ca="1" si="90"/>
        <v>T108</v>
      </c>
      <c r="D696" s="801" t="s">
        <v>1343</v>
      </c>
      <c r="E696" s="801" t="s">
        <v>1508</v>
      </c>
      <c r="F696" s="813" t="s">
        <v>1480</v>
      </c>
      <c r="G696" s="1280" t="str">
        <f>IF(T696&lt;&gt;"","AW","")</f>
        <v/>
      </c>
      <c r="H696" s="1280" t="s">
        <v>1982</v>
      </c>
      <c r="I696" s="1241" t="str">
        <f t="shared" si="79"/>
        <v/>
      </c>
      <c r="J696" s="1280" t="str">
        <f t="shared" si="88"/>
        <v/>
      </c>
      <c r="K696" s="1280" t="str">
        <f t="shared" si="80"/>
        <v/>
      </c>
      <c r="L696" s="801" t="s">
        <v>1480</v>
      </c>
      <c r="M696" s="1295">
        <v>679</v>
      </c>
      <c r="N696" s="1280"/>
      <c r="O696" s="1277"/>
      <c r="P696" s="1277"/>
      <c r="Q696" s="1277"/>
      <c r="R696" s="1280" t="s">
        <v>1517</v>
      </c>
      <c r="S696" s="1277"/>
      <c r="T696" s="1280" t="str">
        <f t="shared" si="87"/>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79"/>
        <v/>
      </c>
      <c r="J697" s="1280"/>
      <c r="K697" s="1280" t="str">
        <f t="shared" si="80"/>
        <v/>
      </c>
      <c r="L697" s="801" t="s">
        <v>1378</v>
      </c>
      <c r="M697" s="1295">
        <v>680</v>
      </c>
      <c r="N697" s="1280"/>
      <c r="O697" s="1277"/>
      <c r="P697" s="1277"/>
      <c r="Q697" s="1277"/>
      <c r="R697" s="1280" t="s">
        <v>1517</v>
      </c>
      <c r="S697" s="1277"/>
      <c r="T697" s="1280" t="str">
        <f t="shared" si="87"/>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79"/>
        <v/>
      </c>
      <c r="J698" s="1280"/>
      <c r="K698" s="1280" t="str">
        <f t="shared" si="80"/>
        <v/>
      </c>
      <c r="L698" s="801" t="s">
        <v>1379</v>
      </c>
      <c r="M698" s="1295">
        <v>681</v>
      </c>
      <c r="N698" s="1280"/>
      <c r="O698" s="1277"/>
      <c r="P698" s="1277"/>
      <c r="Q698" s="1277"/>
      <c r="R698" s="1280" t="s">
        <v>1517</v>
      </c>
      <c r="S698" s="1277"/>
      <c r="T698" s="1280" t="str">
        <f t="shared" si="87"/>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79"/>
        <v/>
      </c>
      <c r="J699" s="1280" t="str">
        <f t="shared" si="88"/>
        <v/>
      </c>
      <c r="K699" s="1280" t="str">
        <f t="shared" si="80"/>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87"/>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79"/>
        <v/>
      </c>
      <c r="J700" s="1280" t="str">
        <f t="shared" si="88"/>
        <v/>
      </c>
      <c r="K700" s="1280" t="str">
        <f t="shared" si="80"/>
        <v/>
      </c>
      <c r="L700" s="801" t="s">
        <v>1484</v>
      </c>
      <c r="M700" s="1295">
        <v>683</v>
      </c>
      <c r="N700" s="1280"/>
      <c r="O700" s="1277"/>
      <c r="P700" s="1277"/>
      <c r="Q700" s="1277"/>
      <c r="R700" s="1280" t="s">
        <v>1517</v>
      </c>
      <c r="S700" s="1277"/>
      <c r="T700" s="1280" t="str">
        <f t="shared" si="87"/>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79"/>
        <v/>
      </c>
      <c r="J701" s="1280" t="str">
        <f t="shared" si="88"/>
        <v/>
      </c>
      <c r="K701" s="1280" t="str">
        <f t="shared" si="80"/>
        <v/>
      </c>
      <c r="L701" s="801" t="s">
        <v>1498</v>
      </c>
      <c r="M701" s="1295">
        <v>684</v>
      </c>
      <c r="N701" s="1280"/>
      <c r="O701" s="1277"/>
      <c r="P701" s="1277"/>
      <c r="Q701" s="1277"/>
      <c r="R701" s="1280" t="s">
        <v>1517</v>
      </c>
      <c r="S701" s="1277"/>
      <c r="T701" s="1280" t="str">
        <f t="shared" si="87"/>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79"/>
        <v/>
      </c>
      <c r="J702" s="1280" t="str">
        <f t="shared" si="88"/>
        <v/>
      </c>
      <c r="K702" s="1280" t="str">
        <f t="shared" si="80"/>
        <v/>
      </c>
      <c r="L702" s="801" t="s">
        <v>1380</v>
      </c>
      <c r="M702" s="1295">
        <v>685</v>
      </c>
      <c r="N702" s="1280"/>
      <c r="O702" s="1277"/>
      <c r="P702" s="1277"/>
      <c r="Q702" s="1277"/>
      <c r="R702" s="1280" t="s">
        <v>1517</v>
      </c>
      <c r="S702" s="1277"/>
      <c r="T702" s="1280" t="str">
        <f t="shared" si="87"/>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79"/>
        <v/>
      </c>
      <c r="J703" s="1280"/>
      <c r="K703" s="1280" t="str">
        <f t="shared" si="80"/>
        <v/>
      </c>
      <c r="L703" s="801" t="s">
        <v>1381</v>
      </c>
      <c r="M703" s="1295">
        <v>686</v>
      </c>
      <c r="N703" s="1280"/>
      <c r="O703" s="1277"/>
      <c r="P703" s="1277"/>
      <c r="Q703" s="1277"/>
      <c r="R703" s="1280" t="s">
        <v>1517</v>
      </c>
      <c r="S703" s="1277"/>
      <c r="T703" s="1280" t="str">
        <f t="shared" si="87"/>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79"/>
        <v/>
      </c>
      <c r="J704" s="1280"/>
      <c r="K704" s="1280" t="str">
        <f t="shared" si="80"/>
        <v/>
      </c>
      <c r="L704" s="801" t="s">
        <v>1382</v>
      </c>
      <c r="M704" s="1295">
        <v>687</v>
      </c>
      <c r="N704" s="1280"/>
      <c r="O704" s="1277"/>
      <c r="P704" s="1277"/>
      <c r="Q704" s="1277"/>
      <c r="R704" s="1280" t="s">
        <v>1517</v>
      </c>
      <c r="S704" s="1277"/>
      <c r="T704" s="1280" t="str">
        <f t="shared" si="87"/>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79"/>
        <v/>
      </c>
      <c r="J705" s="1280"/>
      <c r="K705" s="1280" t="str">
        <f t="shared" si="80"/>
        <v/>
      </c>
      <c r="L705" s="801" t="s">
        <v>1483</v>
      </c>
      <c r="M705" s="1295">
        <v>688</v>
      </c>
      <c r="N705" s="1280"/>
      <c r="O705" s="1277" t="s">
        <v>725</v>
      </c>
      <c r="P705" s="1277"/>
      <c r="Q705" s="1277"/>
      <c r="R705" s="1280" t="s">
        <v>1517</v>
      </c>
      <c r="S705" s="1277"/>
      <c r="T705" s="1280" t="str">
        <f t="shared" ref="T705:T718" si="91">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79"/>
        <v/>
      </c>
      <c r="J706" s="1280" t="str">
        <f t="shared" ref="J706:J732" si="92">IF(M706&lt;&gt;"",IF($Q$706="Yes",Q$1&amp;M706,""))</f>
        <v/>
      </c>
      <c r="K706" s="1280" t="str">
        <f t="shared" si="80"/>
        <v/>
      </c>
      <c r="L706" s="801" t="s">
        <v>1697</v>
      </c>
      <c r="M706" s="1295">
        <v>689</v>
      </c>
      <c r="N706" s="1280"/>
      <c r="O706" s="1277">
        <f>'Configurable Tab'!H11</f>
        <v>119</v>
      </c>
      <c r="P706" s="1372" t="str">
        <f>'Configurable Tab'!J11</f>
        <v>Yes</v>
      </c>
      <c r="Q706" s="1317" t="s">
        <v>648</v>
      </c>
      <c r="R706" s="1280" t="s">
        <v>1517</v>
      </c>
      <c r="S706" s="1277"/>
      <c r="T706" s="1280" t="str">
        <f t="shared" si="91"/>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79"/>
        <v/>
      </c>
      <c r="J707" s="1280"/>
      <c r="K707" s="1280" t="str">
        <f t="shared" si="80"/>
        <v/>
      </c>
      <c r="L707" s="801" t="s">
        <v>1376</v>
      </c>
      <c r="M707" s="1295">
        <v>690</v>
      </c>
      <c r="N707" s="1280"/>
      <c r="O707" s="1277" t="s">
        <v>726</v>
      </c>
      <c r="P707" s="1277"/>
      <c r="Q707" s="1277"/>
      <c r="R707" s="1280" t="s">
        <v>1517</v>
      </c>
      <c r="S707" s="1277"/>
      <c r="T707" s="1280" t="str">
        <f t="shared" si="91"/>
        <v/>
      </c>
      <c r="U707" s="1277"/>
      <c r="V707" s="1277"/>
      <c r="W707" s="1277"/>
      <c r="X707" s="1277"/>
      <c r="Y707" s="1277"/>
      <c r="Z707" s="1277"/>
    </row>
    <row r="708" spans="1:26" x14ac:dyDescent="0.25">
      <c r="A708" s="819" t="s">
        <v>1373</v>
      </c>
      <c r="B708" s="801" t="str">
        <f t="shared" ref="B708:B714" ca="1" si="93">_xlfn.CONCAT(IFERROR(SUBSTITUTE(ADDRESS(1,MATCH(A708,INDIRECT("'"&amp;E708&amp;"'"&amp;"!A" &amp; $O$706 + 2 &amp; ":Z" &amp; $O$706+ 2),0),4),1,""),""),$O$706 + 2)</f>
        <v>H121</v>
      </c>
      <c r="C708" s="801" t="str">
        <f t="shared" ref="C708:C714" ca="1" si="94">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95">IF(J708&lt;&gt;"",A708,"")</f>
        <v/>
      </c>
      <c r="J708" s="1280" t="str">
        <f t="shared" si="92"/>
        <v/>
      </c>
      <c r="K708" s="1280" t="str">
        <f t="shared" ref="K708:K771" si="96">IF(J708&lt;&gt;"",E708,"")</f>
        <v/>
      </c>
      <c r="L708" s="801" t="s">
        <v>1373</v>
      </c>
      <c r="M708" s="1295">
        <v>691</v>
      </c>
      <c r="N708" s="1280"/>
      <c r="O708" s="1277">
        <f>'Configurable Tab'!I11</f>
        <v>134</v>
      </c>
      <c r="P708" s="1277"/>
      <c r="Q708" s="1277"/>
      <c r="R708" s="1280" t="s">
        <v>1517</v>
      </c>
      <c r="S708" s="1277"/>
      <c r="T708" s="1280" t="str">
        <f t="shared" si="91"/>
        <v/>
      </c>
      <c r="U708" s="1277"/>
      <c r="V708" s="1277"/>
      <c r="W708" s="1277"/>
      <c r="X708" s="1277"/>
      <c r="Y708" s="1277"/>
      <c r="Z708" s="1277"/>
    </row>
    <row r="709" spans="1:26" x14ac:dyDescent="0.25">
      <c r="A709" s="819" t="s">
        <v>1374</v>
      </c>
      <c r="B709" s="801" t="str">
        <f t="shared" ca="1" si="93"/>
        <v>J121</v>
      </c>
      <c r="C709" s="801" t="str">
        <f t="shared" ca="1" si="94"/>
        <v>J122</v>
      </c>
      <c r="D709" s="801" t="s">
        <v>1343</v>
      </c>
      <c r="E709" s="801" t="s">
        <v>1508</v>
      </c>
      <c r="F709" s="1280" t="s">
        <v>1984</v>
      </c>
      <c r="G709" s="1280" t="str">
        <f>IF(T709&lt;&gt;"","I","")</f>
        <v/>
      </c>
      <c r="H709" s="1280" t="s">
        <v>1982</v>
      </c>
      <c r="I709" s="1241" t="str">
        <f t="shared" si="95"/>
        <v/>
      </c>
      <c r="J709" s="1280" t="str">
        <f t="shared" si="92"/>
        <v/>
      </c>
      <c r="K709" s="1280" t="str">
        <f t="shared" si="96"/>
        <v/>
      </c>
      <c r="L709" s="801" t="s">
        <v>1374</v>
      </c>
      <c r="M709" s="1295">
        <v>692</v>
      </c>
      <c r="N709" s="1280"/>
      <c r="O709" s="1277" t="s">
        <v>1632</v>
      </c>
      <c r="P709" s="1277"/>
      <c r="Q709" s="1277"/>
      <c r="R709" s="1280" t="s">
        <v>1517</v>
      </c>
      <c r="S709" s="1277"/>
      <c r="T709" s="1280" t="str">
        <f t="shared" si="91"/>
        <v/>
      </c>
      <c r="U709" s="1277"/>
      <c r="V709" s="1277"/>
      <c r="W709" s="1277"/>
      <c r="X709" s="1277"/>
      <c r="Y709" s="1277"/>
      <c r="Z709" s="1277"/>
    </row>
    <row r="710" spans="1:26" x14ac:dyDescent="0.25">
      <c r="A710" s="819" t="s">
        <v>1390</v>
      </c>
      <c r="B710" s="801" t="str">
        <f t="shared" ca="1" si="93"/>
        <v>L121</v>
      </c>
      <c r="C710" s="801" t="str">
        <f t="shared" ca="1" si="94"/>
        <v>L122</v>
      </c>
      <c r="D710" s="801" t="s">
        <v>1343</v>
      </c>
      <c r="E710" s="801" t="s">
        <v>1508</v>
      </c>
      <c r="F710" s="1280" t="s">
        <v>1985</v>
      </c>
      <c r="G710" s="1280" t="str">
        <f>IF(T710&lt;&gt;"","H","")</f>
        <v/>
      </c>
      <c r="H710" s="1280" t="s">
        <v>1982</v>
      </c>
      <c r="I710" s="1241" t="str">
        <f t="shared" si="95"/>
        <v/>
      </c>
      <c r="J710" s="1280" t="str">
        <f t="shared" si="92"/>
        <v/>
      </c>
      <c r="K710" s="1280" t="str">
        <f t="shared" si="96"/>
        <v/>
      </c>
      <c r="L710" s="801" t="s">
        <v>1390</v>
      </c>
      <c r="M710" s="1295">
        <v>693</v>
      </c>
      <c r="N710" s="1280"/>
      <c r="O710" s="1277"/>
      <c r="P710" s="1277"/>
      <c r="Q710" s="1277"/>
      <c r="R710" s="1280" t="s">
        <v>1517</v>
      </c>
      <c r="S710" s="1277"/>
      <c r="T710" s="1280" t="str">
        <f t="shared" si="91"/>
        <v/>
      </c>
      <c r="U710" s="1277"/>
      <c r="V710" s="1277"/>
      <c r="W710" s="1277"/>
      <c r="X710" s="1277"/>
      <c r="Y710" s="1277"/>
      <c r="Z710" s="1277"/>
    </row>
    <row r="711" spans="1:26" x14ac:dyDescent="0.25">
      <c r="A711" s="819" t="s">
        <v>1375</v>
      </c>
      <c r="B711" s="801" t="str">
        <f t="shared" ca="1" si="93"/>
        <v>N121</v>
      </c>
      <c r="C711" s="801" t="str">
        <f t="shared" ca="1" si="94"/>
        <v>N122</v>
      </c>
      <c r="D711" s="801" t="s">
        <v>1343</v>
      </c>
      <c r="E711" s="801" t="s">
        <v>1508</v>
      </c>
      <c r="F711" s="1280" t="s">
        <v>1375</v>
      </c>
      <c r="G711" s="1280" t="str">
        <f>IF(T711&lt;&gt;"",IF(Q709="Credit Memo","J",IF(Q709="Check","K","")),"")</f>
        <v/>
      </c>
      <c r="H711" s="1280" t="s">
        <v>1982</v>
      </c>
      <c r="I711" s="1241" t="str">
        <f t="shared" si="95"/>
        <v/>
      </c>
      <c r="J711" s="1280" t="str">
        <f t="shared" si="92"/>
        <v/>
      </c>
      <c r="K711" s="1280" t="str">
        <f t="shared" si="96"/>
        <v/>
      </c>
      <c r="L711" s="801" t="s">
        <v>1375</v>
      </c>
      <c r="M711" s="1295">
        <v>694</v>
      </c>
      <c r="N711" s="1280"/>
      <c r="O711" s="1277"/>
      <c r="P711" s="1277"/>
      <c r="Q711" s="1277"/>
      <c r="R711" s="1280" t="s">
        <v>1517</v>
      </c>
      <c r="S711" s="1277"/>
      <c r="T711" s="1280" t="str">
        <f t="shared" si="91"/>
        <v/>
      </c>
      <c r="U711" s="1277"/>
      <c r="V711" s="1277"/>
      <c r="W711" s="1277"/>
      <c r="X711" s="1277"/>
      <c r="Y711" s="1277"/>
      <c r="Z711" s="1277"/>
    </row>
    <row r="712" spans="1:26" x14ac:dyDescent="0.25">
      <c r="A712" s="819" t="s">
        <v>1478</v>
      </c>
      <c r="B712" s="801" t="str">
        <f t="shared" ca="1" si="93"/>
        <v>P121</v>
      </c>
      <c r="C712" s="801" t="str">
        <f t="shared" ca="1" si="94"/>
        <v>P122</v>
      </c>
      <c r="D712" s="801" t="s">
        <v>1343</v>
      </c>
      <c r="E712" s="801" t="s">
        <v>1508</v>
      </c>
      <c r="F712" s="1280" t="s">
        <v>1986</v>
      </c>
      <c r="G712" s="1280" t="str">
        <f>IF(T712&lt;&gt;"","F","")</f>
        <v/>
      </c>
      <c r="H712" s="1280" t="s">
        <v>1982</v>
      </c>
      <c r="I712" s="1241" t="str">
        <f t="shared" si="95"/>
        <v/>
      </c>
      <c r="J712" s="1280" t="str">
        <f t="shared" si="92"/>
        <v/>
      </c>
      <c r="K712" s="1280" t="str">
        <f t="shared" si="96"/>
        <v/>
      </c>
      <c r="L712" s="801" t="s">
        <v>1478</v>
      </c>
      <c r="M712" s="1295">
        <v>695</v>
      </c>
      <c r="N712" s="1280"/>
      <c r="O712" s="1277"/>
      <c r="P712" s="1277"/>
      <c r="Q712" s="1277"/>
      <c r="R712" s="1280" t="s">
        <v>1517</v>
      </c>
      <c r="S712" s="1277"/>
      <c r="T712" s="1280" t="str">
        <f t="shared" si="91"/>
        <v/>
      </c>
      <c r="U712" s="1277"/>
      <c r="V712" s="1277"/>
      <c r="W712" s="1277"/>
      <c r="X712" s="1277"/>
      <c r="Y712" s="1277"/>
      <c r="Z712" s="1277"/>
    </row>
    <row r="713" spans="1:26" x14ac:dyDescent="0.25">
      <c r="A713" s="819" t="s">
        <v>1479</v>
      </c>
      <c r="B713" s="801" t="str">
        <f t="shared" ca="1" si="93"/>
        <v>R121</v>
      </c>
      <c r="C713" s="801" t="str">
        <f t="shared" ca="1" si="94"/>
        <v>R122</v>
      </c>
      <c r="D713" s="801" t="s">
        <v>1343</v>
      </c>
      <c r="E713" s="801" t="s">
        <v>1508</v>
      </c>
      <c r="F713" s="1280" t="s">
        <v>1987</v>
      </c>
      <c r="G713" s="1280" t="str">
        <f>IF(T713&lt;&gt;"","G","")</f>
        <v/>
      </c>
      <c r="H713" s="1280" t="s">
        <v>1982</v>
      </c>
      <c r="I713" s="1241" t="str">
        <f t="shared" si="95"/>
        <v/>
      </c>
      <c r="J713" s="1280" t="str">
        <f t="shared" si="92"/>
        <v/>
      </c>
      <c r="K713" s="1280" t="str">
        <f t="shared" si="96"/>
        <v/>
      </c>
      <c r="L713" s="801" t="s">
        <v>1479</v>
      </c>
      <c r="M713" s="1295">
        <v>696</v>
      </c>
      <c r="N713" s="1280"/>
      <c r="O713" s="1277"/>
      <c r="P713" s="1277"/>
      <c r="Q713" s="1277"/>
      <c r="R713" s="1280" t="s">
        <v>1517</v>
      </c>
      <c r="S713" s="1277"/>
      <c r="T713" s="1280" t="str">
        <f t="shared" si="91"/>
        <v/>
      </c>
      <c r="U713" s="1277"/>
      <c r="V713" s="1277"/>
      <c r="W713" s="1277"/>
      <c r="X713" s="1277"/>
      <c r="Y713" s="1277"/>
      <c r="Z713" s="1277"/>
    </row>
    <row r="714" spans="1:26" x14ac:dyDescent="0.25">
      <c r="A714" s="819" t="s">
        <v>1480</v>
      </c>
      <c r="B714" s="801" t="str">
        <f t="shared" ca="1" si="93"/>
        <v>T121</v>
      </c>
      <c r="C714" s="801" t="str">
        <f t="shared" ca="1" si="94"/>
        <v>T122</v>
      </c>
      <c r="D714" s="801" t="s">
        <v>1343</v>
      </c>
      <c r="E714" s="801" t="s">
        <v>1508</v>
      </c>
      <c r="F714" s="813" t="s">
        <v>1480</v>
      </c>
      <c r="G714" s="1280" t="str">
        <f>IF(T714&lt;&gt;"","AW","")</f>
        <v/>
      </c>
      <c r="H714" s="1280" t="s">
        <v>1982</v>
      </c>
      <c r="I714" s="1241" t="str">
        <f t="shared" si="95"/>
        <v/>
      </c>
      <c r="J714" s="1280" t="str">
        <f t="shared" si="92"/>
        <v/>
      </c>
      <c r="K714" s="1280" t="str">
        <f t="shared" si="96"/>
        <v/>
      </c>
      <c r="L714" s="801" t="s">
        <v>1480</v>
      </c>
      <c r="M714" s="1295">
        <v>697</v>
      </c>
      <c r="N714" s="1280"/>
      <c r="O714" s="1277"/>
      <c r="P714" s="1277"/>
      <c r="Q714" s="1277"/>
      <c r="R714" s="1280" t="s">
        <v>1517</v>
      </c>
      <c r="S714" s="1277"/>
      <c r="T714" s="1280" t="str">
        <f t="shared" si="91"/>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95"/>
        <v/>
      </c>
      <c r="J715" s="1280"/>
      <c r="K715" s="1280" t="str">
        <f t="shared" si="96"/>
        <v/>
      </c>
      <c r="L715" s="801" t="s">
        <v>1378</v>
      </c>
      <c r="M715" s="1295">
        <v>698</v>
      </c>
      <c r="N715" s="1280"/>
      <c r="O715" s="1277"/>
      <c r="P715" s="1277"/>
      <c r="Q715" s="1277"/>
      <c r="R715" s="1280" t="s">
        <v>1517</v>
      </c>
      <c r="S715" s="1277"/>
      <c r="T715" s="1280" t="str">
        <f t="shared" si="91"/>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95"/>
        <v/>
      </c>
      <c r="J716" s="1280"/>
      <c r="K716" s="1280" t="str">
        <f t="shared" si="96"/>
        <v/>
      </c>
      <c r="L716" s="801" t="s">
        <v>1379</v>
      </c>
      <c r="M716" s="1295">
        <v>699</v>
      </c>
      <c r="N716" s="1280"/>
      <c r="O716" s="1277"/>
      <c r="P716" s="1277"/>
      <c r="Q716" s="1277"/>
      <c r="R716" s="1280" t="s">
        <v>1517</v>
      </c>
      <c r="S716" s="1277"/>
      <c r="T716" s="1280" t="str">
        <f t="shared" si="91"/>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95"/>
        <v/>
      </c>
      <c r="J717" s="1280" t="str">
        <f t="shared" si="92"/>
        <v/>
      </c>
      <c r="K717" s="1280" t="str">
        <f t="shared" si="96"/>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1"/>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95"/>
        <v/>
      </c>
      <c r="J718" s="1280" t="str">
        <f t="shared" si="92"/>
        <v/>
      </c>
      <c r="K718" s="1280" t="str">
        <f t="shared" si="96"/>
        <v/>
      </c>
      <c r="L718" s="801" t="s">
        <v>1484</v>
      </c>
      <c r="M718" s="1295">
        <v>701</v>
      </c>
      <c r="N718" s="1280"/>
      <c r="O718" s="1277"/>
      <c r="P718" s="1277"/>
      <c r="Q718" s="1277"/>
      <c r="R718" s="1280" t="s">
        <v>1517</v>
      </c>
      <c r="S718" s="1277"/>
      <c r="T718" s="1280" t="str">
        <f t="shared" si="91"/>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95"/>
        <v/>
      </c>
      <c r="J719" s="1280" t="str">
        <f t="shared" si="92"/>
        <v/>
      </c>
      <c r="K719" s="1280" t="str">
        <f t="shared" si="96"/>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97">_xlfn.IFNA(SUBSTITUTE(ADDRESS(1,MATCH(A720,INDIRECT("'"&amp;E720&amp;"'"&amp;"!A" &amp; $O$706 + 5 &amp; ":Z" &amp; $O$706+ 5),0),4),1,""),"")</f>
        <v>H</v>
      </c>
      <c r="D720" s="801" t="s">
        <v>1350</v>
      </c>
      <c r="E720" s="801" t="s">
        <v>1508</v>
      </c>
      <c r="F720" s="813"/>
      <c r="G720" s="1280"/>
      <c r="H720" s="1280"/>
      <c r="I720" s="1241" t="str">
        <f t="shared" si="95"/>
        <v/>
      </c>
      <c r="J720" s="1280" t="str">
        <f t="shared" si="92"/>
        <v/>
      </c>
      <c r="K720" s="1280" t="str">
        <f t="shared" si="96"/>
        <v/>
      </c>
      <c r="L720" s="801" t="s">
        <v>1380</v>
      </c>
      <c r="M720" s="1295">
        <v>703</v>
      </c>
      <c r="N720" s="1280"/>
      <c r="O720" s="1277"/>
      <c r="P720" s="1277"/>
      <c r="Q720" s="1277"/>
      <c r="R720" s="1280" t="s">
        <v>1517</v>
      </c>
      <c r="S720" s="1277"/>
      <c r="T720" s="1280" t="str">
        <f t="shared" ref="T720:T734" si="98">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97"/>
        <v>J</v>
      </c>
      <c r="D721" s="801" t="s">
        <v>1350</v>
      </c>
      <c r="E721" s="801" t="s">
        <v>1508</v>
      </c>
      <c r="F721" s="813"/>
      <c r="G721" s="1280"/>
      <c r="H721" s="1280"/>
      <c r="I721" s="1241" t="str">
        <f t="shared" si="95"/>
        <v/>
      </c>
      <c r="J721" s="1280"/>
      <c r="K721" s="1280" t="str">
        <f t="shared" si="96"/>
        <v/>
      </c>
      <c r="L721" s="801" t="s">
        <v>1381</v>
      </c>
      <c r="M721" s="1295">
        <v>704</v>
      </c>
      <c r="N721" s="1280"/>
      <c r="O721" s="1277"/>
      <c r="P721" s="1277"/>
      <c r="Q721" s="1277"/>
      <c r="R721" s="1280" t="s">
        <v>1517</v>
      </c>
      <c r="S721" s="1277"/>
      <c r="T721" s="1280" t="str">
        <f t="shared" si="98"/>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97"/>
        <v>L</v>
      </c>
      <c r="D722" s="801" t="s">
        <v>1350</v>
      </c>
      <c r="E722" s="801" t="s">
        <v>1508</v>
      </c>
      <c r="F722" s="1052"/>
      <c r="G722" s="1280"/>
      <c r="H722" s="1280"/>
      <c r="I722" s="1241" t="str">
        <f t="shared" si="95"/>
        <v/>
      </c>
      <c r="J722" s="1280"/>
      <c r="K722" s="1280" t="str">
        <f t="shared" si="96"/>
        <v/>
      </c>
      <c r="L722" s="801" t="s">
        <v>1382</v>
      </c>
      <c r="M722" s="1295">
        <v>705</v>
      </c>
      <c r="N722" s="1280"/>
      <c r="O722" s="1277"/>
      <c r="P722" s="1277"/>
      <c r="Q722" s="1277"/>
      <c r="R722" s="1280" t="s">
        <v>1517</v>
      </c>
      <c r="S722" s="1277"/>
      <c r="T722" s="1280" t="str">
        <f t="shared" si="98"/>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97"/>
        <v>H</v>
      </c>
      <c r="D723" s="801" t="s">
        <v>1350</v>
      </c>
      <c r="E723" s="801" t="s">
        <v>1508</v>
      </c>
      <c r="F723" s="1280"/>
      <c r="G723" s="1280"/>
      <c r="H723" s="1280"/>
      <c r="I723" s="1241" t="str">
        <f t="shared" si="95"/>
        <v/>
      </c>
      <c r="J723" s="1280" t="str">
        <f t="shared" si="92"/>
        <v/>
      </c>
      <c r="K723" s="1280" t="str">
        <f t="shared" si="96"/>
        <v/>
      </c>
      <c r="L723" s="801" t="s">
        <v>1380</v>
      </c>
      <c r="M723" s="1295">
        <v>706</v>
      </c>
      <c r="N723" s="1280"/>
      <c r="O723" s="1277"/>
      <c r="P723" s="1277"/>
      <c r="Q723" s="1277"/>
      <c r="R723" s="1280" t="s">
        <v>1517</v>
      </c>
      <c r="S723" s="1277"/>
      <c r="T723" s="1280" t="str">
        <f t="shared" si="98"/>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97"/>
        <v>J</v>
      </c>
      <c r="D724" s="801" t="s">
        <v>1350</v>
      </c>
      <c r="E724" s="801" t="s">
        <v>1508</v>
      </c>
      <c r="F724" s="1280"/>
      <c r="G724" s="1280"/>
      <c r="H724" s="1280"/>
      <c r="I724" s="1241" t="str">
        <f t="shared" si="95"/>
        <v/>
      </c>
      <c r="J724" s="1280"/>
      <c r="K724" s="1280" t="str">
        <f t="shared" si="96"/>
        <v/>
      </c>
      <c r="L724" s="801" t="s">
        <v>1381</v>
      </c>
      <c r="M724" s="1295">
        <v>707</v>
      </c>
      <c r="N724" s="1280"/>
      <c r="O724" s="1277"/>
      <c r="P724" s="1277"/>
      <c r="Q724" s="1277"/>
      <c r="R724" s="1280" t="s">
        <v>1517</v>
      </c>
      <c r="S724" s="1277"/>
      <c r="T724" s="1280" t="str">
        <f t="shared" si="98"/>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97"/>
        <v>L</v>
      </c>
      <c r="D725" s="801" t="s">
        <v>1350</v>
      </c>
      <c r="E725" s="801" t="s">
        <v>1508</v>
      </c>
      <c r="F725" s="1280"/>
      <c r="G725" s="1280"/>
      <c r="H725" s="1280"/>
      <c r="I725" s="1241" t="str">
        <f t="shared" si="95"/>
        <v/>
      </c>
      <c r="J725" s="1280"/>
      <c r="K725" s="1280" t="str">
        <f t="shared" si="96"/>
        <v/>
      </c>
      <c r="L725" s="801" t="s">
        <v>1382</v>
      </c>
      <c r="M725" s="1295">
        <v>708</v>
      </c>
      <c r="N725" s="1280"/>
      <c r="O725" s="1277"/>
      <c r="P725" s="1277"/>
      <c r="Q725" s="1277"/>
      <c r="R725" s="1280" t="s">
        <v>1517</v>
      </c>
      <c r="S725" s="1277"/>
      <c r="T725" s="1280" t="str">
        <f t="shared" si="98"/>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97"/>
        <v>H</v>
      </c>
      <c r="D726" s="801" t="s">
        <v>1350</v>
      </c>
      <c r="E726" s="801" t="s">
        <v>1508</v>
      </c>
      <c r="F726" s="1280"/>
      <c r="G726" s="1280"/>
      <c r="H726" s="1280"/>
      <c r="I726" s="1241" t="str">
        <f t="shared" si="95"/>
        <v/>
      </c>
      <c r="J726" s="1280" t="str">
        <f t="shared" si="92"/>
        <v/>
      </c>
      <c r="K726" s="1280" t="str">
        <f t="shared" si="96"/>
        <v/>
      </c>
      <c r="L726" s="801" t="s">
        <v>1380</v>
      </c>
      <c r="M726" s="1295">
        <v>709</v>
      </c>
      <c r="N726" s="1280"/>
      <c r="O726" s="1277"/>
      <c r="P726" s="1277"/>
      <c r="Q726" s="1277"/>
      <c r="R726" s="1280" t="s">
        <v>1517</v>
      </c>
      <c r="S726" s="1277"/>
      <c r="T726" s="1280" t="str">
        <f t="shared" si="98"/>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97"/>
        <v>J</v>
      </c>
      <c r="D727" s="801" t="s">
        <v>1350</v>
      </c>
      <c r="E727" s="801" t="s">
        <v>1508</v>
      </c>
      <c r="F727" s="1280"/>
      <c r="G727" s="1280"/>
      <c r="H727" s="1280"/>
      <c r="I727" s="1241" t="str">
        <f t="shared" si="95"/>
        <v/>
      </c>
      <c r="J727" s="1280"/>
      <c r="K727" s="1280" t="str">
        <f t="shared" si="96"/>
        <v/>
      </c>
      <c r="L727" s="801" t="s">
        <v>1381</v>
      </c>
      <c r="M727" s="1295">
        <v>710</v>
      </c>
      <c r="N727" s="1280"/>
      <c r="O727" s="1277"/>
      <c r="P727" s="1277"/>
      <c r="Q727" s="1277"/>
      <c r="R727" s="1280" t="s">
        <v>1517</v>
      </c>
      <c r="S727" s="1277"/>
      <c r="T727" s="1280" t="str">
        <f t="shared" si="98"/>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97"/>
        <v>L</v>
      </c>
      <c r="D728" s="801" t="s">
        <v>1350</v>
      </c>
      <c r="E728" s="801" t="s">
        <v>1508</v>
      </c>
      <c r="F728" s="1280"/>
      <c r="G728" s="1280"/>
      <c r="H728" s="1280"/>
      <c r="I728" s="1241" t="str">
        <f t="shared" si="95"/>
        <v/>
      </c>
      <c r="J728" s="1280"/>
      <c r="K728" s="1280" t="str">
        <f t="shared" si="96"/>
        <v/>
      </c>
      <c r="L728" s="801" t="s">
        <v>1382</v>
      </c>
      <c r="M728" s="1295">
        <v>711</v>
      </c>
      <c r="N728" s="1280"/>
      <c r="O728" s="1277"/>
      <c r="P728" s="1277"/>
      <c r="Q728" s="1277"/>
      <c r="R728" s="1280" t="s">
        <v>1517</v>
      </c>
      <c r="S728" s="1277"/>
      <c r="T728" s="1280" t="str">
        <f t="shared" si="98"/>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97"/>
        <v>H</v>
      </c>
      <c r="D729" s="801" t="s">
        <v>1350</v>
      </c>
      <c r="E729" s="801" t="s">
        <v>1508</v>
      </c>
      <c r="F729" s="1280"/>
      <c r="G729" s="1280"/>
      <c r="H729" s="1280"/>
      <c r="I729" s="1241" t="str">
        <f t="shared" si="95"/>
        <v/>
      </c>
      <c r="J729" s="1280" t="str">
        <f t="shared" si="92"/>
        <v/>
      </c>
      <c r="K729" s="1280" t="str">
        <f t="shared" si="96"/>
        <v/>
      </c>
      <c r="L729" s="801" t="s">
        <v>1380</v>
      </c>
      <c r="M729" s="1295">
        <v>712</v>
      </c>
      <c r="N729" s="1280"/>
      <c r="O729" s="1277"/>
      <c r="P729" s="1277"/>
      <c r="Q729" s="1277"/>
      <c r="R729" s="1280" t="s">
        <v>1517</v>
      </c>
      <c r="S729" s="1277"/>
      <c r="T729" s="1280" t="str">
        <f t="shared" si="98"/>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97"/>
        <v>J</v>
      </c>
      <c r="D730" s="801" t="s">
        <v>1350</v>
      </c>
      <c r="E730" s="801" t="s">
        <v>1508</v>
      </c>
      <c r="F730" s="1280"/>
      <c r="G730" s="1280"/>
      <c r="H730" s="1280"/>
      <c r="I730" s="1241" t="str">
        <f t="shared" si="95"/>
        <v/>
      </c>
      <c r="J730" s="1280"/>
      <c r="K730" s="1280" t="str">
        <f t="shared" si="96"/>
        <v/>
      </c>
      <c r="L730" s="801" t="s">
        <v>1381</v>
      </c>
      <c r="M730" s="1295">
        <v>713</v>
      </c>
      <c r="N730" s="1280"/>
      <c r="O730" s="1277"/>
      <c r="P730" s="1277"/>
      <c r="Q730" s="1277"/>
      <c r="R730" s="1280" t="s">
        <v>1517</v>
      </c>
      <c r="S730" s="1277"/>
      <c r="T730" s="1280" t="str">
        <f t="shared" si="98"/>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97"/>
        <v>L</v>
      </c>
      <c r="D731" s="801" t="s">
        <v>1350</v>
      </c>
      <c r="E731" s="801" t="s">
        <v>1508</v>
      </c>
      <c r="F731" s="1280"/>
      <c r="G731" s="1280"/>
      <c r="H731" s="1280"/>
      <c r="I731" s="1241" t="str">
        <f t="shared" si="95"/>
        <v/>
      </c>
      <c r="J731" s="1280"/>
      <c r="K731" s="1280" t="str">
        <f t="shared" si="96"/>
        <v/>
      </c>
      <c r="L731" s="801" t="s">
        <v>1382</v>
      </c>
      <c r="M731" s="1295">
        <v>714</v>
      </c>
      <c r="N731" s="1280"/>
      <c r="O731" s="1277"/>
      <c r="P731" s="1277"/>
      <c r="Q731" s="1277"/>
      <c r="R731" s="1280" t="s">
        <v>1517</v>
      </c>
      <c r="S731" s="1277"/>
      <c r="T731" s="1280" t="str">
        <f t="shared" si="98"/>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97"/>
        <v>H</v>
      </c>
      <c r="D732" s="801" t="s">
        <v>1350</v>
      </c>
      <c r="E732" s="801" t="s">
        <v>1508</v>
      </c>
      <c r="F732" s="1280"/>
      <c r="G732" s="1280"/>
      <c r="H732" s="1280"/>
      <c r="I732" s="1241" t="str">
        <f t="shared" si="95"/>
        <v/>
      </c>
      <c r="J732" s="1280" t="str">
        <f t="shared" si="92"/>
        <v/>
      </c>
      <c r="K732" s="1280" t="str">
        <f t="shared" si="96"/>
        <v/>
      </c>
      <c r="L732" s="801" t="s">
        <v>1380</v>
      </c>
      <c r="M732" s="1295">
        <v>715</v>
      </c>
      <c r="N732" s="1280"/>
      <c r="O732" s="1277"/>
      <c r="P732" s="1277"/>
      <c r="Q732" s="1277"/>
      <c r="R732" s="1280" t="s">
        <v>1517</v>
      </c>
      <c r="S732" s="1277"/>
      <c r="T732" s="1280" t="str">
        <f t="shared" si="98"/>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97"/>
        <v>J</v>
      </c>
      <c r="D733" s="801" t="s">
        <v>1350</v>
      </c>
      <c r="E733" s="801" t="s">
        <v>1508</v>
      </c>
      <c r="F733" s="1280"/>
      <c r="G733" s="1280"/>
      <c r="H733" s="1280"/>
      <c r="I733" s="1241" t="str">
        <f t="shared" si="95"/>
        <v/>
      </c>
      <c r="J733" s="1280"/>
      <c r="K733" s="1280" t="str">
        <f t="shared" si="96"/>
        <v/>
      </c>
      <c r="L733" s="801" t="s">
        <v>1381</v>
      </c>
      <c r="M733" s="1295">
        <v>716</v>
      </c>
      <c r="N733" s="1280"/>
      <c r="O733" s="1277"/>
      <c r="P733" s="1277"/>
      <c r="Q733" s="1277"/>
      <c r="R733" s="1280" t="s">
        <v>1517</v>
      </c>
      <c r="S733" s="1277"/>
      <c r="T733" s="1280" t="str">
        <f t="shared" si="98"/>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97"/>
        <v>L</v>
      </c>
      <c r="D734" s="801" t="s">
        <v>1350</v>
      </c>
      <c r="E734" s="801" t="s">
        <v>1508</v>
      </c>
      <c r="F734" s="1280"/>
      <c r="G734" s="1280"/>
      <c r="H734" s="1280"/>
      <c r="I734" s="1241" t="str">
        <f t="shared" si="95"/>
        <v/>
      </c>
      <c r="J734" s="1280"/>
      <c r="K734" s="1280" t="str">
        <f t="shared" si="96"/>
        <v/>
      </c>
      <c r="L734" s="801" t="s">
        <v>1382</v>
      </c>
      <c r="M734" s="1295">
        <v>717</v>
      </c>
      <c r="N734" s="1280"/>
      <c r="O734" s="1277"/>
      <c r="P734" s="1277"/>
      <c r="Q734" s="1277"/>
      <c r="R734" s="1280" t="s">
        <v>1517</v>
      </c>
      <c r="S734" s="1277"/>
      <c r="T734" s="1280" t="str">
        <f t="shared" si="98"/>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95"/>
        <v/>
      </c>
      <c r="J735" s="1280"/>
      <c r="K735" s="1280" t="str">
        <f t="shared" si="96"/>
        <v/>
      </c>
      <c r="L735" s="801" t="s">
        <v>1483</v>
      </c>
      <c r="M735" s="1295">
        <v>718</v>
      </c>
      <c r="N735" s="1280"/>
      <c r="O735" s="1277" t="s">
        <v>725</v>
      </c>
      <c r="P735" s="1277"/>
      <c r="Q735" s="1277"/>
      <c r="R735" s="1280" t="s">
        <v>1517</v>
      </c>
      <c r="S735" s="1277"/>
      <c r="T735" s="1280" t="str">
        <f t="shared" ref="T735:T764" si="99">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95"/>
        <v/>
      </c>
      <c r="J736" s="1280" t="str">
        <f t="shared" ref="J736:J762" si="100">IF(M736&lt;&gt;"",IF($Q$736="Yes",Q$1&amp;M736,""))</f>
        <v/>
      </c>
      <c r="K736" s="1280" t="str">
        <f t="shared" si="96"/>
        <v/>
      </c>
      <c r="L736" s="801" t="s">
        <v>1697</v>
      </c>
      <c r="M736" s="1295">
        <v>719</v>
      </c>
      <c r="N736" s="1280"/>
      <c r="O736" s="1277">
        <f>'Configurable Tab'!H12</f>
        <v>135</v>
      </c>
      <c r="P736" s="1372" t="str">
        <f>'Configurable Tab'!J12</f>
        <v>Yes</v>
      </c>
      <c r="Q736" s="1317" t="s">
        <v>648</v>
      </c>
      <c r="R736" s="1280" t="s">
        <v>1517</v>
      </c>
      <c r="S736" s="1277"/>
      <c r="T736" s="1280" t="str">
        <f t="shared" si="99"/>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95"/>
        <v/>
      </c>
      <c r="J737" s="1280"/>
      <c r="K737" s="1280" t="str">
        <f t="shared" si="96"/>
        <v/>
      </c>
      <c r="L737" s="801" t="s">
        <v>1376</v>
      </c>
      <c r="M737" s="1295">
        <v>720</v>
      </c>
      <c r="N737" s="1280"/>
      <c r="O737" s="1277" t="s">
        <v>726</v>
      </c>
      <c r="P737" s="1277"/>
      <c r="Q737" s="1277"/>
      <c r="R737" s="1280" t="s">
        <v>1517</v>
      </c>
      <c r="S737" s="1277"/>
      <c r="T737" s="1280" t="str">
        <f t="shared" si="99"/>
        <v/>
      </c>
      <c r="U737" s="1277"/>
      <c r="V737" s="1277"/>
      <c r="W737" s="1277"/>
      <c r="X737" s="1277"/>
      <c r="Y737" s="1277"/>
      <c r="Z737" s="1277"/>
    </row>
    <row r="738" spans="1:26" x14ac:dyDescent="0.25">
      <c r="A738" s="822" t="s">
        <v>1373</v>
      </c>
      <c r="B738" s="801" t="str">
        <f t="shared" ref="B738:B744" ca="1" si="101">_xlfn.CONCAT(IFERROR(SUBSTITUTE(ADDRESS(1,MATCH(A738,INDIRECT("'"&amp;E738&amp;"'"&amp;"!A" &amp; $O$736 + 2 &amp; ":Z" &amp; $O$736+ 2),0),4),1,""),""),$O$736 + 2)</f>
        <v>H137</v>
      </c>
      <c r="C738" s="801" t="str">
        <f t="shared" ref="C738:C744" ca="1" si="102">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95"/>
        <v/>
      </c>
      <c r="J738" s="1280" t="str">
        <f t="shared" si="100"/>
        <v/>
      </c>
      <c r="K738" s="1280" t="str">
        <f t="shared" si="96"/>
        <v/>
      </c>
      <c r="L738" s="801" t="s">
        <v>1373</v>
      </c>
      <c r="M738" s="1295">
        <v>721</v>
      </c>
      <c r="N738" s="1280"/>
      <c r="O738" s="1277">
        <f>'Configurable Tab'!I12</f>
        <v>150</v>
      </c>
      <c r="P738" s="1277"/>
      <c r="Q738" s="1277"/>
      <c r="R738" s="1280" t="s">
        <v>1517</v>
      </c>
      <c r="S738" s="1277"/>
      <c r="T738" s="1280" t="str">
        <f t="shared" si="99"/>
        <v/>
      </c>
      <c r="U738" s="1277"/>
      <c r="V738" s="1277"/>
      <c r="W738" s="1277"/>
      <c r="X738" s="1277"/>
      <c r="Y738" s="1277"/>
      <c r="Z738" s="1277"/>
    </row>
    <row r="739" spans="1:26" x14ac:dyDescent="0.25">
      <c r="A739" s="822" t="s">
        <v>1374</v>
      </c>
      <c r="B739" s="801" t="str">
        <f t="shared" ca="1" si="101"/>
        <v>J137</v>
      </c>
      <c r="C739" s="801" t="str">
        <f t="shared" ca="1" si="102"/>
        <v>J138</v>
      </c>
      <c r="D739" s="801" t="s">
        <v>1343</v>
      </c>
      <c r="E739" s="801" t="s">
        <v>1508</v>
      </c>
      <c r="F739" s="1280" t="s">
        <v>1984</v>
      </c>
      <c r="G739" s="1280" t="str">
        <f>IF(T739&lt;&gt;"","I","")</f>
        <v/>
      </c>
      <c r="H739" s="1280" t="s">
        <v>1982</v>
      </c>
      <c r="I739" s="1241" t="str">
        <f t="shared" si="95"/>
        <v/>
      </c>
      <c r="J739" s="1280" t="str">
        <f t="shared" si="100"/>
        <v/>
      </c>
      <c r="K739" s="1280" t="str">
        <f t="shared" si="96"/>
        <v/>
      </c>
      <c r="L739" s="801" t="s">
        <v>1374</v>
      </c>
      <c r="M739" s="1295">
        <v>722</v>
      </c>
      <c r="N739" s="1280"/>
      <c r="O739" s="1277" t="s">
        <v>1633</v>
      </c>
      <c r="P739" s="1277"/>
      <c r="Q739" s="1277"/>
      <c r="R739" s="1280" t="s">
        <v>1517</v>
      </c>
      <c r="S739" s="1277"/>
      <c r="T739" s="1280" t="str">
        <f t="shared" si="99"/>
        <v/>
      </c>
      <c r="U739" s="1277"/>
      <c r="V739" s="1277"/>
      <c r="W739" s="1277"/>
      <c r="X739" s="1277"/>
      <c r="Y739" s="1277"/>
      <c r="Z739" s="1277"/>
    </row>
    <row r="740" spans="1:26" x14ac:dyDescent="0.25">
      <c r="A740" s="822" t="s">
        <v>1390</v>
      </c>
      <c r="B740" s="801" t="str">
        <f t="shared" ca="1" si="101"/>
        <v>L137</v>
      </c>
      <c r="C740" s="801" t="str">
        <f t="shared" ca="1" si="102"/>
        <v>L138</v>
      </c>
      <c r="D740" s="801" t="s">
        <v>1343</v>
      </c>
      <c r="E740" s="801" t="s">
        <v>1508</v>
      </c>
      <c r="F740" s="1280" t="s">
        <v>1985</v>
      </c>
      <c r="G740" s="1280" t="str">
        <f>IF(T740&lt;&gt;"","H","")</f>
        <v/>
      </c>
      <c r="H740" s="1280" t="s">
        <v>1982</v>
      </c>
      <c r="I740" s="1241" t="str">
        <f t="shared" si="95"/>
        <v/>
      </c>
      <c r="J740" s="1280" t="str">
        <f t="shared" si="100"/>
        <v/>
      </c>
      <c r="K740" s="1280" t="str">
        <f t="shared" si="96"/>
        <v/>
      </c>
      <c r="L740" s="801" t="s">
        <v>1390</v>
      </c>
      <c r="M740" s="1295">
        <v>723</v>
      </c>
      <c r="N740" s="1280"/>
      <c r="O740" s="1277"/>
      <c r="P740" s="1277"/>
      <c r="Q740" s="1277"/>
      <c r="R740" s="1280" t="s">
        <v>1517</v>
      </c>
      <c r="S740" s="1277"/>
      <c r="T740" s="1280" t="str">
        <f t="shared" si="99"/>
        <v/>
      </c>
      <c r="U740" s="1277"/>
      <c r="V740" s="1277"/>
      <c r="W740" s="1277"/>
      <c r="X740" s="1277"/>
      <c r="Y740" s="1277"/>
      <c r="Z740" s="1277"/>
    </row>
    <row r="741" spans="1:26" x14ac:dyDescent="0.25">
      <c r="A741" s="822" t="s">
        <v>1375</v>
      </c>
      <c r="B741" s="801" t="str">
        <f t="shared" ca="1" si="101"/>
        <v>N137</v>
      </c>
      <c r="C741" s="801" t="str">
        <f t="shared" ca="1" si="102"/>
        <v>N138</v>
      </c>
      <c r="D741" s="801" t="s">
        <v>1343</v>
      </c>
      <c r="E741" s="801" t="s">
        <v>1508</v>
      </c>
      <c r="F741" s="1280" t="s">
        <v>1375</v>
      </c>
      <c r="G741" s="1280" t="str">
        <f>IF(T741&lt;&gt;"",IF(Q739="Credit Memo","J",IF(Q739="Check","K","")),"")</f>
        <v/>
      </c>
      <c r="H741" s="1280" t="s">
        <v>1982</v>
      </c>
      <c r="I741" s="1241" t="str">
        <f t="shared" si="95"/>
        <v/>
      </c>
      <c r="J741" s="1280" t="str">
        <f t="shared" si="100"/>
        <v/>
      </c>
      <c r="K741" s="1280" t="str">
        <f t="shared" si="96"/>
        <v/>
      </c>
      <c r="L741" s="801" t="s">
        <v>1375</v>
      </c>
      <c r="M741" s="1295">
        <v>724</v>
      </c>
      <c r="N741" s="1280"/>
      <c r="O741" s="1277"/>
      <c r="P741" s="1277"/>
      <c r="Q741" s="1277"/>
      <c r="R741" s="1280" t="s">
        <v>1517</v>
      </c>
      <c r="S741" s="1277"/>
      <c r="T741" s="1280" t="str">
        <f t="shared" si="99"/>
        <v/>
      </c>
      <c r="U741" s="1277"/>
      <c r="V741" s="1277"/>
      <c r="W741" s="1277"/>
      <c r="X741" s="1277"/>
      <c r="Y741" s="1277"/>
      <c r="Z741" s="1277"/>
    </row>
    <row r="742" spans="1:26" x14ac:dyDescent="0.25">
      <c r="A742" s="822" t="s">
        <v>1478</v>
      </c>
      <c r="B742" s="801" t="str">
        <f t="shared" ca="1" si="101"/>
        <v>P137</v>
      </c>
      <c r="C742" s="801" t="str">
        <f t="shared" ca="1" si="102"/>
        <v>P138</v>
      </c>
      <c r="D742" s="801" t="s">
        <v>1343</v>
      </c>
      <c r="E742" s="801" t="s">
        <v>1508</v>
      </c>
      <c r="F742" s="1280" t="s">
        <v>1986</v>
      </c>
      <c r="G742" s="1280" t="str">
        <f>IF(T742&lt;&gt;"","F","")</f>
        <v/>
      </c>
      <c r="H742" s="1280" t="s">
        <v>1982</v>
      </c>
      <c r="I742" s="1241" t="str">
        <f t="shared" si="95"/>
        <v/>
      </c>
      <c r="J742" s="1280" t="str">
        <f t="shared" si="100"/>
        <v/>
      </c>
      <c r="K742" s="1280" t="str">
        <f t="shared" si="96"/>
        <v/>
      </c>
      <c r="L742" s="801" t="s">
        <v>1478</v>
      </c>
      <c r="M742" s="1295">
        <v>725</v>
      </c>
      <c r="N742" s="1280"/>
      <c r="O742" s="1277"/>
      <c r="P742" s="1277"/>
      <c r="Q742" s="1277"/>
      <c r="R742" s="1280" t="s">
        <v>1517</v>
      </c>
      <c r="S742" s="1277"/>
      <c r="T742" s="1280" t="str">
        <f t="shared" si="99"/>
        <v/>
      </c>
      <c r="U742" s="1277"/>
      <c r="V742" s="1277"/>
      <c r="W742" s="1277"/>
      <c r="X742" s="1277"/>
      <c r="Y742" s="1277"/>
      <c r="Z742" s="1277"/>
    </row>
    <row r="743" spans="1:26" x14ac:dyDescent="0.25">
      <c r="A743" s="822" t="s">
        <v>1479</v>
      </c>
      <c r="B743" s="801" t="str">
        <f t="shared" ca="1" si="101"/>
        <v>R137</v>
      </c>
      <c r="C743" s="801" t="str">
        <f t="shared" ca="1" si="102"/>
        <v>R138</v>
      </c>
      <c r="D743" s="801" t="s">
        <v>1343</v>
      </c>
      <c r="E743" s="801" t="s">
        <v>1508</v>
      </c>
      <c r="F743" s="1280" t="s">
        <v>1987</v>
      </c>
      <c r="G743" s="1280" t="str">
        <f>IF(T743&lt;&gt;"","G","")</f>
        <v/>
      </c>
      <c r="H743" s="1280" t="s">
        <v>1982</v>
      </c>
      <c r="I743" s="1241" t="str">
        <f t="shared" si="95"/>
        <v/>
      </c>
      <c r="J743" s="1280" t="str">
        <f t="shared" si="100"/>
        <v/>
      </c>
      <c r="K743" s="1280" t="str">
        <f t="shared" si="96"/>
        <v/>
      </c>
      <c r="L743" s="801" t="s">
        <v>1479</v>
      </c>
      <c r="M743" s="1295">
        <v>726</v>
      </c>
      <c r="N743" s="1280"/>
      <c r="O743" s="1277"/>
      <c r="P743" s="1277"/>
      <c r="Q743" s="1277"/>
      <c r="R743" s="1280" t="s">
        <v>1517</v>
      </c>
      <c r="S743" s="1277"/>
      <c r="T743" s="1280" t="str">
        <f t="shared" si="99"/>
        <v/>
      </c>
      <c r="U743" s="1277"/>
      <c r="V743" s="1277"/>
      <c r="W743" s="1277"/>
      <c r="X743" s="1277"/>
      <c r="Y743" s="1277"/>
      <c r="Z743" s="1277"/>
    </row>
    <row r="744" spans="1:26" x14ac:dyDescent="0.25">
      <c r="A744" s="822" t="s">
        <v>1480</v>
      </c>
      <c r="B744" s="801" t="str">
        <f t="shared" ca="1" si="101"/>
        <v>T137</v>
      </c>
      <c r="C744" s="801" t="str">
        <f t="shared" ca="1" si="102"/>
        <v>T138</v>
      </c>
      <c r="D744" s="801" t="s">
        <v>1343</v>
      </c>
      <c r="E744" s="801" t="s">
        <v>1508</v>
      </c>
      <c r="F744" s="813" t="s">
        <v>1480</v>
      </c>
      <c r="G744" s="1280" t="str">
        <f>IF(T744&lt;&gt;"","AW","")</f>
        <v/>
      </c>
      <c r="H744" s="1280" t="s">
        <v>1982</v>
      </c>
      <c r="I744" s="1241" t="str">
        <f t="shared" si="95"/>
        <v/>
      </c>
      <c r="J744" s="1280" t="str">
        <f t="shared" si="100"/>
        <v/>
      </c>
      <c r="K744" s="1280" t="str">
        <f t="shared" si="96"/>
        <v/>
      </c>
      <c r="L744" s="801" t="s">
        <v>1480</v>
      </c>
      <c r="M744" s="1295">
        <v>727</v>
      </c>
      <c r="N744" s="1280"/>
      <c r="O744" s="1277"/>
      <c r="P744" s="1277"/>
      <c r="Q744" s="1277"/>
      <c r="R744" s="1280" t="s">
        <v>1517</v>
      </c>
      <c r="S744" s="1277"/>
      <c r="T744" s="1280" t="str">
        <f t="shared" si="99"/>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95"/>
        <v/>
      </c>
      <c r="J745" s="1280"/>
      <c r="K745" s="1280" t="str">
        <f t="shared" si="96"/>
        <v/>
      </c>
      <c r="L745" s="801" t="s">
        <v>1378</v>
      </c>
      <c r="M745" s="1295">
        <v>728</v>
      </c>
      <c r="N745" s="1280"/>
      <c r="O745" s="1277"/>
      <c r="P745" s="1277"/>
      <c r="Q745" s="1277"/>
      <c r="R745" s="1280" t="s">
        <v>1517</v>
      </c>
      <c r="S745" s="1277"/>
      <c r="T745" s="1280" t="str">
        <f t="shared" si="99"/>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95"/>
        <v/>
      </c>
      <c r="J746" s="1280"/>
      <c r="K746" s="1280" t="str">
        <f t="shared" si="96"/>
        <v/>
      </c>
      <c r="L746" s="801" t="s">
        <v>1379</v>
      </c>
      <c r="M746" s="1295">
        <v>729</v>
      </c>
      <c r="N746" s="1280"/>
      <c r="O746" s="1277"/>
      <c r="P746" s="1277"/>
      <c r="Q746" s="1277"/>
      <c r="R746" s="1280" t="s">
        <v>1517</v>
      </c>
      <c r="S746" s="1277"/>
      <c r="T746" s="1280" t="str">
        <f t="shared" si="99"/>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95"/>
        <v/>
      </c>
      <c r="J747" s="1280" t="str">
        <f t="shared" si="100"/>
        <v/>
      </c>
      <c r="K747" s="1280" t="str">
        <f t="shared" si="96"/>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99"/>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95"/>
        <v/>
      </c>
      <c r="J748" s="1280" t="str">
        <f t="shared" si="100"/>
        <v/>
      </c>
      <c r="K748" s="1280" t="str">
        <f t="shared" si="96"/>
        <v/>
      </c>
      <c r="L748" s="801" t="s">
        <v>1484</v>
      </c>
      <c r="M748" s="1295">
        <v>731</v>
      </c>
      <c r="N748" s="1280"/>
      <c r="O748" s="1277"/>
      <c r="P748" s="1277"/>
      <c r="Q748" s="1277"/>
      <c r="R748" s="1280" t="s">
        <v>1517</v>
      </c>
      <c r="S748" s="1277"/>
      <c r="T748" s="1280" t="str">
        <f t="shared" si="99"/>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95"/>
        <v/>
      </c>
      <c r="J749" s="1280" t="str">
        <f t="shared" si="100"/>
        <v/>
      </c>
      <c r="K749" s="1280" t="str">
        <f t="shared" si="96"/>
        <v/>
      </c>
      <c r="L749" s="801" t="s">
        <v>1498</v>
      </c>
      <c r="M749" s="1295">
        <v>732</v>
      </c>
      <c r="N749" s="1280"/>
      <c r="O749" s="1277"/>
      <c r="P749" s="1277"/>
      <c r="Q749" s="1277"/>
      <c r="R749" s="1280" t="s">
        <v>1517</v>
      </c>
      <c r="S749" s="1277"/>
      <c r="T749" s="1280" t="str">
        <f t="shared" si="99"/>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3">_xlfn.IFNA(SUBSTITUTE(ADDRESS(1,MATCH(A750,INDIRECT("'"&amp;E750&amp;"'"&amp;"!A" &amp; $O$736 + 5 &amp; ":Z" &amp; $O$736+ 5),0),4),1,""),"")</f>
        <v>H</v>
      </c>
      <c r="D750" s="801" t="s">
        <v>1350</v>
      </c>
      <c r="E750" s="801" t="s">
        <v>1508</v>
      </c>
      <c r="F750" s="813"/>
      <c r="G750" s="1280"/>
      <c r="H750" s="1280"/>
      <c r="I750" s="1241" t="str">
        <f t="shared" si="95"/>
        <v/>
      </c>
      <c r="J750" s="1280" t="str">
        <f t="shared" si="100"/>
        <v/>
      </c>
      <c r="K750" s="1280" t="str">
        <f t="shared" si="96"/>
        <v/>
      </c>
      <c r="L750" s="801" t="s">
        <v>1380</v>
      </c>
      <c r="M750" s="1295">
        <v>733</v>
      </c>
      <c r="N750" s="1280"/>
      <c r="O750" s="1277"/>
      <c r="P750" s="1277"/>
      <c r="Q750" s="1277"/>
      <c r="R750" s="1280" t="s">
        <v>1517</v>
      </c>
      <c r="S750" s="1277"/>
      <c r="T750" s="1280" t="str">
        <f t="shared" si="99"/>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3"/>
        <v>J</v>
      </c>
      <c r="D751" s="801" t="s">
        <v>1350</v>
      </c>
      <c r="E751" s="801" t="s">
        <v>1508</v>
      </c>
      <c r="F751" s="813"/>
      <c r="G751" s="1280"/>
      <c r="H751" s="1280"/>
      <c r="I751" s="1241" t="str">
        <f t="shared" si="95"/>
        <v/>
      </c>
      <c r="J751" s="1280"/>
      <c r="K751" s="1280" t="str">
        <f t="shared" si="96"/>
        <v/>
      </c>
      <c r="L751" s="801" t="s">
        <v>1381</v>
      </c>
      <c r="M751" s="1295">
        <v>734</v>
      </c>
      <c r="N751" s="1280"/>
      <c r="O751" s="1277"/>
      <c r="P751" s="1277"/>
      <c r="Q751" s="1277"/>
      <c r="R751" s="1280" t="s">
        <v>1517</v>
      </c>
      <c r="S751" s="1277"/>
      <c r="T751" s="1280" t="str">
        <f t="shared" si="99"/>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3"/>
        <v>L</v>
      </c>
      <c r="D752" s="801" t="s">
        <v>1350</v>
      </c>
      <c r="E752" s="801" t="s">
        <v>1508</v>
      </c>
      <c r="F752" s="1052"/>
      <c r="G752" s="1280"/>
      <c r="H752" s="1280"/>
      <c r="I752" s="1241" t="str">
        <f t="shared" si="95"/>
        <v/>
      </c>
      <c r="J752" s="1280"/>
      <c r="K752" s="1280" t="str">
        <f t="shared" si="96"/>
        <v/>
      </c>
      <c r="L752" s="801" t="s">
        <v>1382</v>
      </c>
      <c r="M752" s="1295">
        <v>735</v>
      </c>
      <c r="N752" s="1280"/>
      <c r="O752" s="1277"/>
      <c r="P752" s="1277"/>
      <c r="Q752" s="1277"/>
      <c r="R752" s="1280" t="s">
        <v>1517</v>
      </c>
      <c r="S752" s="1277"/>
      <c r="T752" s="1280" t="str">
        <f t="shared" si="99"/>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3"/>
        <v>H</v>
      </c>
      <c r="D753" s="801" t="s">
        <v>1350</v>
      </c>
      <c r="E753" s="801" t="s">
        <v>1508</v>
      </c>
      <c r="F753" s="1280"/>
      <c r="G753" s="1280"/>
      <c r="H753" s="1280"/>
      <c r="I753" s="1241" t="str">
        <f t="shared" si="95"/>
        <v/>
      </c>
      <c r="J753" s="1280" t="str">
        <f t="shared" si="100"/>
        <v/>
      </c>
      <c r="K753" s="1280" t="str">
        <f t="shared" si="96"/>
        <v/>
      </c>
      <c r="L753" s="801" t="s">
        <v>1380</v>
      </c>
      <c r="M753" s="1295">
        <v>736</v>
      </c>
      <c r="N753" s="1280"/>
      <c r="O753" s="1277"/>
      <c r="P753" s="1277"/>
      <c r="Q753" s="1277"/>
      <c r="R753" s="1280" t="s">
        <v>1517</v>
      </c>
      <c r="S753" s="1277"/>
      <c r="T753" s="1280" t="str">
        <f t="shared" si="99"/>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3"/>
        <v>J</v>
      </c>
      <c r="D754" s="801" t="s">
        <v>1350</v>
      </c>
      <c r="E754" s="801" t="s">
        <v>1508</v>
      </c>
      <c r="F754" s="1280"/>
      <c r="G754" s="1280"/>
      <c r="H754" s="1280"/>
      <c r="I754" s="1241" t="str">
        <f t="shared" si="95"/>
        <v/>
      </c>
      <c r="J754" s="1280"/>
      <c r="K754" s="1280" t="str">
        <f t="shared" si="96"/>
        <v/>
      </c>
      <c r="L754" s="801" t="s">
        <v>1381</v>
      </c>
      <c r="M754" s="1295">
        <v>737</v>
      </c>
      <c r="N754" s="1280"/>
      <c r="O754" s="1277"/>
      <c r="P754" s="1277"/>
      <c r="Q754" s="1277"/>
      <c r="R754" s="1280" t="s">
        <v>1517</v>
      </c>
      <c r="S754" s="1277"/>
      <c r="T754" s="1280" t="str">
        <f t="shared" si="99"/>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3"/>
        <v>L</v>
      </c>
      <c r="D755" s="801" t="s">
        <v>1350</v>
      </c>
      <c r="E755" s="801" t="s">
        <v>1508</v>
      </c>
      <c r="F755" s="1280"/>
      <c r="G755" s="1280"/>
      <c r="H755" s="1280"/>
      <c r="I755" s="1241" t="str">
        <f t="shared" si="95"/>
        <v/>
      </c>
      <c r="J755" s="1280"/>
      <c r="K755" s="1280" t="str">
        <f t="shared" si="96"/>
        <v/>
      </c>
      <c r="L755" s="801" t="s">
        <v>1382</v>
      </c>
      <c r="M755" s="1295">
        <v>738</v>
      </c>
      <c r="N755" s="1280"/>
      <c r="O755" s="1277"/>
      <c r="P755" s="1277"/>
      <c r="Q755" s="1277"/>
      <c r="R755" s="1280" t="s">
        <v>1517</v>
      </c>
      <c r="S755" s="1277"/>
      <c r="T755" s="1280" t="str">
        <f t="shared" si="99"/>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3"/>
        <v>H</v>
      </c>
      <c r="D756" s="801" t="s">
        <v>1350</v>
      </c>
      <c r="E756" s="801" t="s">
        <v>1508</v>
      </c>
      <c r="F756" s="1280"/>
      <c r="G756" s="1280"/>
      <c r="H756" s="1280"/>
      <c r="I756" s="1241" t="str">
        <f t="shared" si="95"/>
        <v/>
      </c>
      <c r="J756" s="1280" t="str">
        <f t="shared" si="100"/>
        <v/>
      </c>
      <c r="K756" s="1280" t="str">
        <f t="shared" si="96"/>
        <v/>
      </c>
      <c r="L756" s="801" t="s">
        <v>1380</v>
      </c>
      <c r="M756" s="1295">
        <v>739</v>
      </c>
      <c r="N756" s="1280"/>
      <c r="O756" s="1277"/>
      <c r="P756" s="1277"/>
      <c r="Q756" s="1277"/>
      <c r="R756" s="1280" t="s">
        <v>1517</v>
      </c>
      <c r="S756" s="1277"/>
      <c r="T756" s="1280" t="str">
        <f t="shared" si="99"/>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3"/>
        <v>J</v>
      </c>
      <c r="D757" s="801" t="s">
        <v>1350</v>
      </c>
      <c r="E757" s="801" t="s">
        <v>1508</v>
      </c>
      <c r="F757" s="1280"/>
      <c r="G757" s="1280"/>
      <c r="H757" s="1280"/>
      <c r="I757" s="1241" t="str">
        <f t="shared" si="95"/>
        <v/>
      </c>
      <c r="J757" s="1280"/>
      <c r="K757" s="1280" t="str">
        <f t="shared" si="96"/>
        <v/>
      </c>
      <c r="L757" s="801" t="s">
        <v>1381</v>
      </c>
      <c r="M757" s="1295">
        <v>740</v>
      </c>
      <c r="N757" s="1280"/>
      <c r="O757" s="1277"/>
      <c r="P757" s="1277"/>
      <c r="Q757" s="1277"/>
      <c r="R757" s="1280" t="s">
        <v>1517</v>
      </c>
      <c r="S757" s="1277"/>
      <c r="T757" s="1280" t="str">
        <f t="shared" si="99"/>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3"/>
        <v>L</v>
      </c>
      <c r="D758" s="801" t="s">
        <v>1350</v>
      </c>
      <c r="E758" s="801" t="s">
        <v>1508</v>
      </c>
      <c r="F758" s="1280"/>
      <c r="G758" s="1280"/>
      <c r="H758" s="1280"/>
      <c r="I758" s="1241" t="str">
        <f t="shared" si="95"/>
        <v/>
      </c>
      <c r="J758" s="1280"/>
      <c r="K758" s="1280" t="str">
        <f t="shared" si="96"/>
        <v/>
      </c>
      <c r="L758" s="801" t="s">
        <v>1382</v>
      </c>
      <c r="M758" s="1295">
        <v>741</v>
      </c>
      <c r="N758" s="1280"/>
      <c r="O758" s="1277"/>
      <c r="P758" s="1277"/>
      <c r="Q758" s="1277"/>
      <c r="R758" s="1280" t="s">
        <v>1517</v>
      </c>
      <c r="S758" s="1277"/>
      <c r="T758" s="1280" t="str">
        <f t="shared" si="99"/>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3"/>
        <v>H</v>
      </c>
      <c r="D759" s="801" t="s">
        <v>1350</v>
      </c>
      <c r="E759" s="801" t="s">
        <v>1508</v>
      </c>
      <c r="F759" s="1280"/>
      <c r="G759" s="1280"/>
      <c r="H759" s="1280"/>
      <c r="I759" s="1241" t="str">
        <f t="shared" si="95"/>
        <v/>
      </c>
      <c r="J759" s="1280" t="str">
        <f t="shared" si="100"/>
        <v/>
      </c>
      <c r="K759" s="1280" t="str">
        <f t="shared" si="96"/>
        <v/>
      </c>
      <c r="L759" s="801" t="s">
        <v>1380</v>
      </c>
      <c r="M759" s="1295">
        <v>742</v>
      </c>
      <c r="N759" s="1280"/>
      <c r="O759" s="1277"/>
      <c r="P759" s="1277"/>
      <c r="Q759" s="1277"/>
      <c r="R759" s="1280" t="s">
        <v>1517</v>
      </c>
      <c r="S759" s="1277"/>
      <c r="T759" s="1280" t="str">
        <f t="shared" si="99"/>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3"/>
        <v>J</v>
      </c>
      <c r="D760" s="801" t="s">
        <v>1350</v>
      </c>
      <c r="E760" s="801" t="s">
        <v>1508</v>
      </c>
      <c r="F760" s="1280"/>
      <c r="G760" s="1280"/>
      <c r="H760" s="1280"/>
      <c r="I760" s="1241" t="str">
        <f t="shared" si="95"/>
        <v/>
      </c>
      <c r="J760" s="1280"/>
      <c r="K760" s="1280" t="str">
        <f t="shared" si="96"/>
        <v/>
      </c>
      <c r="L760" s="801" t="s">
        <v>1381</v>
      </c>
      <c r="M760" s="1295">
        <v>743</v>
      </c>
      <c r="N760" s="1280"/>
      <c r="O760" s="1277"/>
      <c r="P760" s="1277"/>
      <c r="Q760" s="1277"/>
      <c r="R760" s="1280" t="s">
        <v>1517</v>
      </c>
      <c r="S760" s="1277"/>
      <c r="T760" s="1280" t="str">
        <f t="shared" si="99"/>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3"/>
        <v>L</v>
      </c>
      <c r="D761" s="801" t="s">
        <v>1350</v>
      </c>
      <c r="E761" s="801" t="s">
        <v>1508</v>
      </c>
      <c r="F761" s="1280"/>
      <c r="G761" s="1280"/>
      <c r="H761" s="1280"/>
      <c r="I761" s="1241" t="str">
        <f t="shared" si="95"/>
        <v/>
      </c>
      <c r="J761" s="1280"/>
      <c r="K761" s="1280" t="str">
        <f t="shared" si="96"/>
        <v/>
      </c>
      <c r="L761" s="801" t="s">
        <v>1382</v>
      </c>
      <c r="M761" s="1295">
        <v>744</v>
      </c>
      <c r="N761" s="1280"/>
      <c r="O761" s="1277"/>
      <c r="P761" s="1277"/>
      <c r="Q761" s="1277"/>
      <c r="R761" s="1280" t="s">
        <v>1517</v>
      </c>
      <c r="S761" s="1277"/>
      <c r="T761" s="1280" t="str">
        <f t="shared" si="99"/>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3"/>
        <v>H</v>
      </c>
      <c r="D762" s="801" t="s">
        <v>1350</v>
      </c>
      <c r="E762" s="801" t="s">
        <v>1508</v>
      </c>
      <c r="F762" s="1280"/>
      <c r="G762" s="1280"/>
      <c r="H762" s="1280"/>
      <c r="I762" s="1241" t="str">
        <f t="shared" si="95"/>
        <v/>
      </c>
      <c r="J762" s="1280" t="str">
        <f t="shared" si="100"/>
        <v/>
      </c>
      <c r="K762" s="1280" t="str">
        <f t="shared" si="96"/>
        <v/>
      </c>
      <c r="L762" s="801" t="s">
        <v>1380</v>
      </c>
      <c r="M762" s="1295">
        <v>745</v>
      </c>
      <c r="N762" s="1280"/>
      <c r="O762" s="1277"/>
      <c r="P762" s="1277"/>
      <c r="Q762" s="1277"/>
      <c r="R762" s="1280" t="s">
        <v>1517</v>
      </c>
      <c r="S762" s="1277"/>
      <c r="T762" s="1280" t="str">
        <f t="shared" si="99"/>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3"/>
        <v>J</v>
      </c>
      <c r="D763" s="801" t="s">
        <v>1350</v>
      </c>
      <c r="E763" s="801" t="s">
        <v>1508</v>
      </c>
      <c r="F763" s="1280"/>
      <c r="G763" s="1280"/>
      <c r="H763" s="1280"/>
      <c r="I763" s="1241" t="str">
        <f t="shared" si="95"/>
        <v/>
      </c>
      <c r="J763" s="1280"/>
      <c r="K763" s="1280" t="str">
        <f t="shared" si="96"/>
        <v/>
      </c>
      <c r="L763" s="801" t="s">
        <v>1381</v>
      </c>
      <c r="M763" s="1295">
        <v>746</v>
      </c>
      <c r="N763" s="1280"/>
      <c r="O763" s="1277"/>
      <c r="P763" s="1277"/>
      <c r="Q763" s="1277"/>
      <c r="R763" s="1280" t="s">
        <v>1517</v>
      </c>
      <c r="S763" s="1277"/>
      <c r="T763" s="1280" t="str">
        <f t="shared" si="99"/>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3"/>
        <v>L</v>
      </c>
      <c r="D764" s="801" t="s">
        <v>1350</v>
      </c>
      <c r="E764" s="801" t="s">
        <v>1508</v>
      </c>
      <c r="F764" s="1280"/>
      <c r="G764" s="1280"/>
      <c r="H764" s="1280"/>
      <c r="I764" s="1241" t="str">
        <f t="shared" si="95"/>
        <v/>
      </c>
      <c r="J764" s="1280"/>
      <c r="K764" s="1280" t="str">
        <f t="shared" si="96"/>
        <v/>
      </c>
      <c r="L764" s="801" t="s">
        <v>1382</v>
      </c>
      <c r="M764" s="1295">
        <v>747</v>
      </c>
      <c r="N764" s="1280"/>
      <c r="O764" s="1277"/>
      <c r="P764" s="1277"/>
      <c r="Q764" s="1277"/>
      <c r="R764" s="1280" t="s">
        <v>1517</v>
      </c>
      <c r="S764" s="1277"/>
      <c r="T764" s="1280" t="str">
        <f t="shared" si="99"/>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95"/>
        <v/>
      </c>
      <c r="J765" s="1280"/>
      <c r="K765" s="1280" t="str">
        <f t="shared" si="96"/>
        <v/>
      </c>
      <c r="L765" s="801" t="s">
        <v>1483</v>
      </c>
      <c r="M765" s="1295">
        <v>748</v>
      </c>
      <c r="N765" s="1280"/>
      <c r="O765" s="1277" t="s">
        <v>725</v>
      </c>
      <c r="P765" s="1277"/>
      <c r="Q765" s="1277"/>
      <c r="R765" s="1280" t="s">
        <v>1523</v>
      </c>
      <c r="S765" s="1277"/>
      <c r="T765" s="1280" t="str">
        <f t="shared" ref="T765:T778" si="104">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95"/>
        <v/>
      </c>
      <c r="J766" s="1280" t="str">
        <f t="shared" ref="J766:J778" si="105">IF(M766&lt;&gt;"",IF($Q$766="Yes",Q$1&amp;M766,""))</f>
        <v/>
      </c>
      <c r="K766" s="1280" t="str">
        <f t="shared" si="96"/>
        <v/>
      </c>
      <c r="L766" s="801" t="s">
        <v>1697</v>
      </c>
      <c r="M766" s="1295">
        <v>749</v>
      </c>
      <c r="N766" s="1280"/>
      <c r="O766" s="1277">
        <f>'Configurable Tab'!H13</f>
        <v>151</v>
      </c>
      <c r="P766" s="1372" t="str">
        <f>'Configurable Tab'!J13</f>
        <v>Yes</v>
      </c>
      <c r="Q766" s="1317" t="s">
        <v>648</v>
      </c>
      <c r="R766" s="1280" t="s">
        <v>1523</v>
      </c>
      <c r="S766" s="1277"/>
      <c r="T766" s="1280" t="str">
        <f t="shared" si="104"/>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95"/>
        <v/>
      </c>
      <c r="J767" s="1280"/>
      <c r="K767" s="1280" t="str">
        <f t="shared" si="96"/>
        <v/>
      </c>
      <c r="L767" s="801" t="s">
        <v>1376</v>
      </c>
      <c r="M767" s="1295">
        <v>750</v>
      </c>
      <c r="N767" s="1280"/>
      <c r="O767" s="1277" t="s">
        <v>726</v>
      </c>
      <c r="P767" s="1277"/>
      <c r="Q767" s="1277"/>
      <c r="R767" s="1280" t="s">
        <v>1523</v>
      </c>
      <c r="S767" s="1277"/>
      <c r="T767" s="1280" t="str">
        <f t="shared" si="104"/>
        <v/>
      </c>
      <c r="U767" s="1277"/>
      <c r="V767" s="1277"/>
      <c r="W767" s="1277"/>
      <c r="X767" s="1277"/>
      <c r="Y767" s="1277"/>
      <c r="Z767" s="1277"/>
    </row>
    <row r="768" spans="1:26" x14ac:dyDescent="0.25">
      <c r="A768" s="819" t="s">
        <v>1373</v>
      </c>
      <c r="B768" s="801" t="str">
        <f t="shared" ref="B768:B774" ca="1" si="106">_xlfn.CONCAT(IFERROR(SUBSTITUTE(ADDRESS(1,MATCH(A768,INDIRECT("'"&amp;E768&amp;"'"&amp;"!A" &amp; $O$766 + 2 &amp; ":Z" &amp; $O$766+ 2),0),4),1,""),""),$O$766 + 2)</f>
        <v>H153</v>
      </c>
      <c r="C768" s="801" t="str">
        <f t="shared" ref="C768:C774" ca="1" si="107">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95"/>
        <v/>
      </c>
      <c r="J768" s="1280" t="str">
        <f t="shared" si="105"/>
        <v/>
      </c>
      <c r="K768" s="1280" t="str">
        <f t="shared" si="96"/>
        <v/>
      </c>
      <c r="L768" s="801" t="s">
        <v>1373</v>
      </c>
      <c r="M768" s="1295">
        <v>751</v>
      </c>
      <c r="N768" s="1280"/>
      <c r="O768" s="1277">
        <f>'Configurable Tab'!I13</f>
        <v>164</v>
      </c>
      <c r="P768" s="1277"/>
      <c r="Q768" s="1277"/>
      <c r="R768" s="1280" t="s">
        <v>1523</v>
      </c>
      <c r="S768" s="1277"/>
      <c r="T768" s="1280" t="str">
        <f t="shared" si="104"/>
        <v/>
      </c>
      <c r="U768" s="1277"/>
      <c r="V768" s="1277"/>
      <c r="W768" s="1277"/>
      <c r="X768" s="1277"/>
      <c r="Y768" s="1277"/>
      <c r="Z768" s="1277"/>
    </row>
    <row r="769" spans="1:26" x14ac:dyDescent="0.25">
      <c r="A769" s="819" t="s">
        <v>1374</v>
      </c>
      <c r="B769" s="801" t="str">
        <f t="shared" ca="1" si="106"/>
        <v>J153</v>
      </c>
      <c r="C769" s="801" t="str">
        <f t="shared" ca="1" si="107"/>
        <v>J154</v>
      </c>
      <c r="D769" s="801" t="s">
        <v>1343</v>
      </c>
      <c r="E769" s="801" t="s">
        <v>1508</v>
      </c>
      <c r="F769" s="1280" t="s">
        <v>1984</v>
      </c>
      <c r="G769" s="1280" t="str">
        <f>IF(T769&lt;&gt;"","I","")</f>
        <v/>
      </c>
      <c r="H769" s="1280" t="s">
        <v>1982</v>
      </c>
      <c r="I769" s="1241" t="str">
        <f t="shared" si="95"/>
        <v/>
      </c>
      <c r="J769" s="1280" t="str">
        <f t="shared" si="105"/>
        <v/>
      </c>
      <c r="K769" s="1280" t="str">
        <f t="shared" si="96"/>
        <v/>
      </c>
      <c r="L769" s="801" t="s">
        <v>1374</v>
      </c>
      <c r="M769" s="1295">
        <v>752</v>
      </c>
      <c r="N769" s="1280"/>
      <c r="O769" s="1277" t="s">
        <v>1634</v>
      </c>
      <c r="P769" s="1277"/>
      <c r="Q769" s="1277"/>
      <c r="R769" s="1280" t="s">
        <v>1523</v>
      </c>
      <c r="S769" s="1277"/>
      <c r="T769" s="1280" t="str">
        <f t="shared" si="104"/>
        <v/>
      </c>
      <c r="U769" s="1277"/>
      <c r="V769" s="1277"/>
      <c r="W769" s="1277"/>
      <c r="X769" s="1277"/>
      <c r="Y769" s="1277"/>
      <c r="Z769" s="1277"/>
    </row>
    <row r="770" spans="1:26" x14ac:dyDescent="0.25">
      <c r="A770" s="819" t="s">
        <v>1390</v>
      </c>
      <c r="B770" s="801" t="str">
        <f t="shared" ca="1" si="106"/>
        <v>L153</v>
      </c>
      <c r="C770" s="801" t="str">
        <f t="shared" ca="1" si="107"/>
        <v>L154</v>
      </c>
      <c r="D770" s="801" t="s">
        <v>1343</v>
      </c>
      <c r="E770" s="801" t="s">
        <v>1508</v>
      </c>
      <c r="F770" s="1280" t="s">
        <v>1985</v>
      </c>
      <c r="G770" s="1280" t="str">
        <f>IF(T770&lt;&gt;"","H","")</f>
        <v/>
      </c>
      <c r="H770" s="1280" t="s">
        <v>1982</v>
      </c>
      <c r="I770" s="1241" t="str">
        <f t="shared" si="95"/>
        <v/>
      </c>
      <c r="J770" s="1280" t="str">
        <f t="shared" si="105"/>
        <v/>
      </c>
      <c r="K770" s="1280" t="str">
        <f t="shared" si="96"/>
        <v/>
      </c>
      <c r="L770" s="801" t="s">
        <v>1390</v>
      </c>
      <c r="M770" s="1295">
        <v>753</v>
      </c>
      <c r="N770" s="1280"/>
      <c r="O770" s="1277"/>
      <c r="P770" s="1277"/>
      <c r="Q770" s="1277"/>
      <c r="R770" s="1280" t="s">
        <v>1523</v>
      </c>
      <c r="S770" s="1277"/>
      <c r="T770" s="1280" t="str">
        <f t="shared" si="104"/>
        <v/>
      </c>
      <c r="U770" s="1277"/>
      <c r="V770" s="1277"/>
      <c r="W770" s="1277"/>
      <c r="X770" s="1277"/>
      <c r="Y770" s="1277"/>
      <c r="Z770" s="1277"/>
    </row>
    <row r="771" spans="1:26" x14ac:dyDescent="0.25">
      <c r="A771" s="819" t="s">
        <v>1375</v>
      </c>
      <c r="B771" s="801" t="str">
        <f t="shared" ca="1" si="106"/>
        <v>N153</v>
      </c>
      <c r="C771" s="801" t="str">
        <f t="shared" ca="1" si="107"/>
        <v>N154</v>
      </c>
      <c r="D771" s="801" t="s">
        <v>1343</v>
      </c>
      <c r="E771" s="801" t="s">
        <v>1508</v>
      </c>
      <c r="F771" s="1280" t="s">
        <v>1375</v>
      </c>
      <c r="G771" s="1280" t="str">
        <f>IF(T771&lt;&gt;"",IF(Q769="Credit Memo","J",IF(Q769="Check","K","")),"")</f>
        <v/>
      </c>
      <c r="H771" s="1280" t="s">
        <v>1982</v>
      </c>
      <c r="I771" s="1241" t="str">
        <f t="shared" si="95"/>
        <v/>
      </c>
      <c r="J771" s="1280" t="str">
        <f t="shared" si="105"/>
        <v/>
      </c>
      <c r="K771" s="1280" t="str">
        <f t="shared" si="96"/>
        <v/>
      </c>
      <c r="L771" s="801" t="s">
        <v>1375</v>
      </c>
      <c r="M771" s="1295">
        <v>754</v>
      </c>
      <c r="N771" s="1280"/>
      <c r="O771" s="1277"/>
      <c r="P771" s="1277"/>
      <c r="Q771" s="1277"/>
      <c r="R771" s="1280" t="s">
        <v>1523</v>
      </c>
      <c r="S771" s="1277"/>
      <c r="T771" s="1280" t="str">
        <f t="shared" si="104"/>
        <v/>
      </c>
      <c r="U771" s="1277"/>
      <c r="V771" s="1277"/>
      <c r="W771" s="1277"/>
      <c r="X771" s="1277"/>
      <c r="Y771" s="1277"/>
      <c r="Z771" s="1277"/>
    </row>
    <row r="772" spans="1:26" x14ac:dyDescent="0.25">
      <c r="A772" s="819" t="s">
        <v>1478</v>
      </c>
      <c r="B772" s="801" t="str">
        <f t="shared" ca="1" si="106"/>
        <v>P153</v>
      </c>
      <c r="C772" s="801" t="str">
        <f t="shared" ca="1" si="107"/>
        <v>P154</v>
      </c>
      <c r="D772" s="801" t="s">
        <v>1343</v>
      </c>
      <c r="E772" s="801" t="s">
        <v>1508</v>
      </c>
      <c r="F772" s="1280" t="s">
        <v>1986</v>
      </c>
      <c r="G772" s="1280" t="str">
        <f>IF(T772&lt;&gt;"","F","")</f>
        <v/>
      </c>
      <c r="H772" s="1280" t="s">
        <v>1982</v>
      </c>
      <c r="I772" s="1241" t="str">
        <f t="shared" ref="I772:I835" si="108">IF(J772&lt;&gt;"",A772,"")</f>
        <v/>
      </c>
      <c r="J772" s="1280" t="str">
        <f t="shared" si="105"/>
        <v/>
      </c>
      <c r="K772" s="1280" t="str">
        <f t="shared" ref="K772:K835" si="109">IF(J772&lt;&gt;"",E772,"")</f>
        <v/>
      </c>
      <c r="L772" s="801" t="s">
        <v>1478</v>
      </c>
      <c r="M772" s="1295">
        <v>755</v>
      </c>
      <c r="N772" s="1280"/>
      <c r="O772" s="1277"/>
      <c r="P772" s="1277"/>
      <c r="Q772" s="1277"/>
      <c r="R772" s="1280" t="s">
        <v>1523</v>
      </c>
      <c r="S772" s="1277"/>
      <c r="T772" s="1280" t="str">
        <f t="shared" si="104"/>
        <v/>
      </c>
      <c r="U772" s="1277"/>
      <c r="V772" s="1277"/>
      <c r="W772" s="1277"/>
      <c r="X772" s="1277"/>
      <c r="Y772" s="1277"/>
      <c r="Z772" s="1277"/>
    </row>
    <row r="773" spans="1:26" x14ac:dyDescent="0.25">
      <c r="A773" s="819" t="s">
        <v>1479</v>
      </c>
      <c r="B773" s="801" t="str">
        <f t="shared" ca="1" si="106"/>
        <v>R153</v>
      </c>
      <c r="C773" s="801" t="str">
        <f t="shared" ca="1" si="107"/>
        <v>R154</v>
      </c>
      <c r="D773" s="801" t="s">
        <v>1343</v>
      </c>
      <c r="E773" s="801" t="s">
        <v>1508</v>
      </c>
      <c r="F773" s="1280" t="s">
        <v>1987</v>
      </c>
      <c r="G773" s="1280" t="str">
        <f>IF(T773&lt;&gt;"","G","")</f>
        <v/>
      </c>
      <c r="H773" s="1280" t="s">
        <v>1982</v>
      </c>
      <c r="I773" s="1241" t="str">
        <f t="shared" si="108"/>
        <v/>
      </c>
      <c r="J773" s="1280" t="str">
        <f t="shared" si="105"/>
        <v/>
      </c>
      <c r="K773" s="1280" t="str">
        <f t="shared" si="109"/>
        <v/>
      </c>
      <c r="L773" s="801" t="s">
        <v>1479</v>
      </c>
      <c r="M773" s="1295">
        <v>756</v>
      </c>
      <c r="N773" s="1280"/>
      <c r="O773" s="1277"/>
      <c r="P773" s="1277"/>
      <c r="Q773" s="1277"/>
      <c r="R773" s="1280" t="s">
        <v>1523</v>
      </c>
      <c r="S773" s="1277"/>
      <c r="T773" s="1280" t="str">
        <f t="shared" si="104"/>
        <v/>
      </c>
      <c r="U773" s="1277"/>
      <c r="V773" s="1277"/>
      <c r="W773" s="1277"/>
      <c r="X773" s="1277"/>
      <c r="Y773" s="1277"/>
      <c r="Z773" s="1277"/>
    </row>
    <row r="774" spans="1:26" x14ac:dyDescent="0.25">
      <c r="A774" s="819" t="s">
        <v>1480</v>
      </c>
      <c r="B774" s="801" t="str">
        <f t="shared" ca="1" si="106"/>
        <v>T153</v>
      </c>
      <c r="C774" s="801" t="str">
        <f t="shared" ca="1" si="107"/>
        <v>T154</v>
      </c>
      <c r="D774" s="801" t="s">
        <v>1343</v>
      </c>
      <c r="E774" s="801" t="s">
        <v>1508</v>
      </c>
      <c r="F774" s="813" t="s">
        <v>1480</v>
      </c>
      <c r="G774" s="1280" t="str">
        <f>IF(T774&lt;&gt;"","AW","")</f>
        <v/>
      </c>
      <c r="H774" s="1280" t="s">
        <v>1982</v>
      </c>
      <c r="I774" s="1241" t="str">
        <f t="shared" si="108"/>
        <v/>
      </c>
      <c r="J774" s="1280" t="str">
        <f t="shared" si="105"/>
        <v/>
      </c>
      <c r="K774" s="1280" t="str">
        <f t="shared" si="109"/>
        <v/>
      </c>
      <c r="L774" s="801" t="s">
        <v>1480</v>
      </c>
      <c r="M774" s="1295">
        <v>757</v>
      </c>
      <c r="N774" s="1280"/>
      <c r="O774" s="1277"/>
      <c r="P774" s="1277"/>
      <c r="Q774" s="1277"/>
      <c r="R774" s="1280" t="s">
        <v>1523</v>
      </c>
      <c r="S774" s="1277"/>
      <c r="T774" s="1280" t="str">
        <f t="shared" si="104"/>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08"/>
        <v/>
      </c>
      <c r="J775" s="1280"/>
      <c r="K775" s="1280" t="str">
        <f t="shared" si="109"/>
        <v/>
      </c>
      <c r="L775" s="801" t="s">
        <v>1378</v>
      </c>
      <c r="M775" s="1295">
        <v>758</v>
      </c>
      <c r="N775" s="1280"/>
      <c r="O775" s="1277"/>
      <c r="P775" s="1277"/>
      <c r="Q775" s="1277"/>
      <c r="R775" s="1280" t="s">
        <v>1523</v>
      </c>
      <c r="S775" s="1277"/>
      <c r="T775" s="1280" t="str">
        <f t="shared" si="104"/>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08"/>
        <v/>
      </c>
      <c r="J776" s="1280"/>
      <c r="K776" s="1280" t="str">
        <f t="shared" si="109"/>
        <v/>
      </c>
      <c r="L776" s="801" t="s">
        <v>1379</v>
      </c>
      <c r="M776" s="1295">
        <v>759</v>
      </c>
      <c r="N776" s="1280"/>
      <c r="O776" s="1277"/>
      <c r="P776" s="1277"/>
      <c r="Q776" s="1277"/>
      <c r="R776" s="1280" t="s">
        <v>1523</v>
      </c>
      <c r="S776" s="1277"/>
      <c r="T776" s="1280" t="str">
        <f t="shared" si="104"/>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08"/>
        <v/>
      </c>
      <c r="J777" s="1280" t="str">
        <f t="shared" si="105"/>
        <v/>
      </c>
      <c r="K777" s="1280" t="str">
        <f t="shared" si="109"/>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04"/>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08"/>
        <v/>
      </c>
      <c r="J778" s="1280" t="str">
        <f t="shared" si="105"/>
        <v/>
      </c>
      <c r="K778" s="1280" t="str">
        <f t="shared" si="109"/>
        <v/>
      </c>
      <c r="L778" s="801" t="s">
        <v>1484</v>
      </c>
      <c r="M778" s="1295">
        <v>761</v>
      </c>
      <c r="N778" s="1280"/>
      <c r="O778" s="1277"/>
      <c r="P778" s="1277"/>
      <c r="Q778" s="1277"/>
      <c r="R778" s="1280" t="s">
        <v>1523</v>
      </c>
      <c r="S778" s="1277"/>
      <c r="T778" s="1280" t="str">
        <f t="shared" si="104"/>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08"/>
        <v/>
      </c>
      <c r="J779" s="1280"/>
      <c r="K779" s="1280" t="str">
        <f t="shared" si="109"/>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08"/>
        <v/>
      </c>
      <c r="J780" s="1280"/>
      <c r="K780" s="1280" t="str">
        <f t="shared" si="109"/>
        <v/>
      </c>
      <c r="L780" s="801" t="s">
        <v>1483</v>
      </c>
      <c r="M780" s="1295">
        <v>763</v>
      </c>
      <c r="N780" s="1280"/>
      <c r="O780" s="1277" t="s">
        <v>725</v>
      </c>
      <c r="P780" s="1277"/>
      <c r="Q780" s="1277"/>
      <c r="R780" s="1280" t="s">
        <v>1523</v>
      </c>
      <c r="S780" s="1277"/>
      <c r="T780" s="1280" t="str">
        <f t="shared" ref="T780:T793" si="110">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08"/>
        <v/>
      </c>
      <c r="J781" s="1280" t="str">
        <f t="shared" ref="J781:J793" si="111">IF(M781&lt;&gt;"",IF($Q$781="Yes",Q$1&amp;M781,""))</f>
        <v/>
      </c>
      <c r="K781" s="1280" t="str">
        <f t="shared" si="109"/>
        <v/>
      </c>
      <c r="L781" s="801" t="s">
        <v>1697</v>
      </c>
      <c r="M781" s="1295">
        <v>764</v>
      </c>
      <c r="N781" s="1280"/>
      <c r="O781" s="1277">
        <f>'Configurable Tab'!H14</f>
        <v>165</v>
      </c>
      <c r="P781" s="1372" t="str">
        <f>'Configurable Tab'!J14</f>
        <v>Yes</v>
      </c>
      <c r="Q781" s="1317" t="s">
        <v>648</v>
      </c>
      <c r="R781" s="1280" t="s">
        <v>1523</v>
      </c>
      <c r="S781" s="1277"/>
      <c r="T781" s="1280" t="str">
        <f t="shared" si="110"/>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08"/>
        <v/>
      </c>
      <c r="J782" s="1280"/>
      <c r="K782" s="1280" t="str">
        <f t="shared" si="109"/>
        <v/>
      </c>
      <c r="L782" s="801" t="s">
        <v>1376</v>
      </c>
      <c r="M782" s="1295">
        <v>765</v>
      </c>
      <c r="N782" s="1280"/>
      <c r="O782" s="1277" t="s">
        <v>726</v>
      </c>
      <c r="P782" s="1277"/>
      <c r="Q782" s="1277"/>
      <c r="R782" s="1280" t="s">
        <v>1523</v>
      </c>
      <c r="S782" s="1277"/>
      <c r="T782" s="1280" t="str">
        <f t="shared" si="110"/>
        <v/>
      </c>
      <c r="U782" s="1277"/>
      <c r="V782" s="1277"/>
      <c r="W782" s="1277"/>
      <c r="X782" s="1277"/>
      <c r="Y782" s="1277"/>
      <c r="Z782" s="1277"/>
    </row>
    <row r="783" spans="1:26" x14ac:dyDescent="0.25">
      <c r="A783" s="822" t="s">
        <v>1373</v>
      </c>
      <c r="B783" s="801" t="str">
        <f t="shared" ref="B783:B789" ca="1" si="112">_xlfn.CONCAT(IFERROR(SUBSTITUTE(ADDRESS(1,MATCH(A783,INDIRECT("'"&amp;E783&amp;"'"&amp;"!A" &amp; $O$781 + 2 &amp; ":Z" &amp; $O$781+ 2),0),4),1,""),""),$O$781 + 2)</f>
        <v>H167</v>
      </c>
      <c r="C783" s="801" t="str">
        <f t="shared" ref="C783:C789" ca="1" si="113">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08"/>
        <v/>
      </c>
      <c r="J783" s="1280" t="str">
        <f t="shared" si="111"/>
        <v/>
      </c>
      <c r="K783" s="1280" t="str">
        <f t="shared" si="109"/>
        <v/>
      </c>
      <c r="L783" s="801" t="s">
        <v>1373</v>
      </c>
      <c r="M783" s="1295">
        <v>766</v>
      </c>
      <c r="N783" s="1280"/>
      <c r="O783" s="1277">
        <f>'Configurable Tab'!I14</f>
        <v>178</v>
      </c>
      <c r="P783" s="1277"/>
      <c r="Q783" s="1277"/>
      <c r="R783" s="1280" t="s">
        <v>1523</v>
      </c>
      <c r="S783" s="1277"/>
      <c r="T783" s="1280" t="str">
        <f t="shared" si="110"/>
        <v/>
      </c>
      <c r="U783" s="1277"/>
      <c r="V783" s="1277"/>
      <c r="W783" s="1277"/>
      <c r="X783" s="1277"/>
      <c r="Y783" s="1277"/>
      <c r="Z783" s="1277"/>
    </row>
    <row r="784" spans="1:26" x14ac:dyDescent="0.25">
      <c r="A784" s="822" t="s">
        <v>1374</v>
      </c>
      <c r="B784" s="801" t="str">
        <f t="shared" ca="1" si="112"/>
        <v>J167</v>
      </c>
      <c r="C784" s="801" t="str">
        <f t="shared" ca="1" si="113"/>
        <v>J168</v>
      </c>
      <c r="D784" s="801" t="s">
        <v>1343</v>
      </c>
      <c r="E784" s="801" t="s">
        <v>1508</v>
      </c>
      <c r="F784" s="1280" t="s">
        <v>1984</v>
      </c>
      <c r="G784" s="1280" t="str">
        <f>IF(T784&lt;&gt;"","I","")</f>
        <v/>
      </c>
      <c r="H784" s="1280" t="s">
        <v>1982</v>
      </c>
      <c r="I784" s="1241" t="str">
        <f t="shared" si="108"/>
        <v/>
      </c>
      <c r="J784" s="1280" t="str">
        <f t="shared" si="111"/>
        <v/>
      </c>
      <c r="K784" s="1280" t="str">
        <f t="shared" si="109"/>
        <v/>
      </c>
      <c r="L784" s="801" t="s">
        <v>1374</v>
      </c>
      <c r="M784" s="1295">
        <v>767</v>
      </c>
      <c r="N784" s="1280"/>
      <c r="O784" s="1277" t="s">
        <v>1635</v>
      </c>
      <c r="P784" s="1277"/>
      <c r="Q784" s="1277"/>
      <c r="R784" s="1280" t="s">
        <v>1523</v>
      </c>
      <c r="S784" s="1277"/>
      <c r="T784" s="1280" t="str">
        <f t="shared" si="110"/>
        <v/>
      </c>
      <c r="U784" s="1277"/>
      <c r="V784" s="1277"/>
      <c r="W784" s="1277"/>
      <c r="X784" s="1277"/>
      <c r="Y784" s="1277"/>
      <c r="Z784" s="1277"/>
    </row>
    <row r="785" spans="1:26" x14ac:dyDescent="0.25">
      <c r="A785" s="822" t="s">
        <v>1390</v>
      </c>
      <c r="B785" s="801" t="str">
        <f t="shared" ca="1" si="112"/>
        <v>L167</v>
      </c>
      <c r="C785" s="801" t="str">
        <f t="shared" ca="1" si="113"/>
        <v>L168</v>
      </c>
      <c r="D785" s="801" t="s">
        <v>1343</v>
      </c>
      <c r="E785" s="801" t="s">
        <v>1508</v>
      </c>
      <c r="F785" s="1280" t="s">
        <v>1985</v>
      </c>
      <c r="G785" s="1280" t="str">
        <f>IF(T785&lt;&gt;"","H","")</f>
        <v/>
      </c>
      <c r="H785" s="1280" t="s">
        <v>1982</v>
      </c>
      <c r="I785" s="1241" t="str">
        <f t="shared" si="108"/>
        <v/>
      </c>
      <c r="J785" s="1280" t="str">
        <f t="shared" si="111"/>
        <v/>
      </c>
      <c r="K785" s="1280" t="str">
        <f t="shared" si="109"/>
        <v/>
      </c>
      <c r="L785" s="801" t="s">
        <v>1390</v>
      </c>
      <c r="M785" s="1295">
        <v>768</v>
      </c>
      <c r="N785" s="1280"/>
      <c r="O785" s="1277"/>
      <c r="P785" s="1277"/>
      <c r="Q785" s="1277"/>
      <c r="R785" s="1280" t="s">
        <v>1523</v>
      </c>
      <c r="S785" s="1277"/>
      <c r="T785" s="1280" t="str">
        <f t="shared" si="110"/>
        <v/>
      </c>
      <c r="U785" s="1277"/>
      <c r="V785" s="1277"/>
      <c r="W785" s="1277"/>
      <c r="X785" s="1277"/>
      <c r="Y785" s="1277"/>
      <c r="Z785" s="1277"/>
    </row>
    <row r="786" spans="1:26" x14ac:dyDescent="0.25">
      <c r="A786" s="822" t="s">
        <v>1375</v>
      </c>
      <c r="B786" s="801" t="str">
        <f t="shared" ca="1" si="112"/>
        <v>N167</v>
      </c>
      <c r="C786" s="801" t="str">
        <f t="shared" ca="1" si="113"/>
        <v>N168</v>
      </c>
      <c r="D786" s="801" t="s">
        <v>1343</v>
      </c>
      <c r="E786" s="801" t="s">
        <v>1508</v>
      </c>
      <c r="F786" s="1280" t="s">
        <v>1375</v>
      </c>
      <c r="G786" s="1280" t="str">
        <f>IF(T786&lt;&gt;"",IF(Q784="Credit Memo","J",IF(Q784="Check","K","")),"")</f>
        <v/>
      </c>
      <c r="H786" s="1280" t="s">
        <v>1982</v>
      </c>
      <c r="I786" s="1241" t="str">
        <f t="shared" si="108"/>
        <v/>
      </c>
      <c r="J786" s="1280" t="str">
        <f t="shared" si="111"/>
        <v/>
      </c>
      <c r="K786" s="1280" t="str">
        <f t="shared" si="109"/>
        <v/>
      </c>
      <c r="L786" s="801" t="s">
        <v>1375</v>
      </c>
      <c r="M786" s="1295">
        <v>769</v>
      </c>
      <c r="N786" s="1280"/>
      <c r="O786" s="1277"/>
      <c r="P786" s="1277"/>
      <c r="Q786" s="1277"/>
      <c r="R786" s="1280" t="s">
        <v>1523</v>
      </c>
      <c r="S786" s="1277"/>
      <c r="T786" s="1280" t="str">
        <f t="shared" si="110"/>
        <v/>
      </c>
      <c r="U786" s="1277"/>
      <c r="V786" s="1277"/>
      <c r="W786" s="1277"/>
      <c r="X786" s="1277"/>
      <c r="Y786" s="1277"/>
      <c r="Z786" s="1277"/>
    </row>
    <row r="787" spans="1:26" x14ac:dyDescent="0.25">
      <c r="A787" s="822" t="s">
        <v>1478</v>
      </c>
      <c r="B787" s="801" t="str">
        <f t="shared" ca="1" si="112"/>
        <v>P167</v>
      </c>
      <c r="C787" s="801" t="str">
        <f t="shared" ca="1" si="113"/>
        <v>P168</v>
      </c>
      <c r="D787" s="801" t="s">
        <v>1343</v>
      </c>
      <c r="E787" s="801" t="s">
        <v>1508</v>
      </c>
      <c r="F787" s="1280" t="s">
        <v>1986</v>
      </c>
      <c r="G787" s="1280" t="str">
        <f>IF(T787&lt;&gt;"","F","")</f>
        <v/>
      </c>
      <c r="H787" s="1280" t="s">
        <v>1982</v>
      </c>
      <c r="I787" s="1241" t="str">
        <f t="shared" si="108"/>
        <v/>
      </c>
      <c r="J787" s="1280" t="str">
        <f t="shared" si="111"/>
        <v/>
      </c>
      <c r="K787" s="1280" t="str">
        <f t="shared" si="109"/>
        <v/>
      </c>
      <c r="L787" s="801" t="s">
        <v>1478</v>
      </c>
      <c r="M787" s="1295">
        <v>770</v>
      </c>
      <c r="N787" s="1280"/>
      <c r="O787" s="1277"/>
      <c r="P787" s="1277"/>
      <c r="Q787" s="1277"/>
      <c r="R787" s="1280" t="s">
        <v>1523</v>
      </c>
      <c r="S787" s="1277"/>
      <c r="T787" s="1280" t="str">
        <f t="shared" si="110"/>
        <v/>
      </c>
      <c r="U787" s="1277"/>
      <c r="V787" s="1277"/>
      <c r="W787" s="1277"/>
      <c r="X787" s="1277"/>
      <c r="Y787" s="1277"/>
      <c r="Z787" s="1277"/>
    </row>
    <row r="788" spans="1:26" x14ac:dyDescent="0.25">
      <c r="A788" s="822" t="s">
        <v>1479</v>
      </c>
      <c r="B788" s="801" t="str">
        <f t="shared" ca="1" si="112"/>
        <v>R167</v>
      </c>
      <c r="C788" s="801" t="str">
        <f t="shared" ca="1" si="113"/>
        <v>R168</v>
      </c>
      <c r="D788" s="801" t="s">
        <v>1343</v>
      </c>
      <c r="E788" s="801" t="s">
        <v>1508</v>
      </c>
      <c r="F788" s="1280" t="s">
        <v>1987</v>
      </c>
      <c r="G788" s="1280" t="str">
        <f>IF(T788&lt;&gt;"","G","")</f>
        <v/>
      </c>
      <c r="H788" s="1280" t="s">
        <v>1982</v>
      </c>
      <c r="I788" s="1241" t="str">
        <f t="shared" si="108"/>
        <v/>
      </c>
      <c r="J788" s="1280" t="str">
        <f t="shared" si="111"/>
        <v/>
      </c>
      <c r="K788" s="1280" t="str">
        <f t="shared" si="109"/>
        <v/>
      </c>
      <c r="L788" s="801" t="s">
        <v>1479</v>
      </c>
      <c r="M788" s="1295">
        <v>771</v>
      </c>
      <c r="N788" s="1280"/>
      <c r="O788" s="1277"/>
      <c r="P788" s="1277"/>
      <c r="Q788" s="1277"/>
      <c r="R788" s="1280" t="s">
        <v>1523</v>
      </c>
      <c r="S788" s="1277"/>
      <c r="T788" s="1280" t="str">
        <f t="shared" si="110"/>
        <v/>
      </c>
      <c r="U788" s="1277"/>
      <c r="V788" s="1277"/>
      <c r="W788" s="1277"/>
      <c r="X788" s="1277"/>
      <c r="Y788" s="1277"/>
      <c r="Z788" s="1277"/>
    </row>
    <row r="789" spans="1:26" x14ac:dyDescent="0.25">
      <c r="A789" s="822" t="s">
        <v>1480</v>
      </c>
      <c r="B789" s="801" t="str">
        <f t="shared" ca="1" si="112"/>
        <v>T167</v>
      </c>
      <c r="C789" s="801" t="str">
        <f t="shared" ca="1" si="113"/>
        <v>T168</v>
      </c>
      <c r="D789" s="801" t="s">
        <v>1343</v>
      </c>
      <c r="E789" s="801" t="s">
        <v>1508</v>
      </c>
      <c r="F789" s="813" t="s">
        <v>1480</v>
      </c>
      <c r="G789" s="1280" t="str">
        <f>IF(T789&lt;&gt;"","AW","")</f>
        <v/>
      </c>
      <c r="H789" s="1280" t="s">
        <v>1982</v>
      </c>
      <c r="I789" s="1241" t="str">
        <f t="shared" si="108"/>
        <v/>
      </c>
      <c r="J789" s="1280" t="str">
        <f t="shared" si="111"/>
        <v/>
      </c>
      <c r="K789" s="1280" t="str">
        <f t="shared" si="109"/>
        <v/>
      </c>
      <c r="L789" s="801" t="s">
        <v>1480</v>
      </c>
      <c r="M789" s="1295">
        <v>772</v>
      </c>
      <c r="N789" s="1280"/>
      <c r="O789" s="1277"/>
      <c r="P789" s="1277"/>
      <c r="Q789" s="1277"/>
      <c r="R789" s="1280" t="s">
        <v>1523</v>
      </c>
      <c r="S789" s="1277"/>
      <c r="T789" s="1280" t="str">
        <f t="shared" si="110"/>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08"/>
        <v/>
      </c>
      <c r="J790" s="1280"/>
      <c r="K790" s="1280" t="str">
        <f t="shared" si="109"/>
        <v/>
      </c>
      <c r="L790" s="801" t="s">
        <v>1378</v>
      </c>
      <c r="M790" s="1295">
        <v>773</v>
      </c>
      <c r="N790" s="1280"/>
      <c r="O790" s="1277"/>
      <c r="P790" s="1277"/>
      <c r="Q790" s="1277"/>
      <c r="R790" s="1280" t="s">
        <v>1523</v>
      </c>
      <c r="S790" s="1277"/>
      <c r="T790" s="1280" t="str">
        <f t="shared" si="110"/>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08"/>
        <v/>
      </c>
      <c r="J791" s="1280"/>
      <c r="K791" s="1280" t="str">
        <f t="shared" si="109"/>
        <v/>
      </c>
      <c r="L791" s="801" t="s">
        <v>1379</v>
      </c>
      <c r="M791" s="1295">
        <v>774</v>
      </c>
      <c r="N791" s="1280"/>
      <c r="O791" s="1277"/>
      <c r="P791" s="1277"/>
      <c r="Q791" s="1277"/>
      <c r="R791" s="1280" t="s">
        <v>1523</v>
      </c>
      <c r="S791" s="1277"/>
      <c r="T791" s="1280" t="str">
        <f t="shared" si="110"/>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08"/>
        <v/>
      </c>
      <c r="J792" s="1280" t="str">
        <f t="shared" si="111"/>
        <v/>
      </c>
      <c r="K792" s="1280" t="str">
        <f t="shared" si="109"/>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0"/>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08"/>
        <v/>
      </c>
      <c r="J793" s="1280" t="str">
        <f t="shared" si="111"/>
        <v/>
      </c>
      <c r="K793" s="1280" t="str">
        <f t="shared" si="109"/>
        <v/>
      </c>
      <c r="L793" s="801" t="s">
        <v>1484</v>
      </c>
      <c r="M793" s="1295">
        <v>776</v>
      </c>
      <c r="N793" s="1280"/>
      <c r="O793" s="1277"/>
      <c r="P793" s="1277"/>
      <c r="Q793" s="1277"/>
      <c r="R793" s="1280" t="s">
        <v>1523</v>
      </c>
      <c r="S793" s="1277"/>
      <c r="T793" s="1280" t="str">
        <f t="shared" si="110"/>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08"/>
        <v/>
      </c>
      <c r="J794" s="1280"/>
      <c r="K794" s="1280" t="str">
        <f t="shared" si="109"/>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08"/>
        <v/>
      </c>
      <c r="J795" s="1280"/>
      <c r="K795" s="1280" t="str">
        <f t="shared" si="109"/>
        <v/>
      </c>
      <c r="L795" s="801" t="s">
        <v>1483</v>
      </c>
      <c r="M795" s="1295">
        <v>778</v>
      </c>
      <c r="N795" s="1280"/>
      <c r="O795" s="1277" t="s">
        <v>725</v>
      </c>
      <c r="P795" s="1277"/>
      <c r="Q795" s="1277"/>
      <c r="R795" s="1280" t="s">
        <v>1523</v>
      </c>
      <c r="S795" s="1277"/>
      <c r="T795" s="1280" t="str">
        <f t="shared" ref="T795:T812" si="114">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08"/>
        <v/>
      </c>
      <c r="J796" s="1280" t="str">
        <f t="shared" ref="J796:J810" si="115">IF(M796&lt;&gt;"",IF($Q$796="Yes",Q$1&amp;M796,""))</f>
        <v/>
      </c>
      <c r="K796" s="1280" t="str">
        <f t="shared" si="109"/>
        <v/>
      </c>
      <c r="L796" s="801" t="s">
        <v>1697</v>
      </c>
      <c r="M796" s="1295">
        <v>779</v>
      </c>
      <c r="N796" s="1280"/>
      <c r="O796" s="1277">
        <f>'Configurable Tab'!H15</f>
        <v>179</v>
      </c>
      <c r="P796" s="1372" t="str">
        <f>'Configurable Tab'!J15</f>
        <v>Yes</v>
      </c>
      <c r="Q796" s="1317" t="s">
        <v>648</v>
      </c>
      <c r="R796" s="1280" t="s">
        <v>1523</v>
      </c>
      <c r="S796" s="1277"/>
      <c r="T796" s="1280" t="str">
        <f t="shared" si="114"/>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08"/>
        <v/>
      </c>
      <c r="J797" s="1280"/>
      <c r="K797" s="1280" t="str">
        <f t="shared" si="109"/>
        <v/>
      </c>
      <c r="L797" s="801" t="s">
        <v>1376</v>
      </c>
      <c r="M797" s="1295">
        <v>780</v>
      </c>
      <c r="N797" s="1280"/>
      <c r="O797" s="1277" t="s">
        <v>726</v>
      </c>
      <c r="P797" s="1277"/>
      <c r="Q797" s="1277"/>
      <c r="R797" s="1280" t="s">
        <v>1523</v>
      </c>
      <c r="S797" s="1277"/>
      <c r="T797" s="1280" t="str">
        <f t="shared" si="114"/>
        <v/>
      </c>
      <c r="U797" s="1277"/>
      <c r="V797" s="1277"/>
      <c r="W797" s="1277"/>
      <c r="X797" s="1277"/>
      <c r="Y797" s="1277"/>
      <c r="Z797" s="1277"/>
    </row>
    <row r="798" spans="1:26" x14ac:dyDescent="0.25">
      <c r="A798" s="819" t="s">
        <v>1373</v>
      </c>
      <c r="B798" s="801" t="str">
        <f t="shared" ref="B798:B804" ca="1" si="116">_xlfn.CONCAT(IFERROR(SUBSTITUTE(ADDRESS(1,MATCH(A798,INDIRECT("'"&amp;E798&amp;"'"&amp;"!A" &amp; $O$796 + 2 &amp; ":Z" &amp; $O$796+ 2),0),4),1,""),""),$O$796 + 2)</f>
        <v>H181</v>
      </c>
      <c r="C798" s="801" t="str">
        <f t="shared" ref="C798:C804" ca="1" si="117">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08"/>
        <v/>
      </c>
      <c r="J798" s="1280" t="str">
        <f t="shared" si="115"/>
        <v/>
      </c>
      <c r="K798" s="1280" t="str">
        <f t="shared" si="109"/>
        <v/>
      </c>
      <c r="L798" s="801" t="s">
        <v>1373</v>
      </c>
      <c r="M798" s="1295">
        <v>781</v>
      </c>
      <c r="N798" s="1280"/>
      <c r="O798" s="1277">
        <f>'Configurable Tab'!I15</f>
        <v>192</v>
      </c>
      <c r="P798" s="1277"/>
      <c r="Q798" s="1277"/>
      <c r="R798" s="1280" t="s">
        <v>1523</v>
      </c>
      <c r="S798" s="1277"/>
      <c r="T798" s="1280" t="str">
        <f t="shared" si="114"/>
        <v/>
      </c>
      <c r="U798" s="1277"/>
      <c r="V798" s="1277"/>
      <c r="W798" s="1277"/>
      <c r="X798" s="1277"/>
      <c r="Y798" s="1277"/>
      <c r="Z798" s="1277"/>
    </row>
    <row r="799" spans="1:26" x14ac:dyDescent="0.25">
      <c r="A799" s="819" t="s">
        <v>1374</v>
      </c>
      <c r="B799" s="801" t="str">
        <f t="shared" ca="1" si="116"/>
        <v>J181</v>
      </c>
      <c r="C799" s="801" t="str">
        <f t="shared" ca="1" si="117"/>
        <v>J182</v>
      </c>
      <c r="D799" s="801" t="s">
        <v>1343</v>
      </c>
      <c r="E799" s="801" t="s">
        <v>1508</v>
      </c>
      <c r="F799" s="1280" t="s">
        <v>1984</v>
      </c>
      <c r="G799" s="1280" t="str">
        <f>IF(T799&lt;&gt;"","I","")</f>
        <v/>
      </c>
      <c r="H799" s="1280" t="s">
        <v>1982</v>
      </c>
      <c r="I799" s="1241" t="str">
        <f t="shared" si="108"/>
        <v/>
      </c>
      <c r="J799" s="1280" t="str">
        <f t="shared" si="115"/>
        <v/>
      </c>
      <c r="K799" s="1280" t="str">
        <f t="shared" si="109"/>
        <v/>
      </c>
      <c r="L799" s="801" t="s">
        <v>1374</v>
      </c>
      <c r="M799" s="1295">
        <v>782</v>
      </c>
      <c r="N799" s="1280"/>
      <c r="O799" s="1277" t="s">
        <v>1636</v>
      </c>
      <c r="P799" s="1277"/>
      <c r="Q799" s="1277" t="s">
        <v>482</v>
      </c>
      <c r="R799" s="1280" t="s">
        <v>1523</v>
      </c>
      <c r="S799" s="1277"/>
      <c r="T799" s="1280" t="str">
        <f t="shared" si="114"/>
        <v/>
      </c>
      <c r="U799" s="1277"/>
      <c r="V799" s="1277"/>
      <c r="W799" s="1277"/>
      <c r="X799" s="1277"/>
      <c r="Y799" s="1277"/>
      <c r="Z799" s="1277"/>
    </row>
    <row r="800" spans="1:26" x14ac:dyDescent="0.25">
      <c r="A800" s="819" t="s">
        <v>1390</v>
      </c>
      <c r="B800" s="801" t="str">
        <f t="shared" ca="1" si="116"/>
        <v>L181</v>
      </c>
      <c r="C800" s="801" t="str">
        <f t="shared" ca="1" si="117"/>
        <v>L182</v>
      </c>
      <c r="D800" s="801" t="s">
        <v>1343</v>
      </c>
      <c r="E800" s="801" t="s">
        <v>1508</v>
      </c>
      <c r="F800" s="1280" t="s">
        <v>1985</v>
      </c>
      <c r="G800" s="1280" t="str">
        <f>IF(T800&lt;&gt;"","H","")</f>
        <v/>
      </c>
      <c r="H800" s="1280" t="s">
        <v>1982</v>
      </c>
      <c r="I800" s="1241" t="str">
        <f t="shared" si="108"/>
        <v/>
      </c>
      <c r="J800" s="1280" t="str">
        <f t="shared" si="115"/>
        <v/>
      </c>
      <c r="K800" s="1280" t="str">
        <f t="shared" si="109"/>
        <v/>
      </c>
      <c r="L800" s="801" t="s">
        <v>1390</v>
      </c>
      <c r="M800" s="1295">
        <v>783</v>
      </c>
      <c r="N800" s="1280"/>
      <c r="O800" s="1277"/>
      <c r="P800" s="1277"/>
      <c r="Q800" s="1277"/>
      <c r="R800" s="1280" t="s">
        <v>1523</v>
      </c>
      <c r="S800" s="1277"/>
      <c r="T800" s="1280" t="str">
        <f t="shared" si="114"/>
        <v/>
      </c>
      <c r="U800" s="1277"/>
      <c r="V800" s="1277"/>
      <c r="W800" s="1277"/>
      <c r="X800" s="1277"/>
      <c r="Y800" s="1277"/>
      <c r="Z800" s="1277"/>
    </row>
    <row r="801" spans="1:26" x14ac:dyDescent="0.25">
      <c r="A801" s="819" t="s">
        <v>1375</v>
      </c>
      <c r="B801" s="801" t="str">
        <f t="shared" ca="1" si="116"/>
        <v>N181</v>
      </c>
      <c r="C801" s="801" t="str">
        <f t="shared" ca="1" si="117"/>
        <v>N182</v>
      </c>
      <c r="D801" s="801" t="s">
        <v>1343</v>
      </c>
      <c r="E801" s="801" t="s">
        <v>1508</v>
      </c>
      <c r="F801" s="1280" t="s">
        <v>1375</v>
      </c>
      <c r="G801" s="1280" t="str">
        <f>IF(T801&lt;&gt;"",IF(Q799="Credit Memo","J",IF(Q799="Check","K","")),"")</f>
        <v/>
      </c>
      <c r="H801" s="1280" t="s">
        <v>1982</v>
      </c>
      <c r="I801" s="1241" t="str">
        <f t="shared" si="108"/>
        <v/>
      </c>
      <c r="J801" s="1280" t="str">
        <f t="shared" si="115"/>
        <v/>
      </c>
      <c r="K801" s="1280" t="str">
        <f t="shared" si="109"/>
        <v/>
      </c>
      <c r="L801" s="801" t="s">
        <v>1375</v>
      </c>
      <c r="M801" s="1295">
        <v>784</v>
      </c>
      <c r="N801" s="1280"/>
      <c r="O801" s="1277"/>
      <c r="P801" s="1277"/>
      <c r="Q801" s="1277"/>
      <c r="R801" s="1280" t="s">
        <v>1523</v>
      </c>
      <c r="S801" s="1277"/>
      <c r="T801" s="1280" t="str">
        <f t="shared" si="114"/>
        <v/>
      </c>
      <c r="U801" s="1277"/>
      <c r="V801" s="1277"/>
      <c r="W801" s="1277"/>
      <c r="X801" s="1277"/>
      <c r="Y801" s="1277"/>
      <c r="Z801" s="1277"/>
    </row>
    <row r="802" spans="1:26" x14ac:dyDescent="0.25">
      <c r="A802" s="819" t="s">
        <v>1478</v>
      </c>
      <c r="B802" s="801" t="str">
        <f t="shared" ca="1" si="116"/>
        <v>P181</v>
      </c>
      <c r="C802" s="801" t="str">
        <f t="shared" ca="1" si="117"/>
        <v>P182</v>
      </c>
      <c r="D802" s="801" t="s">
        <v>1343</v>
      </c>
      <c r="E802" s="801" t="s">
        <v>1508</v>
      </c>
      <c r="F802" s="1280" t="s">
        <v>1986</v>
      </c>
      <c r="G802" s="1280" t="str">
        <f>IF(T802&lt;&gt;"","F","")</f>
        <v/>
      </c>
      <c r="H802" s="1280" t="s">
        <v>1982</v>
      </c>
      <c r="I802" s="1241" t="str">
        <f t="shared" si="108"/>
        <v/>
      </c>
      <c r="J802" s="1280" t="str">
        <f t="shared" si="115"/>
        <v/>
      </c>
      <c r="K802" s="1280" t="str">
        <f t="shared" si="109"/>
        <v/>
      </c>
      <c r="L802" s="801" t="s">
        <v>1478</v>
      </c>
      <c r="M802" s="1295">
        <v>785</v>
      </c>
      <c r="N802" s="1280"/>
      <c r="O802" s="1277"/>
      <c r="P802" s="1277"/>
      <c r="Q802" s="1277"/>
      <c r="R802" s="1280" t="s">
        <v>1523</v>
      </c>
      <c r="S802" s="1277"/>
      <c r="T802" s="1280" t="str">
        <f t="shared" si="114"/>
        <v/>
      </c>
      <c r="U802" s="1277"/>
      <c r="V802" s="1277"/>
      <c r="W802" s="1277"/>
      <c r="X802" s="1277"/>
      <c r="Y802" s="1277"/>
      <c r="Z802" s="1277"/>
    </row>
    <row r="803" spans="1:26" x14ac:dyDescent="0.25">
      <c r="A803" s="819" t="s">
        <v>1479</v>
      </c>
      <c r="B803" s="801" t="str">
        <f t="shared" ca="1" si="116"/>
        <v>R181</v>
      </c>
      <c r="C803" s="801" t="str">
        <f t="shared" ca="1" si="117"/>
        <v>R182</v>
      </c>
      <c r="D803" s="801" t="s">
        <v>1343</v>
      </c>
      <c r="E803" s="801" t="s">
        <v>1508</v>
      </c>
      <c r="F803" s="1280" t="s">
        <v>1987</v>
      </c>
      <c r="G803" s="1280" t="str">
        <f>IF(T803&lt;&gt;"","G","")</f>
        <v/>
      </c>
      <c r="H803" s="1280" t="s">
        <v>1982</v>
      </c>
      <c r="I803" s="1241" t="str">
        <f t="shared" si="108"/>
        <v/>
      </c>
      <c r="J803" s="1280" t="str">
        <f t="shared" si="115"/>
        <v/>
      </c>
      <c r="K803" s="1280" t="str">
        <f t="shared" si="109"/>
        <v/>
      </c>
      <c r="L803" s="801" t="s">
        <v>1479</v>
      </c>
      <c r="M803" s="1295">
        <v>786</v>
      </c>
      <c r="N803" s="1280"/>
      <c r="O803" s="1277"/>
      <c r="P803" s="1277"/>
      <c r="Q803" s="1277"/>
      <c r="R803" s="1280" t="s">
        <v>1523</v>
      </c>
      <c r="S803" s="1277"/>
      <c r="T803" s="1280" t="str">
        <f t="shared" si="114"/>
        <v/>
      </c>
      <c r="U803" s="1277"/>
      <c r="V803" s="1277"/>
      <c r="W803" s="1277"/>
      <c r="X803" s="1277"/>
      <c r="Y803" s="1277"/>
      <c r="Z803" s="1277"/>
    </row>
    <row r="804" spans="1:26" x14ac:dyDescent="0.25">
      <c r="A804" s="819" t="s">
        <v>1480</v>
      </c>
      <c r="B804" s="801" t="str">
        <f t="shared" ca="1" si="116"/>
        <v>T181</v>
      </c>
      <c r="C804" s="801" t="str">
        <f t="shared" ca="1" si="117"/>
        <v>T182</v>
      </c>
      <c r="D804" s="801" t="s">
        <v>1343</v>
      </c>
      <c r="E804" s="801" t="s">
        <v>1508</v>
      </c>
      <c r="F804" s="813" t="s">
        <v>1480</v>
      </c>
      <c r="G804" s="1280" t="str">
        <f>IF(T804&lt;&gt;"","AW","")</f>
        <v/>
      </c>
      <c r="H804" s="1280" t="s">
        <v>1982</v>
      </c>
      <c r="I804" s="1241" t="str">
        <f t="shared" si="108"/>
        <v/>
      </c>
      <c r="J804" s="1280" t="str">
        <f t="shared" si="115"/>
        <v/>
      </c>
      <c r="K804" s="1280" t="str">
        <f t="shared" si="109"/>
        <v/>
      </c>
      <c r="L804" s="801" t="s">
        <v>1480</v>
      </c>
      <c r="M804" s="1295">
        <v>787</v>
      </c>
      <c r="N804" s="1280"/>
      <c r="O804" s="1277"/>
      <c r="P804" s="1277"/>
      <c r="Q804" s="1277"/>
      <c r="R804" s="1280" t="s">
        <v>1523</v>
      </c>
      <c r="S804" s="1277"/>
      <c r="T804" s="1280" t="str">
        <f t="shared" si="114"/>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08"/>
        <v/>
      </c>
      <c r="J805" s="1280"/>
      <c r="K805" s="1280" t="str">
        <f t="shared" si="109"/>
        <v/>
      </c>
      <c r="L805" s="801" t="s">
        <v>1378</v>
      </c>
      <c r="M805" s="1295">
        <v>788</v>
      </c>
      <c r="N805" s="1280"/>
      <c r="O805" s="1277"/>
      <c r="P805" s="1277"/>
      <c r="Q805" s="1277"/>
      <c r="R805" s="1280" t="s">
        <v>1523</v>
      </c>
      <c r="S805" s="1277"/>
      <c r="T805" s="1280" t="str">
        <f t="shared" si="114"/>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08"/>
        <v/>
      </c>
      <c r="J806" s="1280"/>
      <c r="K806" s="1280" t="str">
        <f t="shared" si="109"/>
        <v/>
      </c>
      <c r="L806" s="801" t="s">
        <v>1379</v>
      </c>
      <c r="M806" s="1295">
        <v>789</v>
      </c>
      <c r="N806" s="1280"/>
      <c r="O806" s="1277"/>
      <c r="P806" s="1277"/>
      <c r="Q806" s="1277"/>
      <c r="R806" s="1280" t="s">
        <v>1523</v>
      </c>
      <c r="S806" s="1277"/>
      <c r="T806" s="1280" t="str">
        <f t="shared" si="114"/>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08"/>
        <v/>
      </c>
      <c r="J807" s="1280" t="str">
        <f t="shared" si="115"/>
        <v/>
      </c>
      <c r="K807" s="1280" t="str">
        <f t="shared" si="109"/>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14"/>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08"/>
        <v/>
      </c>
      <c r="J808" s="1280" t="str">
        <f t="shared" si="115"/>
        <v/>
      </c>
      <c r="K808" s="1280" t="str">
        <f t="shared" si="109"/>
        <v/>
      </c>
      <c r="L808" s="801" t="s">
        <v>1484</v>
      </c>
      <c r="M808" s="1295">
        <v>791</v>
      </c>
      <c r="N808" s="1280"/>
      <c r="O808" s="1277"/>
      <c r="P808" s="1277"/>
      <c r="Q808" s="1277"/>
      <c r="R808" s="1280" t="s">
        <v>1523</v>
      </c>
      <c r="S808" s="1277"/>
      <c r="T808" s="1280" t="str">
        <f t="shared" si="114"/>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08"/>
        <v/>
      </c>
      <c r="J809" s="1280" t="str">
        <f t="shared" si="115"/>
        <v/>
      </c>
      <c r="K809" s="1280" t="str">
        <f t="shared" si="109"/>
        <v/>
      </c>
      <c r="L809" s="801" t="s">
        <v>1498</v>
      </c>
      <c r="M809" s="1295">
        <v>792</v>
      </c>
      <c r="N809" s="1280"/>
      <c r="O809" s="1277"/>
      <c r="P809" s="1277"/>
      <c r="Q809" s="1277"/>
      <c r="R809" s="1280" t="s">
        <v>1523</v>
      </c>
      <c r="S809" s="1277"/>
      <c r="T809" s="1280" t="str">
        <f t="shared" si="114"/>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08"/>
        <v/>
      </c>
      <c r="J810" s="1280" t="str">
        <f t="shared" si="115"/>
        <v/>
      </c>
      <c r="K810" s="1280" t="str">
        <f t="shared" si="109"/>
        <v/>
      </c>
      <c r="L810" s="801" t="s">
        <v>1380</v>
      </c>
      <c r="M810" s="1295">
        <v>793</v>
      </c>
      <c r="N810" s="1280"/>
      <c r="O810" s="1277"/>
      <c r="P810" s="1277"/>
      <c r="Q810" s="1277"/>
      <c r="R810" s="1280" t="s">
        <v>1523</v>
      </c>
      <c r="S810" s="1277"/>
      <c r="T810" s="1280" t="str">
        <f t="shared" si="114"/>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08"/>
        <v/>
      </c>
      <c r="J811" s="1280"/>
      <c r="K811" s="1280" t="str">
        <f t="shared" si="109"/>
        <v/>
      </c>
      <c r="L811" s="801" t="s">
        <v>1381</v>
      </c>
      <c r="M811" s="1295">
        <v>794</v>
      </c>
      <c r="N811" s="1280"/>
      <c r="O811" s="1277"/>
      <c r="P811" s="1277"/>
      <c r="Q811" s="1277"/>
      <c r="R811" s="1280" t="s">
        <v>1523</v>
      </c>
      <c r="S811" s="1277"/>
      <c r="T811" s="1280" t="str">
        <f t="shared" si="114"/>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08"/>
        <v/>
      </c>
      <c r="J812" s="1280"/>
      <c r="K812" s="1280" t="str">
        <f t="shared" si="109"/>
        <v/>
      </c>
      <c r="L812" s="801" t="s">
        <v>1382</v>
      </c>
      <c r="M812" s="1295">
        <v>795</v>
      </c>
      <c r="N812" s="1280"/>
      <c r="O812" s="1277"/>
      <c r="P812" s="1277"/>
      <c r="Q812" s="1277"/>
      <c r="R812" s="1280" t="s">
        <v>1523</v>
      </c>
      <c r="S812" s="1277"/>
      <c r="T812" s="1280" t="str">
        <f t="shared" si="114"/>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08"/>
        <v/>
      </c>
      <c r="J813" s="1280"/>
      <c r="K813" s="1280" t="str">
        <f t="shared" si="109"/>
        <v/>
      </c>
      <c r="L813" s="801" t="s">
        <v>1483</v>
      </c>
      <c r="M813" s="1295">
        <v>796</v>
      </c>
      <c r="N813" s="1280"/>
      <c r="O813" s="1277" t="s">
        <v>725</v>
      </c>
      <c r="P813" s="1372"/>
      <c r="Q813" s="1277"/>
      <c r="R813" s="1280" t="s">
        <v>1523</v>
      </c>
      <c r="S813" s="1277"/>
      <c r="T813" s="1280" t="str">
        <f t="shared" ref="T813:T830" si="118">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08"/>
        <v/>
      </c>
      <c r="J814" s="1280" t="str">
        <f t="shared" ref="J814:J828" si="119">IF(M814&lt;&gt;"",IF($Q$814="Yes",Q$1&amp;M814,""))</f>
        <v/>
      </c>
      <c r="K814" s="1280" t="str">
        <f t="shared" si="109"/>
        <v/>
      </c>
      <c r="L814" s="801" t="s">
        <v>1697</v>
      </c>
      <c r="M814" s="1295">
        <v>797</v>
      </c>
      <c r="N814" s="1280"/>
      <c r="O814" s="1277">
        <f>'Configurable Tab'!H16</f>
        <v>193</v>
      </c>
      <c r="P814" s="1372" t="str">
        <f>'Configurable Tab'!J16</f>
        <v>Yes</v>
      </c>
      <c r="Q814" s="1317" t="s">
        <v>648</v>
      </c>
      <c r="R814" s="1280" t="s">
        <v>1523</v>
      </c>
      <c r="S814" s="1277"/>
      <c r="T814" s="1280" t="str">
        <f t="shared" si="118"/>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08"/>
        <v/>
      </c>
      <c r="J815" s="1280"/>
      <c r="K815" s="1280" t="str">
        <f t="shared" si="109"/>
        <v/>
      </c>
      <c r="L815" s="801" t="s">
        <v>1376</v>
      </c>
      <c r="M815" s="1295">
        <v>798</v>
      </c>
      <c r="N815" s="1280"/>
      <c r="O815" s="1277" t="s">
        <v>726</v>
      </c>
      <c r="P815" s="1277"/>
      <c r="Q815" s="1277"/>
      <c r="R815" s="1280" t="s">
        <v>1523</v>
      </c>
      <c r="S815" s="1277"/>
      <c r="T815" s="1280" t="str">
        <f t="shared" si="118"/>
        <v/>
      </c>
      <c r="U815" s="1277"/>
      <c r="V815" s="1277"/>
      <c r="W815" s="1277"/>
      <c r="X815" s="1277"/>
      <c r="Y815" s="1277"/>
      <c r="Z815" s="1277"/>
    </row>
    <row r="816" spans="1:26" x14ac:dyDescent="0.25">
      <c r="A816" s="822" t="s">
        <v>1373</v>
      </c>
      <c r="B816" s="801" t="str">
        <f t="shared" ref="B816:B822" ca="1" si="120">_xlfn.CONCAT(IFERROR(SUBSTITUTE(ADDRESS(1,MATCH(A816,INDIRECT("'"&amp;E816&amp;"'"&amp;"!A" &amp; $O$814 + 2 &amp; ":Z" &amp; $O$814+ 2),0),4),1,""),""),$O$814 + 2)</f>
        <v>H195</v>
      </c>
      <c r="C816" s="801" t="str">
        <f t="shared" ref="C816:C822" ca="1" si="121">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08"/>
        <v/>
      </c>
      <c r="J816" s="1280" t="str">
        <f t="shared" si="119"/>
        <v/>
      </c>
      <c r="K816" s="1280" t="str">
        <f t="shared" si="109"/>
        <v/>
      </c>
      <c r="L816" s="801" t="s">
        <v>1373</v>
      </c>
      <c r="M816" s="1295">
        <v>799</v>
      </c>
      <c r="N816" s="1280"/>
      <c r="O816" s="1277">
        <f>'Configurable Tab'!I16</f>
        <v>206</v>
      </c>
      <c r="P816" s="1277"/>
      <c r="Q816" s="1277"/>
      <c r="R816" s="1280" t="s">
        <v>1523</v>
      </c>
      <c r="S816" s="1277"/>
      <c r="T816" s="1280" t="str">
        <f t="shared" si="118"/>
        <v/>
      </c>
      <c r="U816" s="1277"/>
      <c r="V816" s="1277"/>
      <c r="W816" s="1277"/>
      <c r="X816" s="1277"/>
      <c r="Y816" s="1277"/>
      <c r="Z816" s="1277"/>
    </row>
    <row r="817" spans="1:26" x14ac:dyDescent="0.25">
      <c r="A817" s="822" t="s">
        <v>1374</v>
      </c>
      <c r="B817" s="801" t="str">
        <f t="shared" ca="1" si="120"/>
        <v>J195</v>
      </c>
      <c r="C817" s="801" t="str">
        <f t="shared" ca="1" si="121"/>
        <v>J196</v>
      </c>
      <c r="D817" s="801" t="s">
        <v>1343</v>
      </c>
      <c r="E817" s="801" t="s">
        <v>1508</v>
      </c>
      <c r="F817" s="1280" t="s">
        <v>1984</v>
      </c>
      <c r="G817" s="1280" t="str">
        <f>IF(T817&lt;&gt;"","I","")</f>
        <v/>
      </c>
      <c r="H817" s="1280" t="s">
        <v>1982</v>
      </c>
      <c r="I817" s="1241" t="str">
        <f t="shared" si="108"/>
        <v/>
      </c>
      <c r="J817" s="1280" t="str">
        <f t="shared" si="119"/>
        <v/>
      </c>
      <c r="K817" s="1280" t="str">
        <f t="shared" si="109"/>
        <v/>
      </c>
      <c r="L817" s="801" t="s">
        <v>1374</v>
      </c>
      <c r="M817" s="1295">
        <v>800</v>
      </c>
      <c r="N817" s="1280"/>
      <c r="O817" s="1277" t="s">
        <v>1637</v>
      </c>
      <c r="P817" s="1277"/>
      <c r="Q817" s="1277"/>
      <c r="R817" s="1280" t="s">
        <v>1523</v>
      </c>
      <c r="S817" s="1277"/>
      <c r="T817" s="1280" t="str">
        <f t="shared" si="118"/>
        <v/>
      </c>
      <c r="U817" s="1277"/>
      <c r="V817" s="1277"/>
      <c r="W817" s="1277"/>
      <c r="X817" s="1277"/>
      <c r="Y817" s="1277"/>
      <c r="Z817" s="1277"/>
    </row>
    <row r="818" spans="1:26" x14ac:dyDescent="0.25">
      <c r="A818" s="822" t="s">
        <v>1390</v>
      </c>
      <c r="B818" s="801" t="str">
        <f t="shared" ca="1" si="120"/>
        <v>L195</v>
      </c>
      <c r="C818" s="801" t="str">
        <f t="shared" ca="1" si="121"/>
        <v>L196</v>
      </c>
      <c r="D818" s="801" t="s">
        <v>1343</v>
      </c>
      <c r="E818" s="801" t="s">
        <v>1508</v>
      </c>
      <c r="F818" s="1280" t="s">
        <v>1985</v>
      </c>
      <c r="G818" s="1280" t="str">
        <f>IF(T818&lt;&gt;"","H","")</f>
        <v/>
      </c>
      <c r="H818" s="1280" t="s">
        <v>1982</v>
      </c>
      <c r="I818" s="1241" t="str">
        <f t="shared" si="108"/>
        <v/>
      </c>
      <c r="J818" s="1280" t="str">
        <f t="shared" si="119"/>
        <v/>
      </c>
      <c r="K818" s="1280" t="str">
        <f t="shared" si="109"/>
        <v/>
      </c>
      <c r="L818" s="801" t="s">
        <v>1390</v>
      </c>
      <c r="M818" s="1295">
        <v>801</v>
      </c>
      <c r="N818" s="1280"/>
      <c r="O818" s="1277"/>
      <c r="P818" s="1277"/>
      <c r="Q818" s="1277"/>
      <c r="R818" s="1280" t="s">
        <v>1523</v>
      </c>
      <c r="S818" s="1277"/>
      <c r="T818" s="1280" t="str">
        <f t="shared" si="118"/>
        <v/>
      </c>
      <c r="U818" s="1277"/>
      <c r="V818" s="1277"/>
      <c r="W818" s="1277"/>
      <c r="X818" s="1277"/>
      <c r="Y818" s="1277"/>
      <c r="Z818" s="1277"/>
    </row>
    <row r="819" spans="1:26" x14ac:dyDescent="0.25">
      <c r="A819" s="822" t="s">
        <v>1375</v>
      </c>
      <c r="B819" s="801" t="str">
        <f t="shared" ca="1" si="120"/>
        <v>N195</v>
      </c>
      <c r="C819" s="801" t="str">
        <f t="shared" ca="1" si="121"/>
        <v>N196</v>
      </c>
      <c r="D819" s="801" t="s">
        <v>1343</v>
      </c>
      <c r="E819" s="801" t="s">
        <v>1508</v>
      </c>
      <c r="F819" s="1280" t="s">
        <v>1375</v>
      </c>
      <c r="G819" s="1280" t="str">
        <f>IF(T819&lt;&gt;"",IF(Q817="Credit Memo","J",IF(Q817="Check","K","")),"")</f>
        <v/>
      </c>
      <c r="H819" s="1280" t="s">
        <v>1982</v>
      </c>
      <c r="I819" s="1241" t="str">
        <f t="shared" si="108"/>
        <v/>
      </c>
      <c r="J819" s="1280" t="str">
        <f t="shared" si="119"/>
        <v/>
      </c>
      <c r="K819" s="1280" t="str">
        <f t="shared" si="109"/>
        <v/>
      </c>
      <c r="L819" s="801" t="s">
        <v>1375</v>
      </c>
      <c r="M819" s="1295">
        <v>802</v>
      </c>
      <c r="N819" s="1280"/>
      <c r="O819" s="1277"/>
      <c r="P819" s="1277"/>
      <c r="Q819" s="1277"/>
      <c r="R819" s="1280" t="s">
        <v>1523</v>
      </c>
      <c r="S819" s="1277"/>
      <c r="T819" s="1280" t="str">
        <f t="shared" si="118"/>
        <v/>
      </c>
      <c r="U819" s="1277"/>
      <c r="V819" s="1277"/>
      <c r="W819" s="1277"/>
      <c r="X819" s="1277"/>
      <c r="Y819" s="1277"/>
      <c r="Z819" s="1277"/>
    </row>
    <row r="820" spans="1:26" x14ac:dyDescent="0.25">
      <c r="A820" s="822" t="s">
        <v>1478</v>
      </c>
      <c r="B820" s="801" t="str">
        <f t="shared" ca="1" si="120"/>
        <v>P195</v>
      </c>
      <c r="C820" s="801" t="str">
        <f t="shared" ca="1" si="121"/>
        <v>P196</v>
      </c>
      <c r="D820" s="801" t="s">
        <v>1343</v>
      </c>
      <c r="E820" s="801" t="s">
        <v>1508</v>
      </c>
      <c r="F820" s="1280" t="s">
        <v>1986</v>
      </c>
      <c r="G820" s="1280" t="str">
        <f>IF(T820&lt;&gt;"","F","")</f>
        <v/>
      </c>
      <c r="H820" s="1280" t="s">
        <v>1982</v>
      </c>
      <c r="I820" s="1241" t="str">
        <f t="shared" si="108"/>
        <v/>
      </c>
      <c r="J820" s="1280" t="str">
        <f t="shared" si="119"/>
        <v/>
      </c>
      <c r="K820" s="1280" t="str">
        <f t="shared" si="109"/>
        <v/>
      </c>
      <c r="L820" s="801" t="s">
        <v>1478</v>
      </c>
      <c r="M820" s="1295">
        <v>803</v>
      </c>
      <c r="N820" s="1280"/>
      <c r="O820" s="1277"/>
      <c r="P820" s="1277"/>
      <c r="Q820" s="1277"/>
      <c r="R820" s="1280" t="s">
        <v>1523</v>
      </c>
      <c r="S820" s="1277"/>
      <c r="T820" s="1280" t="str">
        <f t="shared" si="118"/>
        <v/>
      </c>
      <c r="U820" s="1277"/>
      <c r="V820" s="1277"/>
      <c r="W820" s="1277"/>
      <c r="X820" s="1277"/>
      <c r="Y820" s="1277"/>
      <c r="Z820" s="1277"/>
    </row>
    <row r="821" spans="1:26" x14ac:dyDescent="0.25">
      <c r="A821" s="822" t="s">
        <v>1479</v>
      </c>
      <c r="B821" s="801" t="str">
        <f t="shared" ca="1" si="120"/>
        <v>R195</v>
      </c>
      <c r="C821" s="801" t="str">
        <f t="shared" ca="1" si="121"/>
        <v>R196</v>
      </c>
      <c r="D821" s="801" t="s">
        <v>1343</v>
      </c>
      <c r="E821" s="801" t="s">
        <v>1508</v>
      </c>
      <c r="F821" s="1280" t="s">
        <v>1987</v>
      </c>
      <c r="G821" s="1280" t="str">
        <f>IF(T821&lt;&gt;"","G","")</f>
        <v/>
      </c>
      <c r="H821" s="1280" t="s">
        <v>1982</v>
      </c>
      <c r="I821" s="1241" t="str">
        <f t="shared" si="108"/>
        <v/>
      </c>
      <c r="J821" s="1280" t="str">
        <f t="shared" si="119"/>
        <v/>
      </c>
      <c r="K821" s="1280" t="str">
        <f t="shared" si="109"/>
        <v/>
      </c>
      <c r="L821" s="801" t="s">
        <v>1479</v>
      </c>
      <c r="M821" s="1295">
        <v>804</v>
      </c>
      <c r="N821" s="1280"/>
      <c r="O821" s="1277"/>
      <c r="P821" s="1277"/>
      <c r="Q821" s="1277"/>
      <c r="R821" s="1280" t="s">
        <v>1523</v>
      </c>
      <c r="S821" s="1277"/>
      <c r="T821" s="1280" t="str">
        <f t="shared" si="118"/>
        <v/>
      </c>
      <c r="U821" s="1277"/>
      <c r="V821" s="1277"/>
      <c r="W821" s="1277"/>
      <c r="X821" s="1277"/>
      <c r="Y821" s="1277"/>
      <c r="Z821" s="1277"/>
    </row>
    <row r="822" spans="1:26" x14ac:dyDescent="0.25">
      <c r="A822" s="822" t="s">
        <v>1480</v>
      </c>
      <c r="B822" s="801" t="str">
        <f t="shared" ca="1" si="120"/>
        <v>T195</v>
      </c>
      <c r="C822" s="801" t="str">
        <f t="shared" ca="1" si="121"/>
        <v>T196</v>
      </c>
      <c r="D822" s="801" t="s">
        <v>1343</v>
      </c>
      <c r="E822" s="801" t="s">
        <v>1508</v>
      </c>
      <c r="F822" s="813" t="s">
        <v>1480</v>
      </c>
      <c r="G822" s="1280" t="str">
        <f>IF(T822&lt;&gt;"","AW","")</f>
        <v/>
      </c>
      <c r="H822" s="1280" t="s">
        <v>1982</v>
      </c>
      <c r="I822" s="1241" t="str">
        <f t="shared" si="108"/>
        <v/>
      </c>
      <c r="J822" s="1280" t="str">
        <f t="shared" si="119"/>
        <v/>
      </c>
      <c r="K822" s="1280" t="str">
        <f t="shared" si="109"/>
        <v/>
      </c>
      <c r="L822" s="801" t="s">
        <v>1480</v>
      </c>
      <c r="M822" s="1295">
        <v>805</v>
      </c>
      <c r="N822" s="1280"/>
      <c r="O822" s="1277"/>
      <c r="P822" s="1277"/>
      <c r="Q822" s="1277"/>
      <c r="R822" s="1280" t="s">
        <v>1523</v>
      </c>
      <c r="S822" s="1277"/>
      <c r="T822" s="1280" t="str">
        <f t="shared" si="118"/>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08"/>
        <v/>
      </c>
      <c r="J823" s="1280"/>
      <c r="K823" s="1280" t="str">
        <f t="shared" si="109"/>
        <v/>
      </c>
      <c r="L823" s="801" t="s">
        <v>1378</v>
      </c>
      <c r="M823" s="1295">
        <v>806</v>
      </c>
      <c r="N823" s="1280"/>
      <c r="O823" s="1277"/>
      <c r="P823" s="1277"/>
      <c r="Q823" s="1277"/>
      <c r="R823" s="1280" t="s">
        <v>1523</v>
      </c>
      <c r="S823" s="1277"/>
      <c r="T823" s="1280" t="str">
        <f t="shared" si="118"/>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08"/>
        <v/>
      </c>
      <c r="J824" s="1280"/>
      <c r="K824" s="1280" t="str">
        <f t="shared" si="109"/>
        <v/>
      </c>
      <c r="L824" s="801" t="s">
        <v>1379</v>
      </c>
      <c r="M824" s="1295">
        <v>807</v>
      </c>
      <c r="N824" s="1280"/>
      <c r="O824" s="1277"/>
      <c r="P824" s="1277"/>
      <c r="Q824" s="1277"/>
      <c r="R824" s="1280" t="s">
        <v>1523</v>
      </c>
      <c r="S824" s="1277"/>
      <c r="T824" s="1280" t="str">
        <f t="shared" si="118"/>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08"/>
        <v/>
      </c>
      <c r="J825" s="1280" t="str">
        <f t="shared" si="119"/>
        <v/>
      </c>
      <c r="K825" s="1280" t="str">
        <f t="shared" si="109"/>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18"/>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08"/>
        <v/>
      </c>
      <c r="J826" s="1280" t="str">
        <f t="shared" si="119"/>
        <v/>
      </c>
      <c r="K826" s="1280" t="str">
        <f t="shared" si="109"/>
        <v/>
      </c>
      <c r="L826" s="801" t="s">
        <v>1484</v>
      </c>
      <c r="M826" s="1295">
        <v>809</v>
      </c>
      <c r="N826" s="1280"/>
      <c r="O826" s="1277"/>
      <c r="P826" s="1277"/>
      <c r="Q826" s="1277"/>
      <c r="R826" s="1280" t="s">
        <v>1523</v>
      </c>
      <c r="S826" s="1277"/>
      <c r="T826" s="1280" t="str">
        <f t="shared" si="118"/>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08"/>
        <v/>
      </c>
      <c r="J827" s="1280" t="str">
        <f t="shared" si="119"/>
        <v/>
      </c>
      <c r="K827" s="1280" t="str">
        <f t="shared" si="109"/>
        <v/>
      </c>
      <c r="L827" s="801" t="s">
        <v>1498</v>
      </c>
      <c r="M827" s="1295">
        <v>810</v>
      </c>
      <c r="N827" s="1280"/>
      <c r="O827" s="1277"/>
      <c r="P827" s="1277"/>
      <c r="Q827" s="1277"/>
      <c r="R827" s="1280" t="s">
        <v>1523</v>
      </c>
      <c r="S827" s="1277"/>
      <c r="T827" s="1280" t="str">
        <f t="shared" si="118"/>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08"/>
        <v/>
      </c>
      <c r="J828" s="1280" t="str">
        <f t="shared" si="119"/>
        <v/>
      </c>
      <c r="K828" s="1280" t="str">
        <f t="shared" si="109"/>
        <v/>
      </c>
      <c r="L828" s="801" t="s">
        <v>1380</v>
      </c>
      <c r="M828" s="1295">
        <v>811</v>
      </c>
      <c r="N828" s="1280"/>
      <c r="O828" s="1277"/>
      <c r="P828" s="1277"/>
      <c r="Q828" s="1277"/>
      <c r="R828" s="1280" t="s">
        <v>1523</v>
      </c>
      <c r="S828" s="1277"/>
      <c r="T828" s="1280" t="str">
        <f t="shared" si="118"/>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08"/>
        <v/>
      </c>
      <c r="J829" s="1280"/>
      <c r="K829" s="1280" t="str">
        <f t="shared" si="109"/>
        <v/>
      </c>
      <c r="L829" s="801" t="s">
        <v>1381</v>
      </c>
      <c r="M829" s="1295">
        <v>812</v>
      </c>
      <c r="N829" s="1280"/>
      <c r="O829" s="1277"/>
      <c r="P829" s="1277"/>
      <c r="Q829" s="1277"/>
      <c r="R829" s="1280" t="s">
        <v>1523</v>
      </c>
      <c r="S829" s="1277"/>
      <c r="T829" s="1280" t="str">
        <f t="shared" si="118"/>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08"/>
        <v/>
      </c>
      <c r="J830" s="1280"/>
      <c r="K830" s="1280" t="str">
        <f t="shared" si="109"/>
        <v/>
      </c>
      <c r="L830" s="801" t="s">
        <v>1382</v>
      </c>
      <c r="M830" s="1295">
        <v>813</v>
      </c>
      <c r="N830" s="1280"/>
      <c r="O830" s="1277"/>
      <c r="P830" s="1277"/>
      <c r="Q830" s="1277"/>
      <c r="R830" s="1280" t="s">
        <v>1523</v>
      </c>
      <c r="S830" s="1277"/>
      <c r="T830" s="1280" t="str">
        <f t="shared" si="118"/>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08"/>
        <v/>
      </c>
      <c r="J831" s="1280"/>
      <c r="K831" s="1280" t="str">
        <f t="shared" si="109"/>
        <v/>
      </c>
      <c r="L831" s="801" t="s">
        <v>1483</v>
      </c>
      <c r="M831" s="1295">
        <v>814</v>
      </c>
      <c r="N831" s="1280"/>
      <c r="O831" s="1277" t="s">
        <v>725</v>
      </c>
      <c r="P831" s="1372"/>
      <c r="Q831" s="1277"/>
      <c r="R831" s="1280" t="s">
        <v>1523</v>
      </c>
      <c r="S831" s="1277"/>
      <c r="T831" s="1280" t="str">
        <f t="shared" ref="T831:T844" si="122">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08"/>
        <v/>
      </c>
      <c r="J832" s="1280" t="str">
        <f>IF(M832&lt;&gt;"",IF($Q$832="Yes",Q$1&amp;M832,""))</f>
        <v/>
      </c>
      <c r="K832" s="1280" t="str">
        <f t="shared" si="109"/>
        <v/>
      </c>
      <c r="L832" s="801" t="s">
        <v>1697</v>
      </c>
      <c r="M832" s="1295">
        <v>815</v>
      </c>
      <c r="N832" s="1280"/>
      <c r="O832" s="1277">
        <f>'Configurable Tab'!H17</f>
        <v>207</v>
      </c>
      <c r="P832" s="1372" t="str">
        <f>'Configurable Tab'!J17</f>
        <v>Yes</v>
      </c>
      <c r="Q832" s="1317" t="s">
        <v>648</v>
      </c>
      <c r="R832" s="1280" t="s">
        <v>1523</v>
      </c>
      <c r="S832" s="1252"/>
      <c r="T832" s="1280" t="str">
        <f t="shared" si="122"/>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08"/>
        <v/>
      </c>
      <c r="J833" s="1280"/>
      <c r="K833" s="1280" t="str">
        <f t="shared" si="109"/>
        <v/>
      </c>
      <c r="L833" s="801" t="s">
        <v>1376</v>
      </c>
      <c r="M833" s="1295">
        <v>816</v>
      </c>
      <c r="N833" s="1280"/>
      <c r="O833" s="1277" t="s">
        <v>726</v>
      </c>
      <c r="P833" s="1277"/>
      <c r="Q833" s="1277"/>
      <c r="R833" s="1280" t="s">
        <v>1523</v>
      </c>
      <c r="S833" s="1277"/>
      <c r="T833" s="1280" t="str">
        <f t="shared" si="122"/>
        <v/>
      </c>
      <c r="U833" s="1277"/>
      <c r="V833" s="1277"/>
      <c r="W833" s="1277"/>
      <c r="X833" s="1277"/>
      <c r="Y833" s="1277"/>
      <c r="Z833" s="1277"/>
    </row>
    <row r="834" spans="1:26" x14ac:dyDescent="0.25">
      <c r="A834" s="819" t="s">
        <v>1373</v>
      </c>
      <c r="B834" s="801" t="str">
        <f t="shared" ref="B834:B840" ca="1" si="123">_xlfn.CONCAT(IFERROR(SUBSTITUTE(ADDRESS(1,MATCH(A834,INDIRECT("'"&amp;E834&amp;"'"&amp;"!A" &amp; $O$832 + 2 &amp; ":Z" &amp; $O$832+ 2),0),4),1,""),""),$O$832 + 2)</f>
        <v>H209</v>
      </c>
      <c r="C834" s="801" t="str">
        <f t="shared" ref="C834:C840" ca="1" si="124">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08"/>
        <v/>
      </c>
      <c r="J834" s="1280" t="str">
        <f t="shared" ref="J834:J840" si="125">IF(M834&lt;&gt;"",IF($Q$832="Yes",Q$1&amp;M834,""))</f>
        <v/>
      </c>
      <c r="K834" s="1280" t="str">
        <f t="shared" si="109"/>
        <v/>
      </c>
      <c r="L834" s="801" t="s">
        <v>1373</v>
      </c>
      <c r="M834" s="1295">
        <v>817</v>
      </c>
      <c r="N834" s="1280"/>
      <c r="O834" s="1277">
        <f>'Configurable Tab'!I17</f>
        <v>222</v>
      </c>
      <c r="P834" s="1277"/>
      <c r="Q834" s="1277"/>
      <c r="R834" s="1280" t="s">
        <v>1523</v>
      </c>
      <c r="S834" s="1277"/>
      <c r="T834" s="1280" t="str">
        <f t="shared" si="122"/>
        <v/>
      </c>
      <c r="U834" s="1277"/>
      <c r="V834" s="1277"/>
      <c r="W834" s="1277"/>
      <c r="X834" s="1277"/>
      <c r="Y834" s="1277"/>
      <c r="Z834" s="1277"/>
    </row>
    <row r="835" spans="1:26" x14ac:dyDescent="0.25">
      <c r="A835" s="819" t="s">
        <v>1374</v>
      </c>
      <c r="B835" s="801" t="str">
        <f t="shared" ca="1" si="123"/>
        <v>J209</v>
      </c>
      <c r="C835" s="801" t="str">
        <f t="shared" ca="1" si="124"/>
        <v>J210</v>
      </c>
      <c r="D835" s="801" t="s">
        <v>1343</v>
      </c>
      <c r="E835" s="801" t="s">
        <v>1508</v>
      </c>
      <c r="F835" s="1280" t="s">
        <v>1984</v>
      </c>
      <c r="G835" s="1280" t="str">
        <f>IF(T835&lt;&gt;"","I","")</f>
        <v/>
      </c>
      <c r="H835" s="1280" t="s">
        <v>1982</v>
      </c>
      <c r="I835" s="1241" t="str">
        <f t="shared" si="108"/>
        <v/>
      </c>
      <c r="J835" s="1280" t="str">
        <f t="shared" si="125"/>
        <v/>
      </c>
      <c r="K835" s="1280" t="str">
        <f t="shared" si="109"/>
        <v/>
      </c>
      <c r="L835" s="801" t="s">
        <v>1374</v>
      </c>
      <c r="M835" s="1295">
        <v>818</v>
      </c>
      <c r="N835" s="1280"/>
      <c r="O835" s="1277" t="s">
        <v>1638</v>
      </c>
      <c r="P835" s="1277"/>
      <c r="Q835" s="1277"/>
      <c r="R835" s="1280" t="s">
        <v>1523</v>
      </c>
      <c r="S835" s="1277"/>
      <c r="T835" s="1280" t="str">
        <f t="shared" si="122"/>
        <v/>
      </c>
      <c r="U835" s="1277"/>
      <c r="V835" s="1277"/>
      <c r="W835" s="1277"/>
      <c r="X835" s="1277"/>
      <c r="Y835" s="1277"/>
      <c r="Z835" s="1277"/>
    </row>
    <row r="836" spans="1:26" x14ac:dyDescent="0.25">
      <c r="A836" s="819" t="s">
        <v>1390</v>
      </c>
      <c r="B836" s="801" t="str">
        <f t="shared" ca="1" si="123"/>
        <v>L209</v>
      </c>
      <c r="C836" s="801" t="str">
        <f t="shared" ca="1" si="124"/>
        <v>L210</v>
      </c>
      <c r="D836" s="801" t="s">
        <v>1343</v>
      </c>
      <c r="E836" s="801" t="s">
        <v>1508</v>
      </c>
      <c r="F836" s="1280" t="s">
        <v>1985</v>
      </c>
      <c r="G836" s="1280" t="str">
        <f>IF(T836&lt;&gt;"","H","")</f>
        <v/>
      </c>
      <c r="H836" s="1280" t="s">
        <v>1982</v>
      </c>
      <c r="I836" s="1241" t="str">
        <f t="shared" ref="I836:I899" si="126">IF(J836&lt;&gt;"",A836,"")</f>
        <v/>
      </c>
      <c r="J836" s="1280" t="str">
        <f t="shared" si="125"/>
        <v/>
      </c>
      <c r="K836" s="1280" t="str">
        <f t="shared" ref="K836:K899" si="127">IF(J836&lt;&gt;"",E836,"")</f>
        <v/>
      </c>
      <c r="L836" s="801" t="s">
        <v>1390</v>
      </c>
      <c r="M836" s="1295">
        <v>819</v>
      </c>
      <c r="N836" s="1280"/>
      <c r="O836" s="1277"/>
      <c r="P836" s="1277"/>
      <c r="Q836" s="1277"/>
      <c r="R836" s="1280" t="s">
        <v>1523</v>
      </c>
      <c r="S836" s="1277"/>
      <c r="T836" s="1280" t="str">
        <f t="shared" si="122"/>
        <v/>
      </c>
      <c r="U836" s="1277"/>
      <c r="V836" s="1277"/>
      <c r="W836" s="1277"/>
      <c r="X836" s="1277"/>
      <c r="Y836" s="1277"/>
      <c r="Z836" s="1277"/>
    </row>
    <row r="837" spans="1:26" x14ac:dyDescent="0.25">
      <c r="A837" s="819" t="s">
        <v>1375</v>
      </c>
      <c r="B837" s="801" t="str">
        <f t="shared" ca="1" si="123"/>
        <v>N209</v>
      </c>
      <c r="C837" s="801" t="str">
        <f t="shared" ca="1" si="124"/>
        <v>N210</v>
      </c>
      <c r="D837" s="801" t="s">
        <v>1343</v>
      </c>
      <c r="E837" s="801" t="s">
        <v>1508</v>
      </c>
      <c r="F837" s="1280" t="s">
        <v>1375</v>
      </c>
      <c r="G837" s="1280" t="str">
        <f>IF(T837&lt;&gt;"",IF(Q835="Credit Memo","J",IF(Q835="Check","K","")),"")</f>
        <v/>
      </c>
      <c r="H837" s="1280" t="s">
        <v>1982</v>
      </c>
      <c r="I837" s="1241" t="str">
        <f t="shared" si="126"/>
        <v/>
      </c>
      <c r="J837" s="1280" t="str">
        <f t="shared" si="125"/>
        <v/>
      </c>
      <c r="K837" s="1280" t="str">
        <f t="shared" si="127"/>
        <v/>
      </c>
      <c r="L837" s="801" t="s">
        <v>1375</v>
      </c>
      <c r="M837" s="1295">
        <v>820</v>
      </c>
      <c r="N837" s="1280"/>
      <c r="O837" s="1277"/>
      <c r="P837" s="1277"/>
      <c r="Q837" s="1277"/>
      <c r="R837" s="1280" t="s">
        <v>1523</v>
      </c>
      <c r="S837" s="1277"/>
      <c r="T837" s="1280" t="str">
        <f t="shared" si="122"/>
        <v/>
      </c>
      <c r="U837" s="1277"/>
      <c r="V837" s="1277"/>
      <c r="W837" s="1277"/>
      <c r="X837" s="1277"/>
      <c r="Y837" s="1277"/>
      <c r="Z837" s="1277"/>
    </row>
    <row r="838" spans="1:26" x14ac:dyDescent="0.25">
      <c r="A838" s="819" t="s">
        <v>1478</v>
      </c>
      <c r="B838" s="801" t="str">
        <f t="shared" ca="1" si="123"/>
        <v>P209</v>
      </c>
      <c r="C838" s="801" t="str">
        <f t="shared" ca="1" si="124"/>
        <v>P210</v>
      </c>
      <c r="D838" s="801" t="s">
        <v>1343</v>
      </c>
      <c r="E838" s="801" t="s">
        <v>1508</v>
      </c>
      <c r="F838" s="1280" t="s">
        <v>1986</v>
      </c>
      <c r="G838" s="1280" t="str">
        <f>IF(T838&lt;&gt;"","F","")</f>
        <v/>
      </c>
      <c r="H838" s="1280" t="s">
        <v>1982</v>
      </c>
      <c r="I838" s="1241" t="str">
        <f t="shared" si="126"/>
        <v/>
      </c>
      <c r="J838" s="1280" t="str">
        <f t="shared" si="125"/>
        <v/>
      </c>
      <c r="K838" s="1280" t="str">
        <f t="shared" si="127"/>
        <v/>
      </c>
      <c r="L838" s="801" t="s">
        <v>1478</v>
      </c>
      <c r="M838" s="1295">
        <v>821</v>
      </c>
      <c r="N838" s="1280"/>
      <c r="O838" s="1277"/>
      <c r="P838" s="1277"/>
      <c r="Q838" s="1277"/>
      <c r="R838" s="1280" t="s">
        <v>1523</v>
      </c>
      <c r="S838" s="1277"/>
      <c r="T838" s="1280" t="str">
        <f t="shared" si="122"/>
        <v/>
      </c>
      <c r="U838" s="1277"/>
      <c r="V838" s="1277"/>
      <c r="W838" s="1277"/>
      <c r="X838" s="1277"/>
      <c r="Y838" s="1277"/>
      <c r="Z838" s="1277"/>
    </row>
    <row r="839" spans="1:26" x14ac:dyDescent="0.25">
      <c r="A839" s="819" t="s">
        <v>1479</v>
      </c>
      <c r="B839" s="801" t="str">
        <f t="shared" ca="1" si="123"/>
        <v>R209</v>
      </c>
      <c r="C839" s="801" t="str">
        <f t="shared" ca="1" si="124"/>
        <v>R210</v>
      </c>
      <c r="D839" s="801" t="s">
        <v>1343</v>
      </c>
      <c r="E839" s="801" t="s">
        <v>1508</v>
      </c>
      <c r="F839" s="1280" t="s">
        <v>1987</v>
      </c>
      <c r="G839" s="1280" t="str">
        <f>IF(T839&lt;&gt;"","G","")</f>
        <v/>
      </c>
      <c r="H839" s="1280" t="s">
        <v>1982</v>
      </c>
      <c r="I839" s="1241" t="str">
        <f t="shared" si="126"/>
        <v/>
      </c>
      <c r="J839" s="1280" t="str">
        <f t="shared" si="125"/>
        <v/>
      </c>
      <c r="K839" s="1280" t="str">
        <f t="shared" si="127"/>
        <v/>
      </c>
      <c r="L839" s="801" t="s">
        <v>1479</v>
      </c>
      <c r="M839" s="1295">
        <v>822</v>
      </c>
      <c r="N839" s="1280"/>
      <c r="O839" s="1277"/>
      <c r="P839" s="1277"/>
      <c r="Q839" s="1277"/>
      <c r="R839" s="1280" t="s">
        <v>1523</v>
      </c>
      <c r="S839" s="1277"/>
      <c r="T839" s="1280" t="str">
        <f t="shared" si="122"/>
        <v/>
      </c>
      <c r="U839" s="1277"/>
      <c r="V839" s="1277"/>
      <c r="W839" s="1277"/>
      <c r="X839" s="1277"/>
      <c r="Y839" s="1277"/>
      <c r="Z839" s="1277"/>
    </row>
    <row r="840" spans="1:26" x14ac:dyDescent="0.25">
      <c r="A840" s="819" t="s">
        <v>1480</v>
      </c>
      <c r="B840" s="801" t="str">
        <f t="shared" ca="1" si="123"/>
        <v>T209</v>
      </c>
      <c r="C840" s="801" t="str">
        <f t="shared" ca="1" si="124"/>
        <v>T210</v>
      </c>
      <c r="D840" s="801" t="s">
        <v>1343</v>
      </c>
      <c r="E840" s="801" t="s">
        <v>1508</v>
      </c>
      <c r="F840" s="813" t="s">
        <v>1480</v>
      </c>
      <c r="G840" s="1280" t="str">
        <f>IF(T840&lt;&gt;"","AW","")</f>
        <v/>
      </c>
      <c r="H840" s="1280" t="s">
        <v>1982</v>
      </c>
      <c r="I840" s="1241" t="str">
        <f t="shared" si="126"/>
        <v/>
      </c>
      <c r="J840" s="1280" t="str">
        <f t="shared" si="125"/>
        <v/>
      </c>
      <c r="K840" s="1280" t="str">
        <f t="shared" si="127"/>
        <v/>
      </c>
      <c r="L840" s="801" t="s">
        <v>1480</v>
      </c>
      <c r="M840" s="1295">
        <v>823</v>
      </c>
      <c r="N840" s="1280"/>
      <c r="O840" s="1277"/>
      <c r="P840" s="1277"/>
      <c r="Q840" s="1277"/>
      <c r="R840" s="1280" t="s">
        <v>1523</v>
      </c>
      <c r="S840" s="1277"/>
      <c r="T840" s="1280" t="str">
        <f t="shared" si="122"/>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26"/>
        <v/>
      </c>
      <c r="J841" s="1280"/>
      <c r="K841" s="1280" t="str">
        <f t="shared" si="127"/>
        <v/>
      </c>
      <c r="L841" s="801" t="s">
        <v>1378</v>
      </c>
      <c r="M841" s="1295">
        <v>824</v>
      </c>
      <c r="N841" s="1280"/>
      <c r="O841" s="1277"/>
      <c r="P841" s="1277"/>
      <c r="Q841" s="1277"/>
      <c r="R841" s="1280" t="s">
        <v>1523</v>
      </c>
      <c r="S841" s="1277"/>
      <c r="T841" s="1280" t="str">
        <f t="shared" si="122"/>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26"/>
        <v/>
      </c>
      <c r="J842" s="1280"/>
      <c r="K842" s="1280" t="str">
        <f t="shared" si="127"/>
        <v/>
      </c>
      <c r="L842" s="801" t="s">
        <v>1379</v>
      </c>
      <c r="M842" s="1295">
        <v>825</v>
      </c>
      <c r="N842" s="1280"/>
      <c r="O842" s="1277"/>
      <c r="P842" s="1277"/>
      <c r="Q842" s="1277"/>
      <c r="R842" s="1280" t="s">
        <v>1523</v>
      </c>
      <c r="S842" s="1277"/>
      <c r="T842" s="1280" t="str">
        <f t="shared" si="122"/>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26"/>
        <v/>
      </c>
      <c r="J843" s="1280" t="str">
        <f>IF(M843&lt;&gt;"",IF($Q$832="Yes",Q$1&amp;M843,""))</f>
        <v/>
      </c>
      <c r="K843" s="1280" t="str">
        <f t="shared" si="127"/>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2"/>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26"/>
        <v/>
      </c>
      <c r="J844" s="1280" t="str">
        <f>IF(M844&lt;&gt;"",IF($Q$832="Yes",Q$1&amp;M844,""))</f>
        <v/>
      </c>
      <c r="K844" s="1280" t="str">
        <f t="shared" si="127"/>
        <v/>
      </c>
      <c r="L844" s="801" t="s">
        <v>1484</v>
      </c>
      <c r="M844" s="1295">
        <v>827</v>
      </c>
      <c r="N844" s="1280"/>
      <c r="O844" s="1277"/>
      <c r="P844" s="1277"/>
      <c r="Q844" s="1277"/>
      <c r="R844" s="1280" t="s">
        <v>1523</v>
      </c>
      <c r="S844" s="1277"/>
      <c r="T844" s="1280" t="str">
        <f t="shared" si="122"/>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26"/>
        <v/>
      </c>
      <c r="J845" s="1280" t="str">
        <f>IF(M845&lt;&gt;"",IF($Q$832="Yes",Q$1&amp;M845,""))</f>
        <v/>
      </c>
      <c r="K845" s="1280" t="str">
        <f t="shared" si="127"/>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28">_xlfn.IFNA(SUBSTITUTE(ADDRESS(1,MATCH(A846,INDIRECT("'"&amp;E846&amp;"'"&amp;"!A" &amp; $O$832 + 5 &amp; ":Z" &amp; $O$832+ 5),0),4),1,""),"")</f>
        <v>H</v>
      </c>
      <c r="D846" s="801" t="s">
        <v>1350</v>
      </c>
      <c r="E846" s="801" t="s">
        <v>1508</v>
      </c>
      <c r="F846" s="813"/>
      <c r="G846" s="1280"/>
      <c r="H846" s="1280"/>
      <c r="I846" s="1241" t="str">
        <f t="shared" si="126"/>
        <v/>
      </c>
      <c r="J846" s="1280" t="str">
        <f>IF(M846&lt;&gt;"",IF($Q$832="Yes",Q$1&amp;M846,""))</f>
        <v/>
      </c>
      <c r="K846" s="1280" t="str">
        <f t="shared" si="127"/>
        <v/>
      </c>
      <c r="L846" s="801" t="s">
        <v>1380</v>
      </c>
      <c r="M846" s="1295">
        <v>829</v>
      </c>
      <c r="N846" s="1280"/>
      <c r="O846" s="1277"/>
      <c r="P846" s="1277"/>
      <c r="Q846" s="1277"/>
      <c r="R846" s="1280" t="s">
        <v>1523</v>
      </c>
      <c r="S846" s="1277"/>
      <c r="T846" s="1280" t="str">
        <f t="shared" ref="T846:T860" si="129">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28"/>
        <v>J</v>
      </c>
      <c r="D847" s="801" t="s">
        <v>1350</v>
      </c>
      <c r="E847" s="801" t="s">
        <v>1508</v>
      </c>
      <c r="F847" s="813"/>
      <c r="G847" s="1280"/>
      <c r="H847" s="1280"/>
      <c r="I847" s="1241" t="str">
        <f t="shared" si="126"/>
        <v/>
      </c>
      <c r="J847" s="1280"/>
      <c r="K847" s="1280" t="str">
        <f t="shared" si="127"/>
        <v/>
      </c>
      <c r="L847" s="801" t="s">
        <v>1381</v>
      </c>
      <c r="M847" s="1295">
        <v>830</v>
      </c>
      <c r="N847" s="1280"/>
      <c r="O847" s="1277"/>
      <c r="P847" s="1277"/>
      <c r="Q847" s="1277"/>
      <c r="R847" s="1280" t="s">
        <v>1523</v>
      </c>
      <c r="S847" s="1277"/>
      <c r="T847" s="1280" t="str">
        <f t="shared" si="129"/>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28"/>
        <v>L</v>
      </c>
      <c r="D848" s="801" t="s">
        <v>1350</v>
      </c>
      <c r="E848" s="801" t="s">
        <v>1508</v>
      </c>
      <c r="F848" s="1052"/>
      <c r="G848" s="1280"/>
      <c r="H848" s="1280"/>
      <c r="I848" s="1241" t="str">
        <f t="shared" si="126"/>
        <v/>
      </c>
      <c r="J848" s="1280"/>
      <c r="K848" s="1280" t="str">
        <f t="shared" si="127"/>
        <v/>
      </c>
      <c r="L848" s="801" t="s">
        <v>1382</v>
      </c>
      <c r="M848" s="1295">
        <v>831</v>
      </c>
      <c r="N848" s="1280"/>
      <c r="O848" s="1277"/>
      <c r="P848" s="1277"/>
      <c r="Q848" s="1277"/>
      <c r="R848" s="1280" t="s">
        <v>1523</v>
      </c>
      <c r="S848" s="1277"/>
      <c r="T848" s="1280" t="str">
        <f t="shared" si="129"/>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28"/>
        <v>H</v>
      </c>
      <c r="D849" s="801" t="s">
        <v>1350</v>
      </c>
      <c r="E849" s="801" t="s">
        <v>1508</v>
      </c>
      <c r="F849" s="1280"/>
      <c r="G849" s="1280"/>
      <c r="H849" s="1280"/>
      <c r="I849" s="1241" t="str">
        <f t="shared" si="126"/>
        <v/>
      </c>
      <c r="J849" s="1280" t="str">
        <f>IF(M849&lt;&gt;"",IF($Q$832="Yes",Q$1&amp;M849,""))</f>
        <v/>
      </c>
      <c r="K849" s="1280" t="str">
        <f t="shared" si="127"/>
        <v/>
      </c>
      <c r="L849" s="801" t="s">
        <v>1380</v>
      </c>
      <c r="M849" s="1295">
        <v>832</v>
      </c>
      <c r="N849" s="1280"/>
      <c r="O849" s="1277"/>
      <c r="P849" s="1277"/>
      <c r="Q849" s="1277"/>
      <c r="R849" s="1280" t="s">
        <v>1523</v>
      </c>
      <c r="S849" s="1277"/>
      <c r="T849" s="1280" t="str">
        <f t="shared" si="129"/>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28"/>
        <v>J</v>
      </c>
      <c r="D850" s="801" t="s">
        <v>1350</v>
      </c>
      <c r="E850" s="801" t="s">
        <v>1508</v>
      </c>
      <c r="F850" s="1280"/>
      <c r="G850" s="1280"/>
      <c r="H850" s="1280"/>
      <c r="I850" s="1241" t="str">
        <f t="shared" si="126"/>
        <v/>
      </c>
      <c r="J850" s="1280"/>
      <c r="K850" s="1280" t="str">
        <f t="shared" si="127"/>
        <v/>
      </c>
      <c r="L850" s="801" t="s">
        <v>1381</v>
      </c>
      <c r="M850" s="1295">
        <v>833</v>
      </c>
      <c r="N850" s="1280"/>
      <c r="O850" s="1277"/>
      <c r="P850" s="1277"/>
      <c r="Q850" s="1277"/>
      <c r="R850" s="1280" t="s">
        <v>1523</v>
      </c>
      <c r="S850" s="1277"/>
      <c r="T850" s="1280" t="str">
        <f t="shared" si="129"/>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28"/>
        <v>L</v>
      </c>
      <c r="D851" s="801" t="s">
        <v>1350</v>
      </c>
      <c r="E851" s="801" t="s">
        <v>1508</v>
      </c>
      <c r="F851" s="1280"/>
      <c r="G851" s="1280"/>
      <c r="H851" s="1280"/>
      <c r="I851" s="1241" t="str">
        <f t="shared" si="126"/>
        <v/>
      </c>
      <c r="J851" s="1280"/>
      <c r="K851" s="1280" t="str">
        <f t="shared" si="127"/>
        <v/>
      </c>
      <c r="L851" s="801" t="s">
        <v>1382</v>
      </c>
      <c r="M851" s="1295">
        <v>834</v>
      </c>
      <c r="N851" s="1280"/>
      <c r="O851" s="1277"/>
      <c r="P851" s="1277"/>
      <c r="Q851" s="1277"/>
      <c r="R851" s="1280" t="s">
        <v>1523</v>
      </c>
      <c r="S851" s="1277"/>
      <c r="T851" s="1280" t="str">
        <f t="shared" si="129"/>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28"/>
        <v>H</v>
      </c>
      <c r="D852" s="801" t="s">
        <v>1350</v>
      </c>
      <c r="E852" s="801" t="s">
        <v>1508</v>
      </c>
      <c r="F852" s="1280"/>
      <c r="G852" s="1280"/>
      <c r="H852" s="1280"/>
      <c r="I852" s="1241" t="str">
        <f t="shared" si="126"/>
        <v/>
      </c>
      <c r="J852" s="1280" t="str">
        <f>IF(M852&lt;&gt;"",IF($Q$832="Yes",Q$1&amp;M852,""))</f>
        <v/>
      </c>
      <c r="K852" s="1280" t="str">
        <f t="shared" si="127"/>
        <v/>
      </c>
      <c r="L852" s="801" t="s">
        <v>1380</v>
      </c>
      <c r="M852" s="1295">
        <v>835</v>
      </c>
      <c r="N852" s="1280"/>
      <c r="O852" s="1277"/>
      <c r="P852" s="1277"/>
      <c r="Q852" s="1277"/>
      <c r="R852" s="1280" t="s">
        <v>1523</v>
      </c>
      <c r="S852" s="1277"/>
      <c r="T852" s="1280" t="str">
        <f t="shared" si="129"/>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28"/>
        <v>J</v>
      </c>
      <c r="D853" s="801" t="s">
        <v>1350</v>
      </c>
      <c r="E853" s="801" t="s">
        <v>1508</v>
      </c>
      <c r="F853" s="1280"/>
      <c r="G853" s="1280"/>
      <c r="H853" s="1280"/>
      <c r="I853" s="1241" t="str">
        <f t="shared" si="126"/>
        <v/>
      </c>
      <c r="J853" s="1280"/>
      <c r="K853" s="1280" t="str">
        <f t="shared" si="127"/>
        <v/>
      </c>
      <c r="L853" s="801" t="s">
        <v>1381</v>
      </c>
      <c r="M853" s="1295">
        <v>836</v>
      </c>
      <c r="N853" s="1280"/>
      <c r="O853" s="1277"/>
      <c r="P853" s="1277"/>
      <c r="Q853" s="1277"/>
      <c r="R853" s="1280" t="s">
        <v>1523</v>
      </c>
      <c r="S853" s="1277"/>
      <c r="T853" s="1280" t="str">
        <f t="shared" si="129"/>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28"/>
        <v>L</v>
      </c>
      <c r="D854" s="801" t="s">
        <v>1350</v>
      </c>
      <c r="E854" s="801" t="s">
        <v>1508</v>
      </c>
      <c r="F854" s="1280"/>
      <c r="G854" s="1280"/>
      <c r="H854" s="1280"/>
      <c r="I854" s="1241" t="str">
        <f t="shared" si="126"/>
        <v/>
      </c>
      <c r="J854" s="1280"/>
      <c r="K854" s="1280" t="str">
        <f t="shared" si="127"/>
        <v/>
      </c>
      <c r="L854" s="801" t="s">
        <v>1382</v>
      </c>
      <c r="M854" s="1295">
        <v>837</v>
      </c>
      <c r="N854" s="1280"/>
      <c r="O854" s="1277"/>
      <c r="P854" s="1277"/>
      <c r="Q854" s="1277"/>
      <c r="R854" s="1280" t="s">
        <v>1523</v>
      </c>
      <c r="S854" s="1277"/>
      <c r="T854" s="1280" t="str">
        <f t="shared" si="129"/>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28"/>
        <v>H</v>
      </c>
      <c r="D855" s="801" t="s">
        <v>1350</v>
      </c>
      <c r="E855" s="801" t="s">
        <v>1508</v>
      </c>
      <c r="F855" s="1280"/>
      <c r="G855" s="1280"/>
      <c r="H855" s="1280"/>
      <c r="I855" s="1241" t="str">
        <f t="shared" si="126"/>
        <v/>
      </c>
      <c r="J855" s="1280" t="str">
        <f>IF(M855&lt;&gt;"",IF($Q$832="Yes",Q$1&amp;M855,""))</f>
        <v/>
      </c>
      <c r="K855" s="1280" t="str">
        <f t="shared" si="127"/>
        <v/>
      </c>
      <c r="L855" s="801" t="s">
        <v>1380</v>
      </c>
      <c r="M855" s="1295">
        <v>838</v>
      </c>
      <c r="N855" s="1280"/>
      <c r="O855" s="1277"/>
      <c r="P855" s="1277"/>
      <c r="Q855" s="1277"/>
      <c r="R855" s="1280" t="s">
        <v>1523</v>
      </c>
      <c r="S855" s="1277"/>
      <c r="T855" s="1280" t="str">
        <f t="shared" si="129"/>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28"/>
        <v>J</v>
      </c>
      <c r="D856" s="801" t="s">
        <v>1350</v>
      </c>
      <c r="E856" s="801" t="s">
        <v>1508</v>
      </c>
      <c r="F856" s="1280"/>
      <c r="G856" s="1280"/>
      <c r="H856" s="1280"/>
      <c r="I856" s="1241" t="str">
        <f t="shared" si="126"/>
        <v/>
      </c>
      <c r="J856" s="1280"/>
      <c r="K856" s="1280" t="str">
        <f t="shared" si="127"/>
        <v/>
      </c>
      <c r="L856" s="801" t="s">
        <v>1381</v>
      </c>
      <c r="M856" s="1295">
        <v>839</v>
      </c>
      <c r="N856" s="1280"/>
      <c r="O856" s="1277"/>
      <c r="P856" s="1277"/>
      <c r="Q856" s="1277"/>
      <c r="R856" s="1280" t="s">
        <v>1523</v>
      </c>
      <c r="S856" s="1277"/>
      <c r="T856" s="1280" t="str">
        <f t="shared" si="129"/>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28"/>
        <v>L</v>
      </c>
      <c r="D857" s="801" t="s">
        <v>1350</v>
      </c>
      <c r="E857" s="801" t="s">
        <v>1508</v>
      </c>
      <c r="F857" s="1280"/>
      <c r="G857" s="1280"/>
      <c r="H857" s="1280"/>
      <c r="I857" s="1241" t="str">
        <f t="shared" si="126"/>
        <v/>
      </c>
      <c r="J857" s="1280"/>
      <c r="K857" s="1280" t="str">
        <f t="shared" si="127"/>
        <v/>
      </c>
      <c r="L857" s="801" t="s">
        <v>1382</v>
      </c>
      <c r="M857" s="1295">
        <v>840</v>
      </c>
      <c r="N857" s="1280"/>
      <c r="O857" s="1277"/>
      <c r="P857" s="1277"/>
      <c r="Q857" s="1277"/>
      <c r="R857" s="1280" t="s">
        <v>1523</v>
      </c>
      <c r="S857" s="1277"/>
      <c r="T857" s="1280" t="str">
        <f t="shared" si="129"/>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28"/>
        <v>H</v>
      </c>
      <c r="D858" s="801" t="s">
        <v>1350</v>
      </c>
      <c r="E858" s="801" t="s">
        <v>1508</v>
      </c>
      <c r="F858" s="1280"/>
      <c r="G858" s="1280"/>
      <c r="H858" s="1280"/>
      <c r="I858" s="1241" t="str">
        <f t="shared" si="126"/>
        <v/>
      </c>
      <c r="J858" s="1280" t="str">
        <f>IF(M858&lt;&gt;"",IF($Q$832="Yes",Q$1&amp;M858,""))</f>
        <v/>
      </c>
      <c r="K858" s="1280" t="str">
        <f t="shared" si="127"/>
        <v/>
      </c>
      <c r="L858" s="801" t="s">
        <v>1380</v>
      </c>
      <c r="M858" s="1295">
        <v>841</v>
      </c>
      <c r="N858" s="1280"/>
      <c r="O858" s="1277"/>
      <c r="P858" s="1277"/>
      <c r="Q858" s="1277"/>
      <c r="R858" s="1280" t="s">
        <v>1523</v>
      </c>
      <c r="S858" s="1277"/>
      <c r="T858" s="1280" t="str">
        <f t="shared" si="129"/>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28"/>
        <v>J</v>
      </c>
      <c r="D859" s="801" t="s">
        <v>1350</v>
      </c>
      <c r="E859" s="801" t="s">
        <v>1508</v>
      </c>
      <c r="F859" s="1280"/>
      <c r="G859" s="1280"/>
      <c r="H859" s="1280"/>
      <c r="I859" s="1241" t="str">
        <f t="shared" si="126"/>
        <v/>
      </c>
      <c r="J859" s="1280"/>
      <c r="K859" s="1280" t="str">
        <f t="shared" si="127"/>
        <v/>
      </c>
      <c r="L859" s="801" t="s">
        <v>1381</v>
      </c>
      <c r="M859" s="1295">
        <v>842</v>
      </c>
      <c r="N859" s="1280"/>
      <c r="O859" s="1277"/>
      <c r="P859" s="1277"/>
      <c r="Q859" s="1277"/>
      <c r="R859" s="1280" t="s">
        <v>1523</v>
      </c>
      <c r="S859" s="1277"/>
      <c r="T859" s="1280" t="str">
        <f t="shared" si="129"/>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28"/>
        <v>L</v>
      </c>
      <c r="D860" s="801" t="s">
        <v>1350</v>
      </c>
      <c r="E860" s="801" t="s">
        <v>1508</v>
      </c>
      <c r="F860" s="1280"/>
      <c r="G860" s="1280"/>
      <c r="H860" s="1280"/>
      <c r="I860" s="1241" t="str">
        <f t="shared" si="126"/>
        <v/>
      </c>
      <c r="J860" s="1280"/>
      <c r="K860" s="1280" t="str">
        <f t="shared" si="127"/>
        <v/>
      </c>
      <c r="L860" s="801" t="s">
        <v>1382</v>
      </c>
      <c r="M860" s="1295">
        <v>843</v>
      </c>
      <c r="N860" s="1280"/>
      <c r="O860" s="1277"/>
      <c r="P860" s="1277"/>
      <c r="Q860" s="1277"/>
      <c r="R860" s="1280" t="s">
        <v>1523</v>
      </c>
      <c r="S860" s="1277"/>
      <c r="T860" s="1280" t="str">
        <f t="shared" si="129"/>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26"/>
        <v/>
      </c>
      <c r="J861" s="1280"/>
      <c r="K861" s="1280" t="str">
        <f t="shared" si="127"/>
        <v/>
      </c>
      <c r="L861" s="801" t="s">
        <v>1483</v>
      </c>
      <c r="M861" s="1295">
        <v>844</v>
      </c>
      <c r="N861" s="1280"/>
      <c r="O861" s="1277" t="s">
        <v>725</v>
      </c>
      <c r="P861" s="1372"/>
      <c r="Q861" s="1277"/>
      <c r="R861" s="1280" t="s">
        <v>1523</v>
      </c>
      <c r="S861" s="1277"/>
      <c r="T861" s="1280" t="str">
        <f t="shared" ref="T861:T890" si="130">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26"/>
        <v/>
      </c>
      <c r="J862" s="1280" t="str">
        <f t="shared" ref="J862:J888" si="131">IF(M862&lt;&gt;"",IF($Q$862="Yes",Q$1&amp;M862,""))</f>
        <v/>
      </c>
      <c r="K862" s="1280" t="str">
        <f t="shared" si="127"/>
        <v/>
      </c>
      <c r="L862" s="801" t="s">
        <v>1697</v>
      </c>
      <c r="M862" s="1295">
        <v>845</v>
      </c>
      <c r="N862" s="1280"/>
      <c r="O862" s="1277">
        <f>'Configurable Tab'!H18</f>
        <v>223</v>
      </c>
      <c r="P862" s="1372" t="str">
        <f>'Configurable Tab'!J18</f>
        <v>Yes</v>
      </c>
      <c r="Q862" s="1317" t="s">
        <v>648</v>
      </c>
      <c r="R862" s="1280" t="s">
        <v>1523</v>
      </c>
      <c r="S862" s="1277"/>
      <c r="T862" s="1280" t="str">
        <f t="shared" si="130"/>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26"/>
        <v/>
      </c>
      <c r="J863" s="1280"/>
      <c r="K863" s="1280" t="str">
        <f t="shared" si="127"/>
        <v/>
      </c>
      <c r="L863" s="801" t="s">
        <v>1376</v>
      </c>
      <c r="M863" s="1295">
        <v>846</v>
      </c>
      <c r="N863" s="1280"/>
      <c r="O863" s="1277" t="s">
        <v>726</v>
      </c>
      <c r="P863" s="1277"/>
      <c r="Q863" s="1277"/>
      <c r="R863" s="1280" t="s">
        <v>1523</v>
      </c>
      <c r="S863" s="1277"/>
      <c r="T863" s="1280" t="str">
        <f t="shared" si="130"/>
        <v/>
      </c>
      <c r="U863" s="1277"/>
      <c r="V863" s="1277"/>
      <c r="W863" s="1277"/>
      <c r="X863" s="1277"/>
      <c r="Y863" s="1277"/>
      <c r="Z863" s="1277"/>
    </row>
    <row r="864" spans="1:26" x14ac:dyDescent="0.25">
      <c r="A864" s="822" t="s">
        <v>1373</v>
      </c>
      <c r="B864" s="801" t="str">
        <f t="shared" ref="B864:B870" ca="1" si="132">_xlfn.CONCAT(IFERROR(SUBSTITUTE(ADDRESS(1,MATCH(A864,INDIRECT("'"&amp;E864&amp;"'"&amp;"!A" &amp; $O$862 + 2 &amp; ":Z" &amp; $O$862+ 2),0),4),1,""),""),$O$862 + 2)</f>
        <v>H225</v>
      </c>
      <c r="C864" s="801" t="str">
        <f t="shared" ref="C864:C870" ca="1" si="133">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26"/>
        <v/>
      </c>
      <c r="J864" s="1280" t="str">
        <f t="shared" si="131"/>
        <v/>
      </c>
      <c r="K864" s="1280" t="str">
        <f t="shared" si="127"/>
        <v/>
      </c>
      <c r="L864" s="801" t="s">
        <v>1373</v>
      </c>
      <c r="M864" s="1295">
        <v>847</v>
      </c>
      <c r="N864" s="1280"/>
      <c r="O864" s="1277">
        <f>'Configurable Tab'!I18</f>
        <v>238</v>
      </c>
      <c r="P864" s="1277"/>
      <c r="Q864" s="1277"/>
      <c r="R864" s="1280" t="s">
        <v>1523</v>
      </c>
      <c r="S864" s="1277"/>
      <c r="T864" s="1280" t="str">
        <f t="shared" si="130"/>
        <v/>
      </c>
      <c r="U864" s="1277"/>
      <c r="V864" s="1277"/>
      <c r="W864" s="1277"/>
      <c r="X864" s="1277"/>
      <c r="Y864" s="1277"/>
      <c r="Z864" s="1277"/>
    </row>
    <row r="865" spans="1:26" x14ac:dyDescent="0.25">
      <c r="A865" s="822" t="s">
        <v>1374</v>
      </c>
      <c r="B865" s="801" t="str">
        <f t="shared" ca="1" si="132"/>
        <v>J225</v>
      </c>
      <c r="C865" s="801" t="str">
        <f t="shared" ca="1" si="133"/>
        <v>J226</v>
      </c>
      <c r="D865" s="801" t="s">
        <v>1343</v>
      </c>
      <c r="E865" s="801" t="s">
        <v>1508</v>
      </c>
      <c r="F865" s="1280" t="s">
        <v>1984</v>
      </c>
      <c r="G865" s="1280" t="str">
        <f>IF(T865&lt;&gt;"","I","")</f>
        <v/>
      </c>
      <c r="H865" s="1280" t="s">
        <v>1982</v>
      </c>
      <c r="I865" s="1241" t="str">
        <f t="shared" si="126"/>
        <v/>
      </c>
      <c r="J865" s="1280" t="str">
        <f t="shared" si="131"/>
        <v/>
      </c>
      <c r="K865" s="1280" t="str">
        <f t="shared" si="127"/>
        <v/>
      </c>
      <c r="L865" s="801" t="s">
        <v>1374</v>
      </c>
      <c r="M865" s="1295">
        <v>848</v>
      </c>
      <c r="N865" s="1280"/>
      <c r="O865" s="1277" t="s">
        <v>1639</v>
      </c>
      <c r="P865" s="1277"/>
      <c r="Q865" s="1277"/>
      <c r="R865" s="1280" t="s">
        <v>1523</v>
      </c>
      <c r="S865" s="1277"/>
      <c r="T865" s="1280" t="str">
        <f t="shared" si="130"/>
        <v/>
      </c>
      <c r="U865" s="1277"/>
      <c r="V865" s="1277"/>
      <c r="W865" s="1277"/>
      <c r="X865" s="1277"/>
      <c r="Y865" s="1277"/>
      <c r="Z865" s="1277"/>
    </row>
    <row r="866" spans="1:26" x14ac:dyDescent="0.25">
      <c r="A866" s="822" t="s">
        <v>1390</v>
      </c>
      <c r="B866" s="801" t="str">
        <f t="shared" ca="1" si="132"/>
        <v>L225</v>
      </c>
      <c r="C866" s="801" t="str">
        <f t="shared" ca="1" si="133"/>
        <v>L226</v>
      </c>
      <c r="D866" s="801" t="s">
        <v>1343</v>
      </c>
      <c r="E866" s="801" t="s">
        <v>1508</v>
      </c>
      <c r="F866" s="1280" t="s">
        <v>1985</v>
      </c>
      <c r="G866" s="1280" t="str">
        <f>IF(T866&lt;&gt;"","H","")</f>
        <v/>
      </c>
      <c r="H866" s="1280" t="s">
        <v>1982</v>
      </c>
      <c r="I866" s="1241" t="str">
        <f t="shared" si="126"/>
        <v/>
      </c>
      <c r="J866" s="1280" t="str">
        <f t="shared" si="131"/>
        <v/>
      </c>
      <c r="K866" s="1280" t="str">
        <f t="shared" si="127"/>
        <v/>
      </c>
      <c r="L866" s="801" t="s">
        <v>1390</v>
      </c>
      <c r="M866" s="1295">
        <v>849</v>
      </c>
      <c r="N866" s="1280"/>
      <c r="O866" s="1277"/>
      <c r="P866" s="1277"/>
      <c r="Q866" s="1277"/>
      <c r="R866" s="1280" t="s">
        <v>1523</v>
      </c>
      <c r="S866" s="1277"/>
      <c r="T866" s="1280" t="str">
        <f t="shared" si="130"/>
        <v/>
      </c>
      <c r="U866" s="1277"/>
      <c r="V866" s="1277"/>
      <c r="W866" s="1277"/>
      <c r="X866" s="1277"/>
      <c r="Y866" s="1277"/>
      <c r="Z866" s="1277"/>
    </row>
    <row r="867" spans="1:26" x14ac:dyDescent="0.25">
      <c r="A867" s="822" t="s">
        <v>1375</v>
      </c>
      <c r="B867" s="801" t="str">
        <f t="shared" ca="1" si="132"/>
        <v>N225</v>
      </c>
      <c r="C867" s="801" t="str">
        <f t="shared" ca="1" si="133"/>
        <v>N226</v>
      </c>
      <c r="D867" s="801" t="s">
        <v>1343</v>
      </c>
      <c r="E867" s="801" t="s">
        <v>1508</v>
      </c>
      <c r="F867" s="1280" t="s">
        <v>1375</v>
      </c>
      <c r="G867" s="1280" t="str">
        <f>IF(T867&lt;&gt;"",IF(Q865="Credit Memo","J",IF(Q865="Check","K","")),"")</f>
        <v/>
      </c>
      <c r="H867" s="1280" t="s">
        <v>1982</v>
      </c>
      <c r="I867" s="1241" t="str">
        <f t="shared" si="126"/>
        <v/>
      </c>
      <c r="J867" s="1280" t="str">
        <f t="shared" si="131"/>
        <v/>
      </c>
      <c r="K867" s="1280" t="str">
        <f t="shared" si="127"/>
        <v/>
      </c>
      <c r="L867" s="801" t="s">
        <v>1375</v>
      </c>
      <c r="M867" s="1295">
        <v>850</v>
      </c>
      <c r="N867" s="1280"/>
      <c r="O867" s="1277"/>
      <c r="P867" s="1277"/>
      <c r="Q867" s="1277"/>
      <c r="R867" s="1280" t="s">
        <v>1523</v>
      </c>
      <c r="S867" s="1277"/>
      <c r="T867" s="1280" t="str">
        <f t="shared" si="130"/>
        <v/>
      </c>
      <c r="U867" s="1277"/>
      <c r="V867" s="1277"/>
      <c r="W867" s="1277"/>
      <c r="X867" s="1277"/>
      <c r="Y867" s="1277"/>
      <c r="Z867" s="1277"/>
    </row>
    <row r="868" spans="1:26" x14ac:dyDescent="0.25">
      <c r="A868" s="822" t="s">
        <v>1478</v>
      </c>
      <c r="B868" s="801" t="str">
        <f t="shared" ca="1" si="132"/>
        <v>P225</v>
      </c>
      <c r="C868" s="801" t="str">
        <f t="shared" ca="1" si="133"/>
        <v>P226</v>
      </c>
      <c r="D868" s="801" t="s">
        <v>1343</v>
      </c>
      <c r="E868" s="801" t="s">
        <v>1508</v>
      </c>
      <c r="F868" s="1280" t="s">
        <v>1986</v>
      </c>
      <c r="G868" s="1280" t="str">
        <f>IF(T868&lt;&gt;"","F","")</f>
        <v/>
      </c>
      <c r="H868" s="1280" t="s">
        <v>1982</v>
      </c>
      <c r="I868" s="1241" t="str">
        <f t="shared" si="126"/>
        <v/>
      </c>
      <c r="J868" s="1280" t="str">
        <f t="shared" si="131"/>
        <v/>
      </c>
      <c r="K868" s="1280" t="str">
        <f t="shared" si="127"/>
        <v/>
      </c>
      <c r="L868" s="801" t="s">
        <v>1478</v>
      </c>
      <c r="M868" s="1295">
        <v>851</v>
      </c>
      <c r="N868" s="1280"/>
      <c r="O868" s="1277"/>
      <c r="P868" s="1277"/>
      <c r="Q868" s="1277"/>
      <c r="R868" s="1280" t="s">
        <v>1523</v>
      </c>
      <c r="S868" s="1277"/>
      <c r="T868" s="1280" t="str">
        <f t="shared" si="130"/>
        <v/>
      </c>
      <c r="U868" s="1277"/>
      <c r="V868" s="1277"/>
      <c r="W868" s="1277"/>
      <c r="X868" s="1277"/>
      <c r="Y868" s="1277"/>
      <c r="Z868" s="1277"/>
    </row>
    <row r="869" spans="1:26" x14ac:dyDescent="0.25">
      <c r="A869" s="822" t="s">
        <v>1479</v>
      </c>
      <c r="B869" s="801" t="str">
        <f t="shared" ca="1" si="132"/>
        <v>R225</v>
      </c>
      <c r="C869" s="801" t="str">
        <f t="shared" ca="1" si="133"/>
        <v>R226</v>
      </c>
      <c r="D869" s="801" t="s">
        <v>1343</v>
      </c>
      <c r="E869" s="801" t="s">
        <v>1508</v>
      </c>
      <c r="F869" s="1280" t="s">
        <v>1987</v>
      </c>
      <c r="G869" s="1280" t="str">
        <f>IF(T869&lt;&gt;"","G","")</f>
        <v/>
      </c>
      <c r="H869" s="1280" t="s">
        <v>1982</v>
      </c>
      <c r="I869" s="1241" t="str">
        <f t="shared" si="126"/>
        <v/>
      </c>
      <c r="J869" s="1280" t="str">
        <f t="shared" si="131"/>
        <v/>
      </c>
      <c r="K869" s="1280" t="str">
        <f t="shared" si="127"/>
        <v/>
      </c>
      <c r="L869" s="801" t="s">
        <v>1479</v>
      </c>
      <c r="M869" s="1295">
        <v>852</v>
      </c>
      <c r="N869" s="1280"/>
      <c r="O869" s="1277"/>
      <c r="P869" s="1277"/>
      <c r="Q869" s="1277"/>
      <c r="R869" s="1280" t="s">
        <v>1523</v>
      </c>
      <c r="S869" s="1277"/>
      <c r="T869" s="1280" t="str">
        <f t="shared" si="130"/>
        <v/>
      </c>
      <c r="U869" s="1277"/>
      <c r="V869" s="1277"/>
      <c r="W869" s="1277"/>
      <c r="X869" s="1277"/>
      <c r="Y869" s="1277"/>
      <c r="Z869" s="1277"/>
    </row>
    <row r="870" spans="1:26" x14ac:dyDescent="0.25">
      <c r="A870" s="822" t="s">
        <v>1480</v>
      </c>
      <c r="B870" s="801" t="str">
        <f t="shared" ca="1" si="132"/>
        <v>T225</v>
      </c>
      <c r="C870" s="801" t="str">
        <f t="shared" ca="1" si="133"/>
        <v>T226</v>
      </c>
      <c r="D870" s="801" t="s">
        <v>1343</v>
      </c>
      <c r="E870" s="801" t="s">
        <v>1508</v>
      </c>
      <c r="F870" s="813" t="s">
        <v>1480</v>
      </c>
      <c r="G870" s="1280" t="str">
        <f>IF(T870&lt;&gt;"","AW","")</f>
        <v/>
      </c>
      <c r="H870" s="1280" t="s">
        <v>1982</v>
      </c>
      <c r="I870" s="1241" t="str">
        <f t="shared" si="126"/>
        <v/>
      </c>
      <c r="J870" s="1280" t="str">
        <f t="shared" si="131"/>
        <v/>
      </c>
      <c r="K870" s="1280" t="str">
        <f t="shared" si="127"/>
        <v/>
      </c>
      <c r="L870" s="801" t="s">
        <v>1480</v>
      </c>
      <c r="M870" s="1295">
        <v>853</v>
      </c>
      <c r="N870" s="1280"/>
      <c r="O870" s="1277"/>
      <c r="P870" s="1277"/>
      <c r="Q870" s="1277"/>
      <c r="R870" s="1280" t="s">
        <v>1523</v>
      </c>
      <c r="S870" s="1277"/>
      <c r="T870" s="1280" t="str">
        <f t="shared" si="130"/>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26"/>
        <v/>
      </c>
      <c r="J871" s="1280"/>
      <c r="K871" s="1280" t="str">
        <f t="shared" si="127"/>
        <v/>
      </c>
      <c r="L871" s="801" t="s">
        <v>1378</v>
      </c>
      <c r="M871" s="1295">
        <v>854</v>
      </c>
      <c r="N871" s="1280"/>
      <c r="O871" s="1277"/>
      <c r="P871" s="1277"/>
      <c r="Q871" s="1277"/>
      <c r="R871" s="1280" t="s">
        <v>1523</v>
      </c>
      <c r="S871" s="1277"/>
      <c r="T871" s="1280" t="str">
        <f t="shared" si="130"/>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26"/>
        <v/>
      </c>
      <c r="J872" s="1280"/>
      <c r="K872" s="1280" t="str">
        <f t="shared" si="127"/>
        <v/>
      </c>
      <c r="L872" s="801" t="s">
        <v>1379</v>
      </c>
      <c r="M872" s="1295">
        <v>855</v>
      </c>
      <c r="N872" s="1280"/>
      <c r="O872" s="1277"/>
      <c r="P872" s="1277"/>
      <c r="Q872" s="1277"/>
      <c r="R872" s="1280" t="s">
        <v>1523</v>
      </c>
      <c r="S872" s="1277"/>
      <c r="T872" s="1280" t="str">
        <f t="shared" si="130"/>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26"/>
        <v/>
      </c>
      <c r="J873" s="1280" t="str">
        <f t="shared" si="131"/>
        <v/>
      </c>
      <c r="K873" s="1280" t="str">
        <f t="shared" si="127"/>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0"/>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26"/>
        <v/>
      </c>
      <c r="J874" s="1280" t="str">
        <f t="shared" si="131"/>
        <v/>
      </c>
      <c r="K874" s="1280" t="str">
        <f t="shared" si="127"/>
        <v/>
      </c>
      <c r="L874" s="801" t="s">
        <v>1484</v>
      </c>
      <c r="M874" s="1295">
        <v>857</v>
      </c>
      <c r="N874" s="1280"/>
      <c r="O874" s="1277"/>
      <c r="P874" s="1277"/>
      <c r="Q874" s="1277"/>
      <c r="R874" s="1280" t="s">
        <v>1523</v>
      </c>
      <c r="S874" s="1277"/>
      <c r="T874" s="1280" t="str">
        <f t="shared" si="130"/>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26"/>
        <v/>
      </c>
      <c r="J875" s="1280" t="str">
        <f t="shared" si="131"/>
        <v/>
      </c>
      <c r="K875" s="1280" t="str">
        <f t="shared" si="127"/>
        <v/>
      </c>
      <c r="L875" s="801" t="s">
        <v>1498</v>
      </c>
      <c r="M875" s="1295">
        <v>858</v>
      </c>
      <c r="N875" s="1280"/>
      <c r="O875" s="1277"/>
      <c r="P875" s="1277"/>
      <c r="Q875" s="1277"/>
      <c r="R875" s="1280" t="s">
        <v>1523</v>
      </c>
      <c r="S875" s="1277"/>
      <c r="T875" s="1280" t="str">
        <f t="shared" si="130"/>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34">_xlfn.IFNA(SUBSTITUTE(ADDRESS(1,MATCH(A876,INDIRECT("'"&amp;E876&amp;"'"&amp;"!A" &amp; $O$862 + 5 &amp; ":Z" &amp; $O$862+ 5),0),4),1,""),"")</f>
        <v>H</v>
      </c>
      <c r="D876" s="801" t="s">
        <v>1350</v>
      </c>
      <c r="E876" s="801" t="s">
        <v>1508</v>
      </c>
      <c r="F876" s="813"/>
      <c r="G876" s="1280"/>
      <c r="H876" s="1280"/>
      <c r="I876" s="1241" t="str">
        <f t="shared" si="126"/>
        <v/>
      </c>
      <c r="J876" s="1280" t="str">
        <f t="shared" si="131"/>
        <v/>
      </c>
      <c r="K876" s="1280" t="str">
        <f t="shared" si="127"/>
        <v/>
      </c>
      <c r="L876" s="801" t="s">
        <v>1380</v>
      </c>
      <c r="M876" s="1295">
        <v>859</v>
      </c>
      <c r="N876" s="1280"/>
      <c r="O876" s="1277"/>
      <c r="P876" s="1277"/>
      <c r="Q876" s="1277"/>
      <c r="R876" s="1280" t="s">
        <v>1523</v>
      </c>
      <c r="S876" s="1277"/>
      <c r="T876" s="1280" t="str">
        <f t="shared" si="130"/>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34"/>
        <v>J</v>
      </c>
      <c r="D877" s="801" t="s">
        <v>1350</v>
      </c>
      <c r="E877" s="801" t="s">
        <v>1508</v>
      </c>
      <c r="F877" s="813"/>
      <c r="G877" s="1280"/>
      <c r="H877" s="1280"/>
      <c r="I877" s="1241" t="str">
        <f t="shared" si="126"/>
        <v/>
      </c>
      <c r="J877" s="1280"/>
      <c r="K877" s="1280" t="str">
        <f t="shared" si="127"/>
        <v/>
      </c>
      <c r="L877" s="801" t="s">
        <v>1381</v>
      </c>
      <c r="M877" s="1295">
        <v>860</v>
      </c>
      <c r="N877" s="1280"/>
      <c r="O877" s="1277"/>
      <c r="P877" s="1277"/>
      <c r="Q877" s="1277"/>
      <c r="R877" s="1280" t="s">
        <v>1523</v>
      </c>
      <c r="S877" s="1277"/>
      <c r="T877" s="1280" t="str">
        <f t="shared" si="130"/>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34"/>
        <v>L</v>
      </c>
      <c r="D878" s="801" t="s">
        <v>1350</v>
      </c>
      <c r="E878" s="801" t="s">
        <v>1508</v>
      </c>
      <c r="F878" s="1052"/>
      <c r="G878" s="1280"/>
      <c r="H878" s="1280"/>
      <c r="I878" s="1241" t="str">
        <f t="shared" si="126"/>
        <v/>
      </c>
      <c r="J878" s="1280"/>
      <c r="K878" s="1280" t="str">
        <f t="shared" si="127"/>
        <v/>
      </c>
      <c r="L878" s="801" t="s">
        <v>1382</v>
      </c>
      <c r="M878" s="1295">
        <v>861</v>
      </c>
      <c r="N878" s="1280"/>
      <c r="O878" s="1277"/>
      <c r="P878" s="1277"/>
      <c r="Q878" s="1277"/>
      <c r="R878" s="1280" t="s">
        <v>1523</v>
      </c>
      <c r="S878" s="1277"/>
      <c r="T878" s="1280" t="str">
        <f t="shared" si="130"/>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34"/>
        <v>H</v>
      </c>
      <c r="D879" s="801" t="s">
        <v>1350</v>
      </c>
      <c r="E879" s="801" t="s">
        <v>1508</v>
      </c>
      <c r="F879" s="1280"/>
      <c r="G879" s="1280"/>
      <c r="H879" s="1280"/>
      <c r="I879" s="1241" t="str">
        <f t="shared" si="126"/>
        <v/>
      </c>
      <c r="J879" s="1280" t="str">
        <f t="shared" si="131"/>
        <v/>
      </c>
      <c r="K879" s="1280" t="str">
        <f t="shared" si="127"/>
        <v/>
      </c>
      <c r="L879" s="801" t="s">
        <v>1380</v>
      </c>
      <c r="M879" s="1295">
        <v>862</v>
      </c>
      <c r="N879" s="1280"/>
      <c r="O879" s="1277"/>
      <c r="P879" s="1277"/>
      <c r="Q879" s="1277"/>
      <c r="R879" s="1280" t="s">
        <v>1523</v>
      </c>
      <c r="S879" s="1277"/>
      <c r="T879" s="1280" t="str">
        <f t="shared" si="130"/>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34"/>
        <v>J</v>
      </c>
      <c r="D880" s="801" t="s">
        <v>1350</v>
      </c>
      <c r="E880" s="801" t="s">
        <v>1508</v>
      </c>
      <c r="F880" s="1280"/>
      <c r="G880" s="1280"/>
      <c r="H880" s="1280"/>
      <c r="I880" s="1241" t="str">
        <f t="shared" si="126"/>
        <v/>
      </c>
      <c r="J880" s="1280"/>
      <c r="K880" s="1280" t="str">
        <f t="shared" si="127"/>
        <v/>
      </c>
      <c r="L880" s="801" t="s">
        <v>1381</v>
      </c>
      <c r="M880" s="1295">
        <v>863</v>
      </c>
      <c r="N880" s="1280"/>
      <c r="O880" s="1277"/>
      <c r="P880" s="1277"/>
      <c r="Q880" s="1277"/>
      <c r="R880" s="1280" t="s">
        <v>1523</v>
      </c>
      <c r="S880" s="1277"/>
      <c r="T880" s="1280" t="str">
        <f t="shared" si="130"/>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34"/>
        <v>L</v>
      </c>
      <c r="D881" s="801" t="s">
        <v>1350</v>
      </c>
      <c r="E881" s="801" t="s">
        <v>1508</v>
      </c>
      <c r="F881" s="1280"/>
      <c r="G881" s="1280"/>
      <c r="H881" s="1280"/>
      <c r="I881" s="1241" t="str">
        <f t="shared" si="126"/>
        <v/>
      </c>
      <c r="J881" s="1280"/>
      <c r="K881" s="1280" t="str">
        <f t="shared" si="127"/>
        <v/>
      </c>
      <c r="L881" s="801" t="s">
        <v>1382</v>
      </c>
      <c r="M881" s="1295">
        <v>864</v>
      </c>
      <c r="N881" s="1280"/>
      <c r="O881" s="1277"/>
      <c r="P881" s="1277"/>
      <c r="Q881" s="1277"/>
      <c r="R881" s="1280" t="s">
        <v>1523</v>
      </c>
      <c r="S881" s="1277"/>
      <c r="T881" s="1280" t="str">
        <f t="shared" si="130"/>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34"/>
        <v>H</v>
      </c>
      <c r="D882" s="801" t="s">
        <v>1350</v>
      </c>
      <c r="E882" s="801" t="s">
        <v>1508</v>
      </c>
      <c r="F882" s="1280"/>
      <c r="G882" s="1280"/>
      <c r="H882" s="1280"/>
      <c r="I882" s="1241" t="str">
        <f t="shared" si="126"/>
        <v/>
      </c>
      <c r="J882" s="1280" t="str">
        <f t="shared" si="131"/>
        <v/>
      </c>
      <c r="K882" s="1280" t="str">
        <f t="shared" si="127"/>
        <v/>
      </c>
      <c r="L882" s="801" t="s">
        <v>1380</v>
      </c>
      <c r="M882" s="1295">
        <v>865</v>
      </c>
      <c r="N882" s="1280"/>
      <c r="O882" s="1277"/>
      <c r="P882" s="1277"/>
      <c r="Q882" s="1277"/>
      <c r="R882" s="1280" t="s">
        <v>1523</v>
      </c>
      <c r="S882" s="1277"/>
      <c r="T882" s="1280" t="str">
        <f t="shared" si="130"/>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34"/>
        <v>J</v>
      </c>
      <c r="D883" s="801" t="s">
        <v>1350</v>
      </c>
      <c r="E883" s="801" t="s">
        <v>1508</v>
      </c>
      <c r="F883" s="1280"/>
      <c r="G883" s="1280"/>
      <c r="H883" s="1280"/>
      <c r="I883" s="1241" t="str">
        <f t="shared" si="126"/>
        <v/>
      </c>
      <c r="J883" s="1280"/>
      <c r="K883" s="1280" t="str">
        <f t="shared" si="127"/>
        <v/>
      </c>
      <c r="L883" s="801" t="s">
        <v>1381</v>
      </c>
      <c r="M883" s="1295">
        <v>866</v>
      </c>
      <c r="N883" s="1280"/>
      <c r="O883" s="1277"/>
      <c r="P883" s="1277"/>
      <c r="Q883" s="1277"/>
      <c r="R883" s="1280" t="s">
        <v>1523</v>
      </c>
      <c r="S883" s="1277"/>
      <c r="T883" s="1280" t="str">
        <f t="shared" si="130"/>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34"/>
        <v>L</v>
      </c>
      <c r="D884" s="801" t="s">
        <v>1350</v>
      </c>
      <c r="E884" s="801" t="s">
        <v>1508</v>
      </c>
      <c r="F884" s="1280"/>
      <c r="G884" s="1280"/>
      <c r="H884" s="1280"/>
      <c r="I884" s="1241" t="str">
        <f t="shared" si="126"/>
        <v/>
      </c>
      <c r="J884" s="1280"/>
      <c r="K884" s="1280" t="str">
        <f t="shared" si="127"/>
        <v/>
      </c>
      <c r="L884" s="801" t="s">
        <v>1382</v>
      </c>
      <c r="M884" s="1295">
        <v>867</v>
      </c>
      <c r="N884" s="1280"/>
      <c r="O884" s="1277"/>
      <c r="P884" s="1277"/>
      <c r="Q884" s="1277"/>
      <c r="R884" s="1280" t="s">
        <v>1523</v>
      </c>
      <c r="S884" s="1277"/>
      <c r="T884" s="1280" t="str">
        <f t="shared" si="130"/>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34"/>
        <v>H</v>
      </c>
      <c r="D885" s="801" t="s">
        <v>1350</v>
      </c>
      <c r="E885" s="801" t="s">
        <v>1508</v>
      </c>
      <c r="F885" s="1280"/>
      <c r="G885" s="1280"/>
      <c r="H885" s="1280"/>
      <c r="I885" s="1241" t="str">
        <f t="shared" si="126"/>
        <v/>
      </c>
      <c r="J885" s="1280" t="str">
        <f t="shared" si="131"/>
        <v/>
      </c>
      <c r="K885" s="1280" t="str">
        <f t="shared" si="127"/>
        <v/>
      </c>
      <c r="L885" s="801" t="s">
        <v>1380</v>
      </c>
      <c r="M885" s="1295">
        <v>868</v>
      </c>
      <c r="N885" s="1280"/>
      <c r="O885" s="1277"/>
      <c r="P885" s="1277"/>
      <c r="Q885" s="1277"/>
      <c r="R885" s="1280" t="s">
        <v>1523</v>
      </c>
      <c r="S885" s="1277"/>
      <c r="T885" s="1280" t="str">
        <f t="shared" si="130"/>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34"/>
        <v>J</v>
      </c>
      <c r="D886" s="801" t="s">
        <v>1350</v>
      </c>
      <c r="E886" s="801" t="s">
        <v>1508</v>
      </c>
      <c r="F886" s="1280"/>
      <c r="G886" s="1280"/>
      <c r="H886" s="1280"/>
      <c r="I886" s="1241" t="str">
        <f t="shared" si="126"/>
        <v/>
      </c>
      <c r="J886" s="1280"/>
      <c r="K886" s="1280" t="str">
        <f t="shared" si="127"/>
        <v/>
      </c>
      <c r="L886" s="801" t="s">
        <v>1381</v>
      </c>
      <c r="M886" s="1295">
        <v>869</v>
      </c>
      <c r="N886" s="1280"/>
      <c r="O886" s="1277"/>
      <c r="P886" s="1277"/>
      <c r="Q886" s="1277"/>
      <c r="R886" s="1280" t="s">
        <v>1523</v>
      </c>
      <c r="S886" s="1277"/>
      <c r="T886" s="1280" t="str">
        <f t="shared" si="130"/>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34"/>
        <v>L</v>
      </c>
      <c r="D887" s="801" t="s">
        <v>1350</v>
      </c>
      <c r="E887" s="801" t="s">
        <v>1508</v>
      </c>
      <c r="F887" s="1280"/>
      <c r="G887" s="1280"/>
      <c r="H887" s="1280"/>
      <c r="I887" s="1241" t="str">
        <f t="shared" si="126"/>
        <v/>
      </c>
      <c r="J887" s="1280"/>
      <c r="K887" s="1280" t="str">
        <f t="shared" si="127"/>
        <v/>
      </c>
      <c r="L887" s="801" t="s">
        <v>1382</v>
      </c>
      <c r="M887" s="1295">
        <v>870</v>
      </c>
      <c r="N887" s="1280"/>
      <c r="O887" s="1277"/>
      <c r="P887" s="1277"/>
      <c r="Q887" s="1277"/>
      <c r="R887" s="1280" t="s">
        <v>1523</v>
      </c>
      <c r="S887" s="1277"/>
      <c r="T887" s="1280" t="str">
        <f t="shared" si="130"/>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34"/>
        <v>H</v>
      </c>
      <c r="D888" s="801" t="s">
        <v>1350</v>
      </c>
      <c r="E888" s="801" t="s">
        <v>1508</v>
      </c>
      <c r="F888" s="1280"/>
      <c r="G888" s="1280"/>
      <c r="H888" s="1280"/>
      <c r="I888" s="1241" t="str">
        <f t="shared" si="126"/>
        <v/>
      </c>
      <c r="J888" s="1280" t="str">
        <f t="shared" si="131"/>
        <v/>
      </c>
      <c r="K888" s="1280" t="str">
        <f t="shared" si="127"/>
        <v/>
      </c>
      <c r="L888" s="801" t="s">
        <v>1380</v>
      </c>
      <c r="M888" s="1295">
        <v>871</v>
      </c>
      <c r="N888" s="1280"/>
      <c r="O888" s="1277"/>
      <c r="P888" s="1277"/>
      <c r="Q888" s="1277"/>
      <c r="R888" s="1280" t="s">
        <v>1523</v>
      </c>
      <c r="S888" s="1277"/>
      <c r="T888" s="1280" t="str">
        <f t="shared" si="130"/>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34"/>
        <v>J</v>
      </c>
      <c r="D889" s="801" t="s">
        <v>1350</v>
      </c>
      <c r="E889" s="801" t="s">
        <v>1508</v>
      </c>
      <c r="F889" s="1280"/>
      <c r="G889" s="1280"/>
      <c r="H889" s="1280"/>
      <c r="I889" s="1241" t="str">
        <f t="shared" si="126"/>
        <v/>
      </c>
      <c r="J889" s="1280"/>
      <c r="K889" s="1280" t="str">
        <f t="shared" si="127"/>
        <v/>
      </c>
      <c r="L889" s="801" t="s">
        <v>1381</v>
      </c>
      <c r="M889" s="1295">
        <v>872</v>
      </c>
      <c r="N889" s="1280"/>
      <c r="O889" s="1277"/>
      <c r="P889" s="1277"/>
      <c r="Q889" s="1277"/>
      <c r="R889" s="1280" t="s">
        <v>1523</v>
      </c>
      <c r="S889" s="1277"/>
      <c r="T889" s="1280" t="str">
        <f t="shared" si="130"/>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34"/>
        <v>L</v>
      </c>
      <c r="D890" s="801" t="s">
        <v>1350</v>
      </c>
      <c r="E890" s="801" t="s">
        <v>1508</v>
      </c>
      <c r="F890" s="1280"/>
      <c r="G890" s="1280"/>
      <c r="H890" s="1280"/>
      <c r="I890" s="1241" t="str">
        <f t="shared" si="126"/>
        <v/>
      </c>
      <c r="J890" s="1280"/>
      <c r="K890" s="1280" t="str">
        <f t="shared" si="127"/>
        <v/>
      </c>
      <c r="L890" s="801" t="s">
        <v>1382</v>
      </c>
      <c r="M890" s="1295">
        <v>873</v>
      </c>
      <c r="N890" s="1280"/>
      <c r="O890" s="1277"/>
      <c r="P890" s="1277"/>
      <c r="Q890" s="1277"/>
      <c r="R890" s="1280" t="s">
        <v>1523</v>
      </c>
      <c r="S890" s="1277"/>
      <c r="T890" s="1280" t="str">
        <f t="shared" si="130"/>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26"/>
        <v/>
      </c>
      <c r="J891" s="1280"/>
      <c r="K891" s="1280" t="str">
        <f t="shared" si="127"/>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26"/>
        <v/>
      </c>
      <c r="J892" s="1280" t="str">
        <f t="shared" ref="J892:J909" si="135">IF(M892&lt;&gt;"",IF($Q$892="Yes",Q$1&amp;M892,""))</f>
        <v/>
      </c>
      <c r="K892" s="1280" t="str">
        <f t="shared" si="127"/>
        <v/>
      </c>
      <c r="L892" s="801" t="s">
        <v>1697</v>
      </c>
      <c r="M892" s="1295">
        <v>875</v>
      </c>
      <c r="N892" s="1280"/>
      <c r="O892" s="1277">
        <f>'Configurable Tab'!H19</f>
        <v>239</v>
      </c>
      <c r="P892" s="1372">
        <f>'Configurable Tab'!J19</f>
        <v>0</v>
      </c>
      <c r="Q892" s="1317" t="s">
        <v>648</v>
      </c>
      <c r="R892" s="1280" t="s">
        <v>395</v>
      </c>
      <c r="S892" s="1277"/>
      <c r="T892" s="1280" t="str">
        <f t="shared" ref="T892:T909" si="136">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26"/>
        <v/>
      </c>
      <c r="J893" s="1280"/>
      <c r="K893" s="1280" t="str">
        <f t="shared" si="127"/>
        <v/>
      </c>
      <c r="L893" s="801" t="s">
        <v>1376</v>
      </c>
      <c r="M893" s="1295">
        <v>876</v>
      </c>
      <c r="N893" s="1280"/>
      <c r="O893" s="1277" t="s">
        <v>726</v>
      </c>
      <c r="P893" s="1277"/>
      <c r="Q893" s="1277"/>
      <c r="R893" s="1280" t="s">
        <v>395</v>
      </c>
      <c r="S893" s="1277"/>
      <c r="T893" s="1280" t="str">
        <f t="shared" si="136"/>
        <v/>
      </c>
      <c r="U893" s="1277"/>
      <c r="V893" s="1277"/>
      <c r="W893" s="1277"/>
      <c r="X893" s="1277"/>
      <c r="Y893" s="1277"/>
      <c r="Z893" s="1277"/>
    </row>
    <row r="894" spans="1:26" x14ac:dyDescent="0.25">
      <c r="A894" s="819" t="s">
        <v>1373</v>
      </c>
      <c r="B894" s="801" t="str">
        <f t="shared" ref="B894:B900" ca="1" si="137">_xlfn.CONCAT(IFERROR(SUBSTITUTE(ADDRESS(1,MATCH(A894,INDIRECT("'"&amp;E894&amp;"'"&amp;"!A" &amp; $O$892 + 2 &amp; ":Z" &amp; $O$892+ 2),0),4),1,""),""),$O$892 + 2)</f>
        <v>H241</v>
      </c>
      <c r="C894" s="801" t="str">
        <f t="shared" ref="C894:C900" ca="1" si="138">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26"/>
        <v/>
      </c>
      <c r="J894" s="1280" t="str">
        <f t="shared" si="135"/>
        <v/>
      </c>
      <c r="K894" s="1280" t="str">
        <f t="shared" si="127"/>
        <v/>
      </c>
      <c r="L894" s="801" t="s">
        <v>1373</v>
      </c>
      <c r="M894" s="1295">
        <v>877</v>
      </c>
      <c r="N894" s="1280"/>
      <c r="O894" s="1277">
        <f>'Configurable Tab'!I19</f>
        <v>252</v>
      </c>
      <c r="P894" s="1277"/>
      <c r="Q894" s="1277"/>
      <c r="R894" s="1280" t="s">
        <v>395</v>
      </c>
      <c r="S894" s="1277"/>
      <c r="T894" s="1280" t="str">
        <f t="shared" si="136"/>
        <v/>
      </c>
      <c r="U894" s="1277"/>
      <c r="V894" s="1277"/>
      <c r="W894" s="1277"/>
      <c r="X894" s="1277"/>
      <c r="Y894" s="1277"/>
      <c r="Z894" s="1277"/>
    </row>
    <row r="895" spans="1:26" x14ac:dyDescent="0.25">
      <c r="A895" s="819" t="s">
        <v>1374</v>
      </c>
      <c r="B895" s="801" t="str">
        <f t="shared" ca="1" si="137"/>
        <v>J241</v>
      </c>
      <c r="C895" s="801" t="str">
        <f t="shared" ca="1" si="138"/>
        <v>J242</v>
      </c>
      <c r="D895" s="801" t="s">
        <v>1343</v>
      </c>
      <c r="E895" s="801" t="s">
        <v>1508</v>
      </c>
      <c r="F895" s="1280" t="s">
        <v>1984</v>
      </c>
      <c r="G895" s="1280" t="str">
        <f>IF(T895&lt;&gt;"","I","")</f>
        <v/>
      </c>
      <c r="H895" s="1280" t="s">
        <v>1982</v>
      </c>
      <c r="I895" s="1241" t="str">
        <f t="shared" si="126"/>
        <v/>
      </c>
      <c r="J895" s="1280" t="str">
        <f t="shared" si="135"/>
        <v/>
      </c>
      <c r="K895" s="1280" t="str">
        <f t="shared" si="127"/>
        <v/>
      </c>
      <c r="L895" s="801" t="s">
        <v>1374</v>
      </c>
      <c r="M895" s="1295">
        <v>878</v>
      </c>
      <c r="N895" s="1280"/>
      <c r="O895" s="1277" t="s">
        <v>1640</v>
      </c>
      <c r="P895" s="1277"/>
      <c r="Q895" s="1277" t="s">
        <v>482</v>
      </c>
      <c r="R895" s="1280" t="s">
        <v>395</v>
      </c>
      <c r="S895" s="1277"/>
      <c r="T895" s="1280" t="str">
        <f t="shared" si="136"/>
        <v/>
      </c>
      <c r="U895" s="1277"/>
      <c r="V895" s="1277"/>
      <c r="W895" s="1277"/>
      <c r="X895" s="1277"/>
      <c r="Y895" s="1277"/>
      <c r="Z895" s="1277"/>
    </row>
    <row r="896" spans="1:26" x14ac:dyDescent="0.25">
      <c r="A896" s="819" t="s">
        <v>1390</v>
      </c>
      <c r="B896" s="801" t="str">
        <f t="shared" ca="1" si="137"/>
        <v>L241</v>
      </c>
      <c r="C896" s="801" t="str">
        <f t="shared" ca="1" si="138"/>
        <v>L242</v>
      </c>
      <c r="D896" s="801" t="s">
        <v>1343</v>
      </c>
      <c r="E896" s="801" t="s">
        <v>1508</v>
      </c>
      <c r="F896" s="1280" t="s">
        <v>1985</v>
      </c>
      <c r="G896" s="1280" t="str">
        <f>IF(T896&lt;&gt;"","H","")</f>
        <v/>
      </c>
      <c r="H896" s="1280" t="s">
        <v>1982</v>
      </c>
      <c r="I896" s="1241" t="str">
        <f t="shared" si="126"/>
        <v/>
      </c>
      <c r="J896" s="1280" t="str">
        <f t="shared" si="135"/>
        <v/>
      </c>
      <c r="K896" s="1280" t="str">
        <f t="shared" si="127"/>
        <v/>
      </c>
      <c r="L896" s="801" t="s">
        <v>1390</v>
      </c>
      <c r="M896" s="1295">
        <v>879</v>
      </c>
      <c r="N896" s="1280"/>
      <c r="O896" s="1277"/>
      <c r="P896" s="1277"/>
      <c r="Q896" s="1277"/>
      <c r="R896" s="1280" t="s">
        <v>395</v>
      </c>
      <c r="S896" s="1277"/>
      <c r="T896" s="1280" t="str">
        <f t="shared" si="136"/>
        <v/>
      </c>
      <c r="U896" s="1277"/>
      <c r="V896" s="1277"/>
      <c r="W896" s="1277"/>
      <c r="X896" s="1277"/>
      <c r="Y896" s="1277"/>
      <c r="Z896" s="1277"/>
    </row>
    <row r="897" spans="1:26" x14ac:dyDescent="0.25">
      <c r="A897" s="819" t="s">
        <v>1375</v>
      </c>
      <c r="B897" s="801" t="str">
        <f t="shared" ca="1" si="137"/>
        <v>N241</v>
      </c>
      <c r="C897" s="801" t="str">
        <f t="shared" ca="1" si="138"/>
        <v>N242</v>
      </c>
      <c r="D897" s="801" t="s">
        <v>1343</v>
      </c>
      <c r="E897" s="801" t="s">
        <v>1508</v>
      </c>
      <c r="F897" s="1280" t="s">
        <v>1375</v>
      </c>
      <c r="G897" s="1280" t="str">
        <f>IF(T897&lt;&gt;"",IF(Q895="Credit Memo","J",IF(Q895="Check","K","")),"")</f>
        <v/>
      </c>
      <c r="H897" s="1280" t="s">
        <v>1982</v>
      </c>
      <c r="I897" s="1241" t="str">
        <f t="shared" si="126"/>
        <v/>
      </c>
      <c r="J897" s="1280" t="str">
        <f t="shared" si="135"/>
        <v/>
      </c>
      <c r="K897" s="1280" t="str">
        <f t="shared" si="127"/>
        <v/>
      </c>
      <c r="L897" s="801" t="s">
        <v>1375</v>
      </c>
      <c r="M897" s="1295">
        <v>880</v>
      </c>
      <c r="N897" s="1280"/>
      <c r="O897" s="1277"/>
      <c r="P897" s="1277"/>
      <c r="Q897" s="1277"/>
      <c r="R897" s="1280" t="s">
        <v>395</v>
      </c>
      <c r="S897" s="1277"/>
      <c r="T897" s="1280" t="str">
        <f t="shared" si="136"/>
        <v/>
      </c>
      <c r="U897" s="1277"/>
      <c r="V897" s="1277"/>
      <c r="W897" s="1277"/>
      <c r="X897" s="1277"/>
      <c r="Y897" s="1277"/>
      <c r="Z897" s="1277"/>
    </row>
    <row r="898" spans="1:26" x14ac:dyDescent="0.25">
      <c r="A898" s="819" t="s">
        <v>1478</v>
      </c>
      <c r="B898" s="801" t="str">
        <f t="shared" ca="1" si="137"/>
        <v>P241</v>
      </c>
      <c r="C898" s="801" t="str">
        <f t="shared" ca="1" si="138"/>
        <v>P242</v>
      </c>
      <c r="D898" s="801" t="s">
        <v>1343</v>
      </c>
      <c r="E898" s="801" t="s">
        <v>1508</v>
      </c>
      <c r="F898" s="1280" t="s">
        <v>1986</v>
      </c>
      <c r="G898" s="1280" t="str">
        <f>IF(T898&lt;&gt;"","F","")</f>
        <v/>
      </c>
      <c r="H898" s="1280" t="s">
        <v>1982</v>
      </c>
      <c r="I898" s="1241" t="str">
        <f t="shared" si="126"/>
        <v/>
      </c>
      <c r="J898" s="1280" t="str">
        <f t="shared" si="135"/>
        <v/>
      </c>
      <c r="K898" s="1280" t="str">
        <f t="shared" si="127"/>
        <v/>
      </c>
      <c r="L898" s="801" t="s">
        <v>1478</v>
      </c>
      <c r="M898" s="1295">
        <v>881</v>
      </c>
      <c r="N898" s="1280"/>
      <c r="O898" s="1277"/>
      <c r="P898" s="1277"/>
      <c r="Q898" s="1277"/>
      <c r="R898" s="1280" t="s">
        <v>395</v>
      </c>
      <c r="S898" s="1277"/>
      <c r="T898" s="1280" t="str">
        <f t="shared" si="136"/>
        <v/>
      </c>
      <c r="U898" s="1277"/>
      <c r="V898" s="1277"/>
      <c r="W898" s="1277"/>
      <c r="X898" s="1277"/>
      <c r="Y898" s="1277"/>
      <c r="Z898" s="1277"/>
    </row>
    <row r="899" spans="1:26" x14ac:dyDescent="0.25">
      <c r="A899" s="819" t="s">
        <v>1479</v>
      </c>
      <c r="B899" s="801" t="str">
        <f t="shared" ca="1" si="137"/>
        <v>R241</v>
      </c>
      <c r="C899" s="801" t="str">
        <f t="shared" ca="1" si="138"/>
        <v>R242</v>
      </c>
      <c r="D899" s="801" t="s">
        <v>1343</v>
      </c>
      <c r="E899" s="801" t="s">
        <v>1508</v>
      </c>
      <c r="F899" s="1280" t="s">
        <v>1987</v>
      </c>
      <c r="G899" s="1280" t="str">
        <f>IF(T899&lt;&gt;"","G","")</f>
        <v/>
      </c>
      <c r="H899" s="1280" t="s">
        <v>1982</v>
      </c>
      <c r="I899" s="1241" t="str">
        <f t="shared" si="126"/>
        <v/>
      </c>
      <c r="J899" s="1280" t="str">
        <f t="shared" si="135"/>
        <v/>
      </c>
      <c r="K899" s="1280" t="str">
        <f t="shared" si="127"/>
        <v/>
      </c>
      <c r="L899" s="801" t="s">
        <v>1479</v>
      </c>
      <c r="M899" s="1295">
        <v>882</v>
      </c>
      <c r="N899" s="1280"/>
      <c r="O899" s="1277"/>
      <c r="P899" s="1277"/>
      <c r="Q899" s="1277"/>
      <c r="R899" s="1280" t="s">
        <v>395</v>
      </c>
      <c r="S899" s="1277"/>
      <c r="T899" s="1280" t="str">
        <f t="shared" si="136"/>
        <v/>
      </c>
      <c r="U899" s="1277"/>
      <c r="V899" s="1277"/>
      <c r="W899" s="1277"/>
      <c r="X899" s="1277"/>
      <c r="Y899" s="1277"/>
      <c r="Z899" s="1277"/>
    </row>
    <row r="900" spans="1:26" x14ac:dyDescent="0.25">
      <c r="A900" s="819" t="s">
        <v>1480</v>
      </c>
      <c r="B900" s="801" t="str">
        <f t="shared" ca="1" si="137"/>
        <v>T241</v>
      </c>
      <c r="C900" s="801" t="str">
        <f t="shared" ca="1" si="138"/>
        <v>T242</v>
      </c>
      <c r="D900" s="801" t="s">
        <v>1343</v>
      </c>
      <c r="E900" s="801" t="s">
        <v>1508</v>
      </c>
      <c r="F900" s="813" t="s">
        <v>1480</v>
      </c>
      <c r="G900" s="1280" t="str">
        <f>IF(T900&lt;&gt;"","AW","")</f>
        <v/>
      </c>
      <c r="H900" s="1280" t="s">
        <v>1982</v>
      </c>
      <c r="I900" s="1241" t="str">
        <f t="shared" ref="I900:I963" si="139">IF(J900&lt;&gt;"",A900,"")</f>
        <v/>
      </c>
      <c r="J900" s="1280" t="str">
        <f t="shared" si="135"/>
        <v/>
      </c>
      <c r="K900" s="1280" t="str">
        <f t="shared" ref="K900:K963" si="140">IF(J900&lt;&gt;"",E900,"")</f>
        <v/>
      </c>
      <c r="L900" s="801" t="s">
        <v>1480</v>
      </c>
      <c r="M900" s="1295">
        <v>883</v>
      </c>
      <c r="N900" s="1280"/>
      <c r="O900" s="1277"/>
      <c r="P900" s="1277"/>
      <c r="Q900" s="1277"/>
      <c r="R900" s="1280" t="s">
        <v>395</v>
      </c>
      <c r="S900" s="1277"/>
      <c r="T900" s="1280" t="str">
        <f t="shared" si="136"/>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39"/>
        <v/>
      </c>
      <c r="J901" s="1280"/>
      <c r="K901" s="1280" t="str">
        <f t="shared" si="140"/>
        <v/>
      </c>
      <c r="L901" s="801" t="s">
        <v>1378</v>
      </c>
      <c r="M901" s="1295">
        <v>884</v>
      </c>
      <c r="N901" s="1280"/>
      <c r="O901" s="1277"/>
      <c r="P901" s="1277"/>
      <c r="Q901" s="1277"/>
      <c r="R901" s="1280" t="s">
        <v>395</v>
      </c>
      <c r="S901" s="1277"/>
      <c r="T901" s="1280" t="str">
        <f t="shared" si="136"/>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39"/>
        <v/>
      </c>
      <c r="J902" s="1280"/>
      <c r="K902" s="1280" t="str">
        <f t="shared" si="140"/>
        <v/>
      </c>
      <c r="L902" s="801" t="s">
        <v>1379</v>
      </c>
      <c r="M902" s="1295">
        <v>885</v>
      </c>
      <c r="N902" s="1280"/>
      <c r="O902" s="1277"/>
      <c r="P902" s="1277"/>
      <c r="Q902" s="1277"/>
      <c r="R902" s="1280" t="s">
        <v>395</v>
      </c>
      <c r="S902" s="1277"/>
      <c r="T902" s="1280" t="str">
        <f t="shared" si="136"/>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39"/>
        <v/>
      </c>
      <c r="J903" s="1280" t="str">
        <f t="shared" si="135"/>
        <v/>
      </c>
      <c r="K903" s="1280" t="str">
        <f t="shared" si="140"/>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36"/>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39"/>
        <v/>
      </c>
      <c r="J904" s="1280" t="str">
        <f t="shared" si="135"/>
        <v/>
      </c>
      <c r="K904" s="1280" t="str">
        <f t="shared" si="140"/>
        <v/>
      </c>
      <c r="L904" s="801" t="s">
        <v>1484</v>
      </c>
      <c r="M904" s="1295">
        <v>887</v>
      </c>
      <c r="N904" s="1280"/>
      <c r="O904" s="1277"/>
      <c r="P904" s="1277"/>
      <c r="Q904" s="1277"/>
      <c r="R904" s="1280" t="s">
        <v>395</v>
      </c>
      <c r="S904" s="1277"/>
      <c r="T904" s="1280" t="str">
        <f t="shared" si="136"/>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39"/>
        <v/>
      </c>
      <c r="J905" s="1280" t="str">
        <f t="shared" si="135"/>
        <v/>
      </c>
      <c r="K905" s="1280" t="str">
        <f t="shared" si="140"/>
        <v/>
      </c>
      <c r="L905" s="801" t="s">
        <v>1498</v>
      </c>
      <c r="M905" s="1295">
        <v>888</v>
      </c>
      <c r="N905" s="1280"/>
      <c r="O905" s="1277"/>
      <c r="P905" s="1277"/>
      <c r="Q905" s="1277"/>
      <c r="R905" s="1280" t="s">
        <v>395</v>
      </c>
      <c r="S905" s="1277"/>
      <c r="T905" s="1280" t="str">
        <f t="shared" si="136"/>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39"/>
        <v/>
      </c>
      <c r="J906" s="1280" t="str">
        <f t="shared" si="135"/>
        <v/>
      </c>
      <c r="K906" s="1280" t="str">
        <f t="shared" si="140"/>
        <v/>
      </c>
      <c r="L906" s="801" t="s">
        <v>1380</v>
      </c>
      <c r="M906" s="1295">
        <v>889</v>
      </c>
      <c r="N906" s="1280"/>
      <c r="O906" s="1277"/>
      <c r="P906" s="1277"/>
      <c r="Q906" s="1277"/>
      <c r="R906" s="1280" t="s">
        <v>395</v>
      </c>
      <c r="S906" s="1277"/>
      <c r="T906" s="1280" t="str">
        <f t="shared" si="136"/>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39"/>
        <v/>
      </c>
      <c r="J907" s="1280"/>
      <c r="K907" s="1280" t="str">
        <f t="shared" si="140"/>
        <v/>
      </c>
      <c r="L907" s="801" t="s">
        <v>1381</v>
      </c>
      <c r="M907" s="1295">
        <v>890</v>
      </c>
      <c r="N907" s="1280"/>
      <c r="O907" s="1277"/>
      <c r="P907" s="1277"/>
      <c r="Q907" s="1277"/>
      <c r="R907" s="1280" t="s">
        <v>395</v>
      </c>
      <c r="S907" s="1277"/>
      <c r="T907" s="1280" t="str">
        <f t="shared" si="136"/>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39"/>
        <v/>
      </c>
      <c r="J908" s="1280"/>
      <c r="K908" s="1280" t="str">
        <f t="shared" si="140"/>
        <v/>
      </c>
      <c r="L908" s="801" t="s">
        <v>1382</v>
      </c>
      <c r="M908" s="1295">
        <v>891</v>
      </c>
      <c r="N908" s="1280"/>
      <c r="O908" s="1277"/>
      <c r="P908" s="1277"/>
      <c r="Q908" s="1277"/>
      <c r="R908" s="1280" t="s">
        <v>395</v>
      </c>
      <c r="S908" s="1277"/>
      <c r="T908" s="1280" t="str">
        <f t="shared" si="136"/>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39"/>
        <v/>
      </c>
      <c r="J909" s="1280" t="str">
        <f t="shared" si="135"/>
        <v/>
      </c>
      <c r="K909" s="1280" t="str">
        <f t="shared" si="140"/>
        <v/>
      </c>
      <c r="L909" s="801" t="s">
        <v>1500</v>
      </c>
      <c r="M909" s="1295">
        <v>892</v>
      </c>
      <c r="N909" s="1280"/>
      <c r="O909" s="1277"/>
      <c r="P909" s="1277"/>
      <c r="Q909" s="1277"/>
      <c r="R909" s="1280" t="s">
        <v>395</v>
      </c>
      <c r="S909" s="1277"/>
      <c r="T909" s="1280" t="str">
        <f t="shared" si="136"/>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39"/>
        <v/>
      </c>
      <c r="J910" s="1280"/>
      <c r="K910" s="1280" t="str">
        <f t="shared" si="140"/>
        <v/>
      </c>
      <c r="L910" s="801" t="s">
        <v>1483</v>
      </c>
      <c r="M910" s="1295">
        <v>893</v>
      </c>
      <c r="N910" s="1280"/>
      <c r="O910" s="1277" t="s">
        <v>725</v>
      </c>
      <c r="P910" s="1372"/>
      <c r="Q910" s="1277"/>
      <c r="R910" s="1280" t="s">
        <v>395</v>
      </c>
      <c r="S910" s="1277"/>
      <c r="T910" s="1280" t="str">
        <f t="shared" ref="T910:T927" si="141">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39"/>
        <v/>
      </c>
      <c r="J911" s="1280" t="str">
        <f>IF(M911&lt;&gt;"",IF($Q$911="Yes",Q$1&amp;M911,""))</f>
        <v/>
      </c>
      <c r="K911" s="1280" t="str">
        <f t="shared" si="140"/>
        <v/>
      </c>
      <c r="L911" s="801" t="s">
        <v>1697</v>
      </c>
      <c r="M911" s="1295">
        <v>894</v>
      </c>
      <c r="N911" s="1280"/>
      <c r="O911" s="1277">
        <f>'Configurable Tab'!H20</f>
        <v>253</v>
      </c>
      <c r="P911" s="1372">
        <f>'Configurable Tab'!J20</f>
        <v>0</v>
      </c>
      <c r="Q911" s="1317" t="s">
        <v>648</v>
      </c>
      <c r="R911" s="1280" t="s">
        <v>395</v>
      </c>
      <c r="S911" s="1277"/>
      <c r="T911" s="1280" t="str">
        <f t="shared" si="141"/>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39"/>
        <v/>
      </c>
      <c r="J912" s="1280"/>
      <c r="K912" s="1280" t="str">
        <f t="shared" si="140"/>
        <v/>
      </c>
      <c r="L912" s="801" t="s">
        <v>1376</v>
      </c>
      <c r="M912" s="1295">
        <v>895</v>
      </c>
      <c r="N912" s="1280"/>
      <c r="O912" s="1277" t="s">
        <v>726</v>
      </c>
      <c r="P912" s="1277"/>
      <c r="Q912" s="1277"/>
      <c r="R912" s="1280" t="s">
        <v>395</v>
      </c>
      <c r="S912" s="1277"/>
      <c r="T912" s="1280" t="str">
        <f t="shared" si="141"/>
        <v/>
      </c>
      <c r="U912" s="1277"/>
      <c r="V912" s="1277"/>
      <c r="W912" s="1277"/>
      <c r="X912" s="1277"/>
      <c r="Y912" s="1277"/>
      <c r="Z912" s="1277"/>
    </row>
    <row r="913" spans="1:26" x14ac:dyDescent="0.25">
      <c r="A913" s="963" t="s">
        <v>1373</v>
      </c>
      <c r="B913" s="801" t="str">
        <f t="shared" ref="B913:B919" ca="1" si="142">_xlfn.CONCAT(IFERROR(SUBSTITUTE(ADDRESS(1,MATCH(A913,INDIRECT("'"&amp;E913&amp;"'"&amp;"!A" &amp; $O$911 + 2 &amp; ":Z" &amp; $O$911 + 2),0),4),1,""),""),$O$911 + 2)</f>
        <v>H255</v>
      </c>
      <c r="C913" s="801" t="str">
        <f t="shared" ref="C913:C919" ca="1" si="143">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39"/>
        <v/>
      </c>
      <c r="J913" s="1280" t="str">
        <f t="shared" ref="J913:J919" si="144">IF(M913&lt;&gt;"",IF($Q$911="Yes",Q$1&amp;M913,""))</f>
        <v/>
      </c>
      <c r="K913" s="1280" t="str">
        <f t="shared" si="140"/>
        <v/>
      </c>
      <c r="L913" s="801" t="s">
        <v>1373</v>
      </c>
      <c r="M913" s="1295">
        <v>896</v>
      </c>
      <c r="N913" s="1280"/>
      <c r="O913" s="1277">
        <f>'Configurable Tab'!I20</f>
        <v>266</v>
      </c>
      <c r="P913" s="1277"/>
      <c r="Q913" s="1277"/>
      <c r="R913" s="1280" t="s">
        <v>395</v>
      </c>
      <c r="S913" s="1277"/>
      <c r="T913" s="1280" t="str">
        <f t="shared" si="141"/>
        <v/>
      </c>
      <c r="U913" s="1277"/>
      <c r="V913" s="1277"/>
      <c r="W913" s="1277"/>
      <c r="X913" s="1277"/>
      <c r="Y913" s="1277"/>
      <c r="Z913" s="1277"/>
    </row>
    <row r="914" spans="1:26" x14ac:dyDescent="0.25">
      <c r="A914" s="963" t="s">
        <v>1374</v>
      </c>
      <c r="B914" s="801" t="str">
        <f t="shared" ca="1" si="142"/>
        <v>J255</v>
      </c>
      <c r="C914" s="801" t="str">
        <f t="shared" ca="1" si="143"/>
        <v>J256</v>
      </c>
      <c r="D914" s="801" t="s">
        <v>1343</v>
      </c>
      <c r="E914" s="801" t="s">
        <v>1508</v>
      </c>
      <c r="F914" s="1280" t="s">
        <v>1984</v>
      </c>
      <c r="G914" s="1280" t="str">
        <f>IF(T914&lt;&gt;"","I","")</f>
        <v/>
      </c>
      <c r="H914" s="1280" t="s">
        <v>1982</v>
      </c>
      <c r="I914" s="1241" t="str">
        <f t="shared" si="139"/>
        <v/>
      </c>
      <c r="J914" s="1280" t="str">
        <f t="shared" si="144"/>
        <v/>
      </c>
      <c r="K914" s="1280" t="str">
        <f t="shared" si="140"/>
        <v/>
      </c>
      <c r="L914" s="801" t="s">
        <v>1374</v>
      </c>
      <c r="M914" s="1295">
        <v>897</v>
      </c>
      <c r="N914" s="1280"/>
      <c r="O914" s="1277" t="s">
        <v>1698</v>
      </c>
      <c r="P914" s="1277"/>
      <c r="Q914" s="1277"/>
      <c r="R914" s="1280" t="s">
        <v>395</v>
      </c>
      <c r="S914" s="1277"/>
      <c r="T914" s="1280" t="str">
        <f t="shared" si="141"/>
        <v/>
      </c>
      <c r="U914" s="1277"/>
      <c r="V914" s="1277"/>
      <c r="W914" s="1277"/>
      <c r="X914" s="1277"/>
      <c r="Y914" s="1277"/>
      <c r="Z914" s="1277"/>
    </row>
    <row r="915" spans="1:26" x14ac:dyDescent="0.25">
      <c r="A915" s="963" t="s">
        <v>1390</v>
      </c>
      <c r="B915" s="801" t="str">
        <f t="shared" ca="1" si="142"/>
        <v>L255</v>
      </c>
      <c r="C915" s="801" t="str">
        <f t="shared" ca="1" si="143"/>
        <v>L256</v>
      </c>
      <c r="D915" s="801" t="s">
        <v>1343</v>
      </c>
      <c r="E915" s="801" t="s">
        <v>1508</v>
      </c>
      <c r="F915" s="1280" t="s">
        <v>1985</v>
      </c>
      <c r="G915" s="1280" t="str">
        <f>IF(T915&lt;&gt;"","H","")</f>
        <v/>
      </c>
      <c r="H915" s="1280" t="s">
        <v>1982</v>
      </c>
      <c r="I915" s="1241" t="str">
        <f t="shared" si="139"/>
        <v/>
      </c>
      <c r="J915" s="1280" t="str">
        <f t="shared" si="144"/>
        <v/>
      </c>
      <c r="K915" s="1280" t="str">
        <f t="shared" si="140"/>
        <v/>
      </c>
      <c r="L915" s="801" t="s">
        <v>1390</v>
      </c>
      <c r="M915" s="1295">
        <v>898</v>
      </c>
      <c r="N915" s="1280"/>
      <c r="O915" s="1277"/>
      <c r="P915" s="1277"/>
      <c r="Q915" s="1277"/>
      <c r="R915" s="1280" t="s">
        <v>395</v>
      </c>
      <c r="S915" s="1277"/>
      <c r="T915" s="1280" t="str">
        <f t="shared" si="141"/>
        <v/>
      </c>
      <c r="U915" s="1277"/>
      <c r="V915" s="1277"/>
      <c r="W915" s="1277"/>
      <c r="X915" s="1277"/>
      <c r="Y915" s="1277"/>
      <c r="Z915" s="1277"/>
    </row>
    <row r="916" spans="1:26" x14ac:dyDescent="0.25">
      <c r="A916" s="963" t="s">
        <v>1375</v>
      </c>
      <c r="B916" s="801" t="str">
        <f t="shared" ca="1" si="142"/>
        <v>N255</v>
      </c>
      <c r="C916" s="801" t="str">
        <f t="shared" ca="1" si="143"/>
        <v>N256</v>
      </c>
      <c r="D916" s="801" t="s">
        <v>1343</v>
      </c>
      <c r="E916" s="801" t="s">
        <v>1508</v>
      </c>
      <c r="F916" s="1280" t="s">
        <v>1375</v>
      </c>
      <c r="G916" s="1280" t="str">
        <f>IF(T916&lt;&gt;"",IF(Q914="Credit Memo","J",IF(Q914="Check","K","")),"")</f>
        <v/>
      </c>
      <c r="H916" s="1280" t="s">
        <v>1982</v>
      </c>
      <c r="I916" s="1241" t="str">
        <f t="shared" si="139"/>
        <v/>
      </c>
      <c r="J916" s="1280" t="str">
        <f t="shared" si="144"/>
        <v/>
      </c>
      <c r="K916" s="1280" t="str">
        <f t="shared" si="140"/>
        <v/>
      </c>
      <c r="L916" s="801" t="s">
        <v>1375</v>
      </c>
      <c r="M916" s="1295">
        <v>899</v>
      </c>
      <c r="N916" s="1280"/>
      <c r="O916" s="1277"/>
      <c r="P916" s="1277"/>
      <c r="Q916" s="1277"/>
      <c r="R916" s="1280" t="s">
        <v>395</v>
      </c>
      <c r="S916" s="1277"/>
      <c r="T916" s="1280" t="str">
        <f t="shared" si="141"/>
        <v/>
      </c>
      <c r="U916" s="1277"/>
      <c r="V916" s="1277"/>
      <c r="W916" s="1277"/>
      <c r="X916" s="1277"/>
      <c r="Y916" s="1277"/>
      <c r="Z916" s="1277"/>
    </row>
    <row r="917" spans="1:26" x14ac:dyDescent="0.25">
      <c r="A917" s="963" t="s">
        <v>1478</v>
      </c>
      <c r="B917" s="801" t="str">
        <f t="shared" ca="1" si="142"/>
        <v>P255</v>
      </c>
      <c r="C917" s="801" t="str">
        <f t="shared" ca="1" si="143"/>
        <v>P256</v>
      </c>
      <c r="D917" s="801" t="s">
        <v>1343</v>
      </c>
      <c r="E917" s="801" t="s">
        <v>1508</v>
      </c>
      <c r="F917" s="1280" t="s">
        <v>1986</v>
      </c>
      <c r="G917" s="1280" t="str">
        <f>IF(T917&lt;&gt;"","F","")</f>
        <v/>
      </c>
      <c r="H917" s="1280" t="s">
        <v>1982</v>
      </c>
      <c r="I917" s="1241" t="str">
        <f t="shared" si="139"/>
        <v/>
      </c>
      <c r="J917" s="1280" t="str">
        <f t="shared" si="144"/>
        <v/>
      </c>
      <c r="K917" s="1280" t="str">
        <f t="shared" si="140"/>
        <v/>
      </c>
      <c r="L917" s="801" t="s">
        <v>1478</v>
      </c>
      <c r="M917" s="1295">
        <v>900</v>
      </c>
      <c r="N917" s="1280"/>
      <c r="O917" s="1277"/>
      <c r="P917" s="1277"/>
      <c r="Q917" s="1277"/>
      <c r="R917" s="1280" t="s">
        <v>395</v>
      </c>
      <c r="S917" s="1277"/>
      <c r="T917" s="1280" t="str">
        <f t="shared" si="141"/>
        <v/>
      </c>
      <c r="U917" s="1277"/>
      <c r="V917" s="1277"/>
      <c r="W917" s="1277"/>
      <c r="X917" s="1277"/>
      <c r="Y917" s="1277"/>
      <c r="Z917" s="1277"/>
    </row>
    <row r="918" spans="1:26" x14ac:dyDescent="0.25">
      <c r="A918" s="963" t="s">
        <v>1479</v>
      </c>
      <c r="B918" s="801" t="str">
        <f t="shared" ca="1" si="142"/>
        <v>R255</v>
      </c>
      <c r="C918" s="801" t="str">
        <f t="shared" ca="1" si="143"/>
        <v>R256</v>
      </c>
      <c r="D918" s="801" t="s">
        <v>1343</v>
      </c>
      <c r="E918" s="801" t="s">
        <v>1508</v>
      </c>
      <c r="F918" s="1280" t="s">
        <v>1987</v>
      </c>
      <c r="G918" s="1280" t="str">
        <f>IF(T918&lt;&gt;"","G","")</f>
        <v/>
      </c>
      <c r="H918" s="1280" t="s">
        <v>1982</v>
      </c>
      <c r="I918" s="1241" t="str">
        <f t="shared" si="139"/>
        <v/>
      </c>
      <c r="J918" s="1280" t="str">
        <f t="shared" si="144"/>
        <v/>
      </c>
      <c r="K918" s="1280" t="str">
        <f t="shared" si="140"/>
        <v/>
      </c>
      <c r="L918" s="801" t="s">
        <v>1479</v>
      </c>
      <c r="M918" s="1295">
        <v>901</v>
      </c>
      <c r="N918" s="1280"/>
      <c r="O918" s="1277"/>
      <c r="P918" s="1277"/>
      <c r="Q918" s="1277"/>
      <c r="R918" s="1280" t="s">
        <v>395</v>
      </c>
      <c r="S918" s="1277"/>
      <c r="T918" s="1280" t="str">
        <f t="shared" si="141"/>
        <v/>
      </c>
      <c r="U918" s="1277"/>
      <c r="V918" s="1277"/>
      <c r="W918" s="1277"/>
      <c r="X918" s="1277"/>
      <c r="Y918" s="1277"/>
      <c r="Z918" s="1277"/>
    </row>
    <row r="919" spans="1:26" x14ac:dyDescent="0.25">
      <c r="A919" s="963" t="s">
        <v>1480</v>
      </c>
      <c r="B919" s="801" t="str">
        <f t="shared" ca="1" si="142"/>
        <v>T255</v>
      </c>
      <c r="C919" s="801" t="str">
        <f t="shared" ca="1" si="143"/>
        <v>T256</v>
      </c>
      <c r="D919" s="801" t="s">
        <v>1343</v>
      </c>
      <c r="E919" s="801" t="s">
        <v>1508</v>
      </c>
      <c r="F919" s="813" t="s">
        <v>1480</v>
      </c>
      <c r="G919" s="1280" t="str">
        <f>IF(T919&lt;&gt;"","AW","")</f>
        <v/>
      </c>
      <c r="H919" s="1280" t="s">
        <v>1982</v>
      </c>
      <c r="I919" s="1241" t="str">
        <f t="shared" si="139"/>
        <v/>
      </c>
      <c r="J919" s="1280" t="str">
        <f t="shared" si="144"/>
        <v/>
      </c>
      <c r="K919" s="1280" t="str">
        <f t="shared" si="140"/>
        <v/>
      </c>
      <c r="L919" s="801" t="s">
        <v>1480</v>
      </c>
      <c r="M919" s="1295">
        <v>902</v>
      </c>
      <c r="N919" s="1280"/>
      <c r="O919" s="1277"/>
      <c r="P919" s="1277"/>
      <c r="Q919" s="1277"/>
      <c r="R919" s="1280" t="s">
        <v>395</v>
      </c>
      <c r="S919" s="1277"/>
      <c r="T919" s="1280" t="str">
        <f t="shared" si="141"/>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39"/>
        <v/>
      </c>
      <c r="J920" s="1280"/>
      <c r="K920" s="1280" t="str">
        <f t="shared" si="140"/>
        <v/>
      </c>
      <c r="L920" s="801" t="s">
        <v>1378</v>
      </c>
      <c r="M920" s="1295">
        <v>903</v>
      </c>
      <c r="N920" s="1280"/>
      <c r="O920" s="1277"/>
      <c r="P920" s="1277"/>
      <c r="Q920" s="1277"/>
      <c r="R920" s="1280" t="s">
        <v>395</v>
      </c>
      <c r="S920" s="1277"/>
      <c r="T920" s="1280" t="str">
        <f t="shared" si="141"/>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39"/>
        <v/>
      </c>
      <c r="J921" s="1280"/>
      <c r="K921" s="1280" t="str">
        <f t="shared" si="140"/>
        <v/>
      </c>
      <c r="L921" s="801" t="s">
        <v>1379</v>
      </c>
      <c r="M921" s="1295">
        <v>904</v>
      </c>
      <c r="N921" s="1280"/>
      <c r="O921" s="1277"/>
      <c r="P921" s="1277"/>
      <c r="Q921" s="1277"/>
      <c r="R921" s="1280" t="s">
        <v>395</v>
      </c>
      <c r="S921" s="1277"/>
      <c r="T921" s="1280" t="str">
        <f t="shared" si="141"/>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39"/>
        <v/>
      </c>
      <c r="J922" s="1280" t="str">
        <f>IF(M922&lt;&gt;"",IF($Q$911="Yes",Q$1&amp;M922,""))</f>
        <v/>
      </c>
      <c r="K922" s="1280" t="str">
        <f t="shared" si="140"/>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1"/>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39"/>
        <v/>
      </c>
      <c r="J923" s="1280" t="str">
        <f>IF(M923&lt;&gt;"",IF($Q$911="Yes",Q$1&amp;M923,""))</f>
        <v/>
      </c>
      <c r="K923" s="1280" t="str">
        <f t="shared" si="140"/>
        <v/>
      </c>
      <c r="L923" s="801" t="s">
        <v>1484</v>
      </c>
      <c r="M923" s="1295">
        <v>906</v>
      </c>
      <c r="N923" s="1280"/>
      <c r="O923" s="1277"/>
      <c r="P923" s="1277"/>
      <c r="Q923" s="1277"/>
      <c r="R923" s="1280" t="s">
        <v>395</v>
      </c>
      <c r="S923" s="1277"/>
      <c r="T923" s="1280" t="str">
        <f t="shared" si="141"/>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39"/>
        <v/>
      </c>
      <c r="J924" s="1280" t="str">
        <f>IF(M924&lt;&gt;"",IF($Q$911="Yes",Q$1&amp;M924,""))</f>
        <v/>
      </c>
      <c r="K924" s="1280" t="str">
        <f t="shared" si="140"/>
        <v/>
      </c>
      <c r="L924" s="801" t="s">
        <v>1498</v>
      </c>
      <c r="M924" s="1295">
        <v>907</v>
      </c>
      <c r="N924" s="1280"/>
      <c r="O924" s="1277"/>
      <c r="P924" s="1277"/>
      <c r="Q924" s="1277"/>
      <c r="R924" s="1280" t="s">
        <v>395</v>
      </c>
      <c r="S924" s="1277"/>
      <c r="T924" s="1280" t="str">
        <f t="shared" si="141"/>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39"/>
        <v/>
      </c>
      <c r="J925" s="1280" t="str">
        <f>IF(M925&lt;&gt;"",IF($Q$911="Yes",Q$1&amp;M925,""))</f>
        <v/>
      </c>
      <c r="K925" s="1280" t="str">
        <f t="shared" si="140"/>
        <v/>
      </c>
      <c r="L925" s="801" t="s">
        <v>1380</v>
      </c>
      <c r="M925" s="1295">
        <v>908</v>
      </c>
      <c r="N925" s="1280"/>
      <c r="O925" s="1277"/>
      <c r="P925" s="1277"/>
      <c r="Q925" s="1277"/>
      <c r="R925" s="1280" t="s">
        <v>395</v>
      </c>
      <c r="S925" s="1277"/>
      <c r="T925" s="1280" t="str">
        <f t="shared" si="141"/>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39"/>
        <v/>
      </c>
      <c r="J926" s="1280"/>
      <c r="K926" s="1280" t="str">
        <f t="shared" si="140"/>
        <v/>
      </c>
      <c r="L926" s="801" t="s">
        <v>1381</v>
      </c>
      <c r="M926" s="1295">
        <v>909</v>
      </c>
      <c r="N926" s="1280"/>
      <c r="O926" s="1277"/>
      <c r="P926" s="1277"/>
      <c r="Q926" s="1277"/>
      <c r="R926" s="1280" t="s">
        <v>395</v>
      </c>
      <c r="S926" s="1277"/>
      <c r="T926" s="1280" t="str">
        <f t="shared" si="141"/>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39"/>
        <v/>
      </c>
      <c r="J927" s="1280"/>
      <c r="K927" s="1280" t="str">
        <f t="shared" si="140"/>
        <v/>
      </c>
      <c r="L927" s="801" t="s">
        <v>1382</v>
      </c>
      <c r="M927" s="1295">
        <v>910</v>
      </c>
      <c r="N927" s="1280"/>
      <c r="O927" s="1277"/>
      <c r="P927" s="1277"/>
      <c r="Q927" s="1277"/>
      <c r="R927" s="1280" t="s">
        <v>395</v>
      </c>
      <c r="S927" s="1277"/>
      <c r="T927" s="1280" t="str">
        <f t="shared" si="141"/>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39"/>
        <v/>
      </c>
      <c r="J928" s="1280" t="str">
        <f>IF(M928&lt;&gt;"",IF($Q$911="Yes",Q$1&amp;M928,""))</f>
        <v/>
      </c>
      <c r="K928" s="1280" t="str">
        <f t="shared" si="140"/>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39"/>
        <v/>
      </c>
      <c r="J929" s="1280"/>
      <c r="K929" s="1280" t="str">
        <f t="shared" si="140"/>
        <v/>
      </c>
      <c r="L929" s="801" t="s">
        <v>1483</v>
      </c>
      <c r="M929" s="1295">
        <v>912</v>
      </c>
      <c r="N929" s="1280"/>
      <c r="O929" s="1277" t="s">
        <v>725</v>
      </c>
      <c r="P929" s="1372"/>
      <c r="Q929" s="1277"/>
      <c r="R929" s="1280" t="s">
        <v>395</v>
      </c>
      <c r="S929" s="1277"/>
      <c r="T929" s="1280" t="str">
        <f t="shared" ref="T929:T946" si="145">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39"/>
        <v/>
      </c>
      <c r="J930" s="1280" t="str">
        <f t="shared" ref="J930:J947" si="146">IF(M930&lt;&gt;"",IF($Q$930="Yes",Q$1&amp;M930,""))</f>
        <v/>
      </c>
      <c r="K930" s="1280" t="str">
        <f t="shared" si="140"/>
        <v/>
      </c>
      <c r="L930" s="801" t="s">
        <v>1697</v>
      </c>
      <c r="M930" s="1295">
        <v>913</v>
      </c>
      <c r="N930" s="1280"/>
      <c r="O930" s="1277">
        <f>'Configurable Tab'!H21</f>
        <v>267</v>
      </c>
      <c r="P930" s="1372">
        <f>'Configurable Tab'!J21</f>
        <v>0</v>
      </c>
      <c r="Q930" s="1317" t="s">
        <v>648</v>
      </c>
      <c r="R930" s="1280" t="s">
        <v>395</v>
      </c>
      <c r="S930" s="1277"/>
      <c r="T930" s="1280" t="str">
        <f t="shared" si="145"/>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39"/>
        <v/>
      </c>
      <c r="J931" s="1280"/>
      <c r="K931" s="1280" t="str">
        <f t="shared" si="140"/>
        <v/>
      </c>
      <c r="L931" s="801" t="s">
        <v>1376</v>
      </c>
      <c r="M931" s="1295">
        <v>914</v>
      </c>
      <c r="N931" s="1280"/>
      <c r="O931" s="1277" t="s">
        <v>726</v>
      </c>
      <c r="P931" s="1277"/>
      <c r="Q931" s="1277"/>
      <c r="R931" s="1280" t="s">
        <v>395</v>
      </c>
      <c r="S931" s="1277"/>
      <c r="T931" s="1280" t="str">
        <f t="shared" si="145"/>
        <v/>
      </c>
      <c r="U931" s="1277"/>
      <c r="V931" s="1277"/>
      <c r="W931" s="1277"/>
      <c r="X931" s="1277"/>
      <c r="Y931" s="1277"/>
      <c r="Z931" s="1277"/>
    </row>
    <row r="932" spans="1:26" x14ac:dyDescent="0.25">
      <c r="A932" s="982" t="s">
        <v>1373</v>
      </c>
      <c r="B932" s="801" t="str">
        <f t="shared" ref="B932:B938" ca="1" si="147">_xlfn.CONCAT(IFERROR(SUBSTITUTE(ADDRESS(1,MATCH(A932,INDIRECT("'"&amp;E932&amp;"'"&amp;"!A" &amp; $O$930 + 2 &amp; ":Z" &amp; $O$930 + 2),0),4),1,""),""),$O$930 + 2)</f>
        <v>H269</v>
      </c>
      <c r="C932" s="801" t="str">
        <f t="shared" ref="C932:C938" ca="1" si="148">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39"/>
        <v/>
      </c>
      <c r="J932" s="1280" t="str">
        <f t="shared" si="146"/>
        <v/>
      </c>
      <c r="K932" s="1280" t="str">
        <f t="shared" si="140"/>
        <v/>
      </c>
      <c r="L932" s="801" t="s">
        <v>1373</v>
      </c>
      <c r="M932" s="1295">
        <v>915</v>
      </c>
      <c r="N932" s="1280"/>
      <c r="O932" s="1277">
        <f>'Configurable Tab'!I21</f>
        <v>280</v>
      </c>
      <c r="P932" s="1277"/>
      <c r="Q932" s="1277"/>
      <c r="R932" s="1280" t="s">
        <v>395</v>
      </c>
      <c r="S932" s="1277"/>
      <c r="T932" s="1280" t="str">
        <f t="shared" si="145"/>
        <v/>
      </c>
      <c r="U932" s="1277"/>
      <c r="V932" s="1277"/>
      <c r="W932" s="1277"/>
      <c r="X932" s="1277"/>
      <c r="Y932" s="1277"/>
      <c r="Z932" s="1277"/>
    </row>
    <row r="933" spans="1:26" x14ac:dyDescent="0.25">
      <c r="A933" s="982" t="s">
        <v>1374</v>
      </c>
      <c r="B933" s="801" t="str">
        <f t="shared" ca="1" si="147"/>
        <v>J269</v>
      </c>
      <c r="C933" s="801" t="str">
        <f t="shared" ca="1" si="148"/>
        <v>J270</v>
      </c>
      <c r="D933" s="801" t="s">
        <v>1343</v>
      </c>
      <c r="E933" s="801" t="s">
        <v>1508</v>
      </c>
      <c r="F933" s="1280" t="s">
        <v>1984</v>
      </c>
      <c r="G933" s="1280" t="str">
        <f>IF(T933&lt;&gt;"","I","")</f>
        <v/>
      </c>
      <c r="H933" s="1280" t="s">
        <v>1982</v>
      </c>
      <c r="I933" s="1241" t="str">
        <f t="shared" si="139"/>
        <v/>
      </c>
      <c r="J933" s="1280" t="str">
        <f t="shared" si="146"/>
        <v/>
      </c>
      <c r="K933" s="1280" t="str">
        <f t="shared" si="140"/>
        <v/>
      </c>
      <c r="L933" s="801" t="s">
        <v>1374</v>
      </c>
      <c r="M933" s="1295">
        <v>916</v>
      </c>
      <c r="N933" s="1280"/>
      <c r="O933" s="1277" t="s">
        <v>1699</v>
      </c>
      <c r="P933" s="1277"/>
      <c r="Q933" s="1277"/>
      <c r="R933" s="1280" t="s">
        <v>395</v>
      </c>
      <c r="S933" s="1277"/>
      <c r="T933" s="1280" t="str">
        <f t="shared" si="145"/>
        <v/>
      </c>
      <c r="U933" s="1277"/>
      <c r="V933" s="1277"/>
      <c r="W933" s="1277"/>
      <c r="X933" s="1277"/>
      <c r="Y933" s="1277"/>
      <c r="Z933" s="1277"/>
    </row>
    <row r="934" spans="1:26" x14ac:dyDescent="0.25">
      <c r="A934" s="982" t="s">
        <v>1390</v>
      </c>
      <c r="B934" s="801" t="str">
        <f t="shared" ca="1" si="147"/>
        <v>L269</v>
      </c>
      <c r="C934" s="801" t="str">
        <f t="shared" ca="1" si="148"/>
        <v>L270</v>
      </c>
      <c r="D934" s="801" t="s">
        <v>1343</v>
      </c>
      <c r="E934" s="801" t="s">
        <v>1508</v>
      </c>
      <c r="F934" s="1280" t="s">
        <v>1985</v>
      </c>
      <c r="G934" s="1280" t="str">
        <f>IF(T934&lt;&gt;"","H","")</f>
        <v/>
      </c>
      <c r="H934" s="1280" t="s">
        <v>1982</v>
      </c>
      <c r="I934" s="1241" t="str">
        <f t="shared" si="139"/>
        <v/>
      </c>
      <c r="J934" s="1280" t="str">
        <f t="shared" si="146"/>
        <v/>
      </c>
      <c r="K934" s="1280" t="str">
        <f t="shared" si="140"/>
        <v/>
      </c>
      <c r="L934" s="801" t="s">
        <v>1390</v>
      </c>
      <c r="M934" s="1295">
        <v>917</v>
      </c>
      <c r="N934" s="1280"/>
      <c r="O934" s="1277"/>
      <c r="P934" s="1277"/>
      <c r="Q934" s="1277"/>
      <c r="R934" s="1280" t="s">
        <v>395</v>
      </c>
      <c r="S934" s="1277"/>
      <c r="T934" s="1280" t="str">
        <f t="shared" si="145"/>
        <v/>
      </c>
      <c r="U934" s="1277"/>
      <c r="V934" s="1277"/>
      <c r="W934" s="1277"/>
      <c r="X934" s="1277"/>
      <c r="Y934" s="1277"/>
      <c r="Z934" s="1277"/>
    </row>
    <row r="935" spans="1:26" x14ac:dyDescent="0.25">
      <c r="A935" s="982" t="s">
        <v>1375</v>
      </c>
      <c r="B935" s="801" t="str">
        <f t="shared" ca="1" si="147"/>
        <v>N269</v>
      </c>
      <c r="C935" s="801" t="str">
        <f t="shared" ca="1" si="148"/>
        <v>N270</v>
      </c>
      <c r="D935" s="801" t="s">
        <v>1343</v>
      </c>
      <c r="E935" s="801" t="s">
        <v>1508</v>
      </c>
      <c r="F935" s="1280" t="s">
        <v>1375</v>
      </c>
      <c r="G935" s="1280" t="str">
        <f>IF(T935&lt;&gt;"",IF(Q933="Credit Memo","J",IF(Q933="Check","K","")),"")</f>
        <v/>
      </c>
      <c r="H935" s="1280" t="s">
        <v>1982</v>
      </c>
      <c r="I935" s="1241" t="str">
        <f t="shared" si="139"/>
        <v/>
      </c>
      <c r="J935" s="1280" t="str">
        <f t="shared" si="146"/>
        <v/>
      </c>
      <c r="K935" s="1280" t="str">
        <f t="shared" si="140"/>
        <v/>
      </c>
      <c r="L935" s="801" t="s">
        <v>1375</v>
      </c>
      <c r="M935" s="1295">
        <v>918</v>
      </c>
      <c r="N935" s="1280"/>
      <c r="O935" s="1277"/>
      <c r="P935" s="1277"/>
      <c r="Q935" s="1277"/>
      <c r="R935" s="1280" t="s">
        <v>395</v>
      </c>
      <c r="S935" s="1277"/>
      <c r="T935" s="1280" t="str">
        <f t="shared" si="145"/>
        <v/>
      </c>
      <c r="U935" s="1277"/>
      <c r="V935" s="1277"/>
      <c r="W935" s="1277"/>
      <c r="X935" s="1277"/>
      <c r="Y935" s="1277"/>
      <c r="Z935" s="1277"/>
    </row>
    <row r="936" spans="1:26" x14ac:dyDescent="0.25">
      <c r="A936" s="982" t="s">
        <v>1478</v>
      </c>
      <c r="B936" s="801" t="str">
        <f t="shared" ca="1" si="147"/>
        <v>P269</v>
      </c>
      <c r="C936" s="801" t="str">
        <f t="shared" ca="1" si="148"/>
        <v>P270</v>
      </c>
      <c r="D936" s="801" t="s">
        <v>1343</v>
      </c>
      <c r="E936" s="801" t="s">
        <v>1508</v>
      </c>
      <c r="F936" s="1280" t="s">
        <v>1986</v>
      </c>
      <c r="G936" s="1280" t="str">
        <f>IF(T936&lt;&gt;"","F","")</f>
        <v/>
      </c>
      <c r="H936" s="1280" t="s">
        <v>1982</v>
      </c>
      <c r="I936" s="1241" t="str">
        <f t="shared" si="139"/>
        <v/>
      </c>
      <c r="J936" s="1280" t="str">
        <f t="shared" si="146"/>
        <v/>
      </c>
      <c r="K936" s="1280" t="str">
        <f t="shared" si="140"/>
        <v/>
      </c>
      <c r="L936" s="801" t="s">
        <v>1478</v>
      </c>
      <c r="M936" s="1295">
        <v>919</v>
      </c>
      <c r="N936" s="1280"/>
      <c r="O936" s="1277"/>
      <c r="P936" s="1277"/>
      <c r="Q936" s="1277"/>
      <c r="R936" s="1280" t="s">
        <v>395</v>
      </c>
      <c r="S936" s="1277"/>
      <c r="T936" s="1280" t="str">
        <f t="shared" si="145"/>
        <v/>
      </c>
      <c r="U936" s="1277"/>
      <c r="V936" s="1277"/>
      <c r="W936" s="1277"/>
      <c r="X936" s="1277"/>
      <c r="Y936" s="1277"/>
      <c r="Z936" s="1277"/>
    </row>
    <row r="937" spans="1:26" x14ac:dyDescent="0.25">
      <c r="A937" s="982" t="s">
        <v>1479</v>
      </c>
      <c r="B937" s="801" t="str">
        <f t="shared" ca="1" si="147"/>
        <v>R269</v>
      </c>
      <c r="C937" s="801" t="str">
        <f t="shared" ca="1" si="148"/>
        <v>R270</v>
      </c>
      <c r="D937" s="801" t="s">
        <v>1343</v>
      </c>
      <c r="E937" s="801" t="s">
        <v>1508</v>
      </c>
      <c r="F937" s="1280" t="s">
        <v>1987</v>
      </c>
      <c r="G937" s="1280" t="str">
        <f>IF(T937&lt;&gt;"","G","")</f>
        <v/>
      </c>
      <c r="H937" s="1280" t="s">
        <v>1982</v>
      </c>
      <c r="I937" s="1241" t="str">
        <f t="shared" si="139"/>
        <v/>
      </c>
      <c r="J937" s="1280" t="str">
        <f t="shared" si="146"/>
        <v/>
      </c>
      <c r="K937" s="1280" t="str">
        <f t="shared" si="140"/>
        <v/>
      </c>
      <c r="L937" s="801" t="s">
        <v>1479</v>
      </c>
      <c r="M937" s="1295">
        <v>920</v>
      </c>
      <c r="N937" s="1280"/>
      <c r="O937" s="1277"/>
      <c r="P937" s="1277"/>
      <c r="Q937" s="1277"/>
      <c r="R937" s="1280" t="s">
        <v>395</v>
      </c>
      <c r="S937" s="1277"/>
      <c r="T937" s="1280" t="str">
        <f t="shared" si="145"/>
        <v/>
      </c>
      <c r="U937" s="1277"/>
      <c r="V937" s="1277"/>
      <c r="W937" s="1277"/>
      <c r="X937" s="1277"/>
      <c r="Y937" s="1277"/>
      <c r="Z937" s="1277"/>
    </row>
    <row r="938" spans="1:26" x14ac:dyDescent="0.25">
      <c r="A938" s="982" t="s">
        <v>1480</v>
      </c>
      <c r="B938" s="801" t="str">
        <f t="shared" ca="1" si="147"/>
        <v>T269</v>
      </c>
      <c r="C938" s="801" t="str">
        <f t="shared" ca="1" si="148"/>
        <v>T270</v>
      </c>
      <c r="D938" s="801" t="s">
        <v>1343</v>
      </c>
      <c r="E938" s="801" t="s">
        <v>1508</v>
      </c>
      <c r="F938" s="813" t="s">
        <v>1480</v>
      </c>
      <c r="G938" s="1280" t="str">
        <f>IF(T938&lt;&gt;"","AW","")</f>
        <v/>
      </c>
      <c r="H938" s="1280" t="s">
        <v>1982</v>
      </c>
      <c r="I938" s="1241" t="str">
        <f t="shared" si="139"/>
        <v/>
      </c>
      <c r="J938" s="1280" t="str">
        <f t="shared" si="146"/>
        <v/>
      </c>
      <c r="K938" s="1280" t="str">
        <f t="shared" si="140"/>
        <v/>
      </c>
      <c r="L938" s="801" t="s">
        <v>1480</v>
      </c>
      <c r="M938" s="1295">
        <v>921</v>
      </c>
      <c r="N938" s="1280"/>
      <c r="O938" s="1277"/>
      <c r="P938" s="1277"/>
      <c r="Q938" s="1277"/>
      <c r="R938" s="1280" t="s">
        <v>395</v>
      </c>
      <c r="S938" s="1277"/>
      <c r="T938" s="1280" t="str">
        <f t="shared" si="145"/>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39"/>
        <v/>
      </c>
      <c r="J939" s="1280"/>
      <c r="K939" s="1280" t="str">
        <f t="shared" si="140"/>
        <v/>
      </c>
      <c r="L939" s="801" t="s">
        <v>1378</v>
      </c>
      <c r="M939" s="1295">
        <v>922</v>
      </c>
      <c r="N939" s="1280"/>
      <c r="O939" s="1277"/>
      <c r="P939" s="1277"/>
      <c r="Q939" s="1277"/>
      <c r="R939" s="1280" t="s">
        <v>395</v>
      </c>
      <c r="S939" s="1277"/>
      <c r="T939" s="1280" t="str">
        <f t="shared" si="145"/>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39"/>
        <v/>
      </c>
      <c r="J940" s="1280"/>
      <c r="K940" s="1280" t="str">
        <f t="shared" si="140"/>
        <v/>
      </c>
      <c r="L940" s="801" t="s">
        <v>1379</v>
      </c>
      <c r="M940" s="1295">
        <v>923</v>
      </c>
      <c r="N940" s="1280"/>
      <c r="O940" s="1277"/>
      <c r="P940" s="1277"/>
      <c r="Q940" s="1277"/>
      <c r="R940" s="1280" t="s">
        <v>395</v>
      </c>
      <c r="S940" s="1277"/>
      <c r="T940" s="1280" t="str">
        <f t="shared" si="145"/>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39"/>
        <v/>
      </c>
      <c r="J941" s="1280" t="str">
        <f t="shared" si="146"/>
        <v/>
      </c>
      <c r="K941" s="1280" t="str">
        <f t="shared" si="140"/>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45"/>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39"/>
        <v/>
      </c>
      <c r="J942" s="1280" t="str">
        <f t="shared" si="146"/>
        <v/>
      </c>
      <c r="K942" s="1280" t="str">
        <f t="shared" si="140"/>
        <v/>
      </c>
      <c r="L942" s="801" t="s">
        <v>1484</v>
      </c>
      <c r="M942" s="1295">
        <v>925</v>
      </c>
      <c r="N942" s="1280"/>
      <c r="O942" s="1277"/>
      <c r="P942" s="1277"/>
      <c r="Q942" s="1277"/>
      <c r="R942" s="1280" t="s">
        <v>395</v>
      </c>
      <c r="S942" s="1277"/>
      <c r="T942" s="1280" t="str">
        <f t="shared" si="145"/>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39"/>
        <v/>
      </c>
      <c r="J943" s="1280" t="str">
        <f t="shared" si="146"/>
        <v/>
      </c>
      <c r="K943" s="1280" t="str">
        <f t="shared" si="140"/>
        <v/>
      </c>
      <c r="L943" s="801" t="s">
        <v>1498</v>
      </c>
      <c r="M943" s="1295">
        <v>926</v>
      </c>
      <c r="N943" s="1280"/>
      <c r="O943" s="1277"/>
      <c r="P943" s="1277"/>
      <c r="Q943" s="1277"/>
      <c r="R943" s="1280" t="s">
        <v>395</v>
      </c>
      <c r="S943" s="1277"/>
      <c r="T943" s="1280" t="str">
        <f t="shared" si="145"/>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39"/>
        <v/>
      </c>
      <c r="J944" s="1280" t="str">
        <f t="shared" si="146"/>
        <v/>
      </c>
      <c r="K944" s="1280" t="str">
        <f t="shared" si="140"/>
        <v/>
      </c>
      <c r="L944" s="801" t="s">
        <v>1380</v>
      </c>
      <c r="M944" s="1295">
        <v>927</v>
      </c>
      <c r="N944" s="1280"/>
      <c r="O944" s="1277"/>
      <c r="P944" s="1277"/>
      <c r="Q944" s="1277"/>
      <c r="R944" s="1280" t="s">
        <v>395</v>
      </c>
      <c r="S944" s="1277"/>
      <c r="T944" s="1280" t="str">
        <f t="shared" si="145"/>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39"/>
        <v/>
      </c>
      <c r="J945" s="1280"/>
      <c r="K945" s="1280" t="str">
        <f t="shared" si="140"/>
        <v/>
      </c>
      <c r="L945" s="801" t="s">
        <v>1381</v>
      </c>
      <c r="M945" s="1295">
        <v>928</v>
      </c>
      <c r="N945" s="1280"/>
      <c r="O945" s="1277"/>
      <c r="P945" s="1277"/>
      <c r="Q945" s="1277"/>
      <c r="R945" s="1280" t="s">
        <v>395</v>
      </c>
      <c r="S945" s="1277"/>
      <c r="T945" s="1280" t="str">
        <f t="shared" si="145"/>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39"/>
        <v/>
      </c>
      <c r="J946" s="1280"/>
      <c r="K946" s="1280" t="str">
        <f t="shared" si="140"/>
        <v/>
      </c>
      <c r="L946" s="801" t="s">
        <v>1382</v>
      </c>
      <c r="M946" s="1295">
        <v>929</v>
      </c>
      <c r="N946" s="1280"/>
      <c r="O946" s="1277"/>
      <c r="P946" s="1277"/>
      <c r="Q946" s="1277"/>
      <c r="R946" s="1280" t="s">
        <v>395</v>
      </c>
      <c r="S946" s="1277"/>
      <c r="T946" s="1280" t="str">
        <f t="shared" si="145"/>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39"/>
        <v/>
      </c>
      <c r="J947" s="1280" t="str">
        <f t="shared" si="146"/>
        <v/>
      </c>
      <c r="K947" s="1280" t="str">
        <f t="shared" si="140"/>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39"/>
        <v/>
      </c>
      <c r="J948" s="1280"/>
      <c r="K948" s="1280" t="str">
        <f t="shared" si="140"/>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39"/>
        <v/>
      </c>
      <c r="J949" s="1280" t="str">
        <f t="shared" ref="J949:J966" si="149">IF(M949&lt;&gt;"",IF($Q$949="Yes",Q$1&amp;M949,""))</f>
        <v/>
      </c>
      <c r="K949" s="1280" t="str">
        <f t="shared" si="140"/>
        <v/>
      </c>
      <c r="L949" s="801" t="s">
        <v>1697</v>
      </c>
      <c r="M949" s="1295">
        <v>932</v>
      </c>
      <c r="N949" s="1280"/>
      <c r="O949" s="1277">
        <f>'Configurable Tab'!H22</f>
        <v>281</v>
      </c>
      <c r="P949" s="1372">
        <f>'Configurable Tab'!J22</f>
        <v>0</v>
      </c>
      <c r="Q949" s="1317" t="s">
        <v>648</v>
      </c>
      <c r="R949" s="1280" t="s">
        <v>395</v>
      </c>
      <c r="S949" s="1277"/>
      <c r="T949" s="1280" t="str">
        <f t="shared" ref="T949:T965" si="150">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39"/>
        <v/>
      </c>
      <c r="J950" s="1280"/>
      <c r="K950" s="1280" t="str">
        <f t="shared" si="140"/>
        <v/>
      </c>
      <c r="L950" s="801" t="s">
        <v>1376</v>
      </c>
      <c r="M950" s="1295">
        <v>933</v>
      </c>
      <c r="N950" s="1280"/>
      <c r="O950" s="1277" t="s">
        <v>726</v>
      </c>
      <c r="P950" s="1277"/>
      <c r="Q950" s="1277"/>
      <c r="R950" s="1280" t="s">
        <v>395</v>
      </c>
      <c r="S950" s="1277"/>
      <c r="T950" s="1280" t="str">
        <f t="shared" si="150"/>
        <v/>
      </c>
      <c r="U950" s="1277"/>
      <c r="V950" s="1277"/>
      <c r="W950" s="1277"/>
      <c r="X950" s="1277"/>
      <c r="Y950" s="1277"/>
      <c r="Z950" s="1277"/>
    </row>
    <row r="951" spans="1:26" x14ac:dyDescent="0.25">
      <c r="A951" s="963" t="s">
        <v>1373</v>
      </c>
      <c r="B951" s="801" t="str">
        <f t="shared" ref="B951:B957" ca="1" si="151">_xlfn.CONCAT(IFERROR(SUBSTITUTE(ADDRESS(1,MATCH(A951,INDIRECT("'"&amp;E951&amp;"'"&amp;"!A" &amp; $O$949 + 2 &amp; ":Z" &amp; $O$949 + 2),0),4),1,""),""),$O$949 + 2)</f>
        <v>H283</v>
      </c>
      <c r="C951" s="801" t="str">
        <f t="shared" ref="C951:C957" ca="1" si="152">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39"/>
        <v/>
      </c>
      <c r="J951" s="1280" t="str">
        <f t="shared" si="149"/>
        <v/>
      </c>
      <c r="K951" s="1280" t="str">
        <f t="shared" si="140"/>
        <v/>
      </c>
      <c r="L951" s="801" t="s">
        <v>1373</v>
      </c>
      <c r="M951" s="1295">
        <v>934</v>
      </c>
      <c r="N951" s="1280"/>
      <c r="O951" s="1277">
        <f>'Configurable Tab'!I22</f>
        <v>294</v>
      </c>
      <c r="P951" s="1277"/>
      <c r="Q951" s="1277"/>
      <c r="R951" s="1280" t="s">
        <v>395</v>
      </c>
      <c r="S951" s="1277"/>
      <c r="T951" s="1280" t="str">
        <f t="shared" si="150"/>
        <v/>
      </c>
      <c r="U951" s="1277"/>
      <c r="V951" s="1277"/>
      <c r="W951" s="1277"/>
      <c r="X951" s="1277"/>
      <c r="Y951" s="1277"/>
      <c r="Z951" s="1277"/>
    </row>
    <row r="952" spans="1:26" x14ac:dyDescent="0.25">
      <c r="A952" s="963" t="s">
        <v>1374</v>
      </c>
      <c r="B952" s="801" t="str">
        <f t="shared" ca="1" si="151"/>
        <v>J283</v>
      </c>
      <c r="C952" s="801" t="str">
        <f t="shared" ca="1" si="152"/>
        <v>J284</v>
      </c>
      <c r="D952" s="801" t="s">
        <v>1343</v>
      </c>
      <c r="E952" s="801" t="s">
        <v>1508</v>
      </c>
      <c r="F952" s="1280" t="s">
        <v>1984</v>
      </c>
      <c r="G952" s="1280" t="str">
        <f>IF(T952&lt;&gt;"","I","")</f>
        <v/>
      </c>
      <c r="H952" s="1280" t="s">
        <v>1982</v>
      </c>
      <c r="I952" s="1241" t="str">
        <f t="shared" si="139"/>
        <v/>
      </c>
      <c r="J952" s="1280" t="str">
        <f t="shared" si="149"/>
        <v/>
      </c>
      <c r="K952" s="1280" t="str">
        <f t="shared" si="140"/>
        <v/>
      </c>
      <c r="L952" s="801" t="s">
        <v>1374</v>
      </c>
      <c r="M952" s="1295">
        <v>935</v>
      </c>
      <c r="N952" s="1280"/>
      <c r="O952" s="1277" t="s">
        <v>1700</v>
      </c>
      <c r="P952" s="1277"/>
      <c r="Q952" s="1277"/>
      <c r="R952" s="1280" t="s">
        <v>395</v>
      </c>
      <c r="S952" s="1277"/>
      <c r="T952" s="1280" t="str">
        <f t="shared" si="150"/>
        <v/>
      </c>
      <c r="U952" s="1277"/>
      <c r="V952" s="1277"/>
      <c r="W952" s="1277"/>
      <c r="X952" s="1277"/>
      <c r="Y952" s="1277"/>
      <c r="Z952" s="1277"/>
    </row>
    <row r="953" spans="1:26" x14ac:dyDescent="0.25">
      <c r="A953" s="963" t="s">
        <v>1390</v>
      </c>
      <c r="B953" s="801" t="str">
        <f t="shared" ca="1" si="151"/>
        <v>L283</v>
      </c>
      <c r="C953" s="801" t="str">
        <f t="shared" ca="1" si="152"/>
        <v>L284</v>
      </c>
      <c r="D953" s="801" t="s">
        <v>1343</v>
      </c>
      <c r="E953" s="801" t="s">
        <v>1508</v>
      </c>
      <c r="F953" s="1280" t="s">
        <v>1985</v>
      </c>
      <c r="G953" s="1280" t="str">
        <f>IF(T953&lt;&gt;"","H","")</f>
        <v/>
      </c>
      <c r="H953" s="1280" t="s">
        <v>1982</v>
      </c>
      <c r="I953" s="1241" t="str">
        <f t="shared" si="139"/>
        <v/>
      </c>
      <c r="J953" s="1280" t="str">
        <f t="shared" si="149"/>
        <v/>
      </c>
      <c r="K953" s="1280" t="str">
        <f t="shared" si="140"/>
        <v/>
      </c>
      <c r="L953" s="801" t="s">
        <v>1390</v>
      </c>
      <c r="M953" s="1295">
        <v>936</v>
      </c>
      <c r="N953" s="1280"/>
      <c r="O953" s="1277"/>
      <c r="P953" s="1277"/>
      <c r="Q953" s="1277"/>
      <c r="R953" s="1280" t="s">
        <v>395</v>
      </c>
      <c r="S953" s="1277"/>
      <c r="T953" s="1280" t="str">
        <f t="shared" si="150"/>
        <v/>
      </c>
      <c r="U953" s="1277"/>
      <c r="V953" s="1277"/>
      <c r="W953" s="1277"/>
      <c r="X953" s="1277"/>
      <c r="Y953" s="1277"/>
      <c r="Z953" s="1277"/>
    </row>
    <row r="954" spans="1:26" x14ac:dyDescent="0.25">
      <c r="A954" s="963" t="s">
        <v>1375</v>
      </c>
      <c r="B954" s="801" t="str">
        <f t="shared" ca="1" si="151"/>
        <v>N283</v>
      </c>
      <c r="C954" s="801" t="str">
        <f t="shared" ca="1" si="152"/>
        <v>N284</v>
      </c>
      <c r="D954" s="801" t="s">
        <v>1343</v>
      </c>
      <c r="E954" s="801" t="s">
        <v>1508</v>
      </c>
      <c r="F954" s="1280" t="s">
        <v>1375</v>
      </c>
      <c r="G954" s="1280" t="str">
        <f>IF(T954&lt;&gt;"",IF(Q952="Credit Memo","J",IF(Q952="Check","K","")),"")</f>
        <v/>
      </c>
      <c r="H954" s="1280" t="s">
        <v>1982</v>
      </c>
      <c r="I954" s="1241" t="str">
        <f t="shared" si="139"/>
        <v/>
      </c>
      <c r="J954" s="1280" t="str">
        <f t="shared" si="149"/>
        <v/>
      </c>
      <c r="K954" s="1280" t="str">
        <f t="shared" si="140"/>
        <v/>
      </c>
      <c r="L954" s="801" t="s">
        <v>1375</v>
      </c>
      <c r="M954" s="1295">
        <v>937</v>
      </c>
      <c r="N954" s="1280"/>
      <c r="O954" s="1277"/>
      <c r="P954" s="1277"/>
      <c r="Q954" s="1277"/>
      <c r="R954" s="1280" t="s">
        <v>395</v>
      </c>
      <c r="S954" s="1277"/>
      <c r="T954" s="1280" t="str">
        <f t="shared" si="150"/>
        <v/>
      </c>
      <c r="U954" s="1277"/>
      <c r="V954" s="1277"/>
      <c r="W954" s="1277"/>
      <c r="X954" s="1277"/>
      <c r="Y954" s="1277"/>
      <c r="Z954" s="1277"/>
    </row>
    <row r="955" spans="1:26" x14ac:dyDescent="0.25">
      <c r="A955" s="963" t="s">
        <v>1478</v>
      </c>
      <c r="B955" s="801" t="str">
        <f t="shared" ca="1" si="151"/>
        <v>P283</v>
      </c>
      <c r="C955" s="801" t="str">
        <f t="shared" ca="1" si="152"/>
        <v>P284</v>
      </c>
      <c r="D955" s="801" t="s">
        <v>1343</v>
      </c>
      <c r="E955" s="801" t="s">
        <v>1508</v>
      </c>
      <c r="F955" s="1280" t="s">
        <v>1986</v>
      </c>
      <c r="G955" s="1280" t="str">
        <f>IF(T955&lt;&gt;"","F","")</f>
        <v/>
      </c>
      <c r="H955" s="1280" t="s">
        <v>1982</v>
      </c>
      <c r="I955" s="1241" t="str">
        <f t="shared" si="139"/>
        <v/>
      </c>
      <c r="J955" s="1280" t="str">
        <f t="shared" si="149"/>
        <v/>
      </c>
      <c r="K955" s="1280" t="str">
        <f t="shared" si="140"/>
        <v/>
      </c>
      <c r="L955" s="801" t="s">
        <v>1478</v>
      </c>
      <c r="M955" s="1295">
        <v>938</v>
      </c>
      <c r="N955" s="1280"/>
      <c r="O955" s="1277"/>
      <c r="P955" s="1277"/>
      <c r="Q955" s="1277"/>
      <c r="R955" s="1280" t="s">
        <v>395</v>
      </c>
      <c r="S955" s="1277"/>
      <c r="T955" s="1280" t="str">
        <f t="shared" si="150"/>
        <v/>
      </c>
      <c r="U955" s="1277"/>
      <c r="V955" s="1277"/>
      <c r="W955" s="1277"/>
      <c r="X955" s="1277"/>
      <c r="Y955" s="1277"/>
      <c r="Z955" s="1277"/>
    </row>
    <row r="956" spans="1:26" x14ac:dyDescent="0.25">
      <c r="A956" s="963" t="s">
        <v>1479</v>
      </c>
      <c r="B956" s="801" t="str">
        <f t="shared" ca="1" si="151"/>
        <v>R283</v>
      </c>
      <c r="C956" s="801" t="str">
        <f t="shared" ca="1" si="152"/>
        <v>R284</v>
      </c>
      <c r="D956" s="801" t="s">
        <v>1343</v>
      </c>
      <c r="E956" s="801" t="s">
        <v>1508</v>
      </c>
      <c r="F956" s="1280" t="s">
        <v>1987</v>
      </c>
      <c r="G956" s="1280" t="str">
        <f>IF(T956&lt;&gt;"","G","")</f>
        <v/>
      </c>
      <c r="H956" s="1280" t="s">
        <v>1982</v>
      </c>
      <c r="I956" s="1241" t="str">
        <f t="shared" si="139"/>
        <v/>
      </c>
      <c r="J956" s="1280" t="str">
        <f t="shared" si="149"/>
        <v/>
      </c>
      <c r="K956" s="1280" t="str">
        <f t="shared" si="140"/>
        <v/>
      </c>
      <c r="L956" s="801" t="s">
        <v>1479</v>
      </c>
      <c r="M956" s="1295">
        <v>939</v>
      </c>
      <c r="N956" s="1280"/>
      <c r="O956" s="1277"/>
      <c r="P956" s="1277"/>
      <c r="Q956" s="1277"/>
      <c r="R956" s="1280" t="s">
        <v>395</v>
      </c>
      <c r="S956" s="1277"/>
      <c r="T956" s="1280" t="str">
        <f t="shared" si="150"/>
        <v/>
      </c>
      <c r="U956" s="1277"/>
      <c r="V956" s="1277"/>
      <c r="W956" s="1277"/>
      <c r="X956" s="1277"/>
      <c r="Y956" s="1277"/>
      <c r="Z956" s="1277"/>
    </row>
    <row r="957" spans="1:26" x14ac:dyDescent="0.25">
      <c r="A957" s="963" t="s">
        <v>1480</v>
      </c>
      <c r="B957" s="801" t="str">
        <f t="shared" ca="1" si="151"/>
        <v>T283</v>
      </c>
      <c r="C957" s="801" t="str">
        <f t="shared" ca="1" si="152"/>
        <v>T284</v>
      </c>
      <c r="D957" s="801" t="s">
        <v>1343</v>
      </c>
      <c r="E957" s="801" t="s">
        <v>1508</v>
      </c>
      <c r="F957" s="813" t="s">
        <v>1480</v>
      </c>
      <c r="G957" s="1280" t="str">
        <f>IF(T957&lt;&gt;"","AW","")</f>
        <v/>
      </c>
      <c r="H957" s="1280" t="s">
        <v>1982</v>
      </c>
      <c r="I957" s="1241" t="str">
        <f t="shared" si="139"/>
        <v/>
      </c>
      <c r="J957" s="1280" t="str">
        <f t="shared" si="149"/>
        <v/>
      </c>
      <c r="K957" s="1280" t="str">
        <f t="shared" si="140"/>
        <v/>
      </c>
      <c r="L957" s="801" t="s">
        <v>1480</v>
      </c>
      <c r="M957" s="1295">
        <v>940</v>
      </c>
      <c r="N957" s="1280"/>
      <c r="O957" s="1277"/>
      <c r="P957" s="1277"/>
      <c r="Q957" s="1277"/>
      <c r="R957" s="1280" t="s">
        <v>395</v>
      </c>
      <c r="S957" s="1277"/>
      <c r="T957" s="1280" t="str">
        <f t="shared" si="150"/>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39"/>
        <v/>
      </c>
      <c r="J958" s="1280"/>
      <c r="K958" s="1280" t="str">
        <f t="shared" si="140"/>
        <v/>
      </c>
      <c r="L958" s="801" t="s">
        <v>1378</v>
      </c>
      <c r="M958" s="1295">
        <v>941</v>
      </c>
      <c r="N958" s="1280"/>
      <c r="O958" s="1277"/>
      <c r="P958" s="1277"/>
      <c r="Q958" s="1277"/>
      <c r="R958" s="1280" t="s">
        <v>395</v>
      </c>
      <c r="S958" s="1277"/>
      <c r="T958" s="1280" t="str">
        <f t="shared" si="150"/>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39"/>
        <v/>
      </c>
      <c r="J959" s="1280"/>
      <c r="K959" s="1280" t="str">
        <f t="shared" si="140"/>
        <v/>
      </c>
      <c r="L959" s="801" t="s">
        <v>1379</v>
      </c>
      <c r="M959" s="1295">
        <v>942</v>
      </c>
      <c r="N959" s="1280"/>
      <c r="O959" s="1277"/>
      <c r="P959" s="1277"/>
      <c r="Q959" s="1277"/>
      <c r="R959" s="1280" t="s">
        <v>395</v>
      </c>
      <c r="S959" s="1277"/>
      <c r="T959" s="1280" t="str">
        <f t="shared" si="150"/>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39"/>
        <v/>
      </c>
      <c r="J960" s="1280" t="str">
        <f t="shared" si="149"/>
        <v/>
      </c>
      <c r="K960" s="1280" t="str">
        <f t="shared" si="140"/>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0"/>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39"/>
        <v/>
      </c>
      <c r="J961" s="1280" t="str">
        <f t="shared" si="149"/>
        <v/>
      </c>
      <c r="K961" s="1280" t="str">
        <f t="shared" si="140"/>
        <v/>
      </c>
      <c r="L961" s="801" t="s">
        <v>1484</v>
      </c>
      <c r="M961" s="1295">
        <v>944</v>
      </c>
      <c r="N961" s="1280"/>
      <c r="O961" s="1277"/>
      <c r="P961" s="1277"/>
      <c r="Q961" s="1277"/>
      <c r="R961" s="1280" t="s">
        <v>395</v>
      </c>
      <c r="S961" s="1277"/>
      <c r="T961" s="1280" t="str">
        <f t="shared" si="150"/>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39"/>
        <v/>
      </c>
      <c r="J962" s="1280" t="str">
        <f t="shared" si="149"/>
        <v/>
      </c>
      <c r="K962" s="1280" t="str">
        <f t="shared" si="140"/>
        <v/>
      </c>
      <c r="L962" s="801" t="s">
        <v>1498</v>
      </c>
      <c r="M962" s="1295">
        <v>945</v>
      </c>
      <c r="N962" s="1280"/>
      <c r="O962" s="1277"/>
      <c r="P962" s="1277"/>
      <c r="Q962" s="1277"/>
      <c r="R962" s="1280" t="s">
        <v>395</v>
      </c>
      <c r="S962" s="1277"/>
      <c r="T962" s="1280" t="str">
        <f t="shared" si="150"/>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39"/>
        <v/>
      </c>
      <c r="J963" s="1280" t="str">
        <f t="shared" si="149"/>
        <v/>
      </c>
      <c r="K963" s="1280" t="str">
        <f t="shared" si="140"/>
        <v/>
      </c>
      <c r="L963" s="801" t="s">
        <v>1380</v>
      </c>
      <c r="M963" s="1295">
        <v>946</v>
      </c>
      <c r="N963" s="1280"/>
      <c r="O963" s="1277"/>
      <c r="P963" s="1277"/>
      <c r="Q963" s="1277"/>
      <c r="R963" s="1280" t="s">
        <v>395</v>
      </c>
      <c r="S963" s="1277"/>
      <c r="T963" s="1280" t="str">
        <f t="shared" si="150"/>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3">IF(J964&lt;&gt;"",A964,"")</f>
        <v/>
      </c>
      <c r="J964" s="1280"/>
      <c r="K964" s="1280" t="str">
        <f t="shared" ref="K964:K1027" si="154">IF(J964&lt;&gt;"",E964,"")</f>
        <v/>
      </c>
      <c r="L964" s="801" t="s">
        <v>1381</v>
      </c>
      <c r="M964" s="1295">
        <v>947</v>
      </c>
      <c r="N964" s="1280"/>
      <c r="O964" s="1277"/>
      <c r="P964" s="1277"/>
      <c r="Q964" s="1277"/>
      <c r="R964" s="1280" t="s">
        <v>395</v>
      </c>
      <c r="S964" s="1277"/>
      <c r="T964" s="1280" t="str">
        <f t="shared" si="150"/>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3"/>
        <v/>
      </c>
      <c r="J965" s="1280"/>
      <c r="K965" s="1280" t="str">
        <f t="shared" si="154"/>
        <v/>
      </c>
      <c r="L965" s="801" t="s">
        <v>1382</v>
      </c>
      <c r="M965" s="1295">
        <v>948</v>
      </c>
      <c r="N965" s="1280"/>
      <c r="O965" s="1277"/>
      <c r="P965" s="1277"/>
      <c r="Q965" s="1277"/>
      <c r="R965" s="1280" t="s">
        <v>395</v>
      </c>
      <c r="S965" s="1277"/>
      <c r="T965" s="1280" t="str">
        <f t="shared" si="150"/>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3"/>
        <v/>
      </c>
      <c r="J966" s="1280" t="str">
        <f t="shared" si="149"/>
        <v/>
      </c>
      <c r="K966" s="1280" t="str">
        <f t="shared" si="154"/>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3"/>
        <v/>
      </c>
      <c r="J967" s="1280"/>
      <c r="K967" s="1280" t="str">
        <f t="shared" si="154"/>
        <v/>
      </c>
      <c r="L967" s="801" t="s">
        <v>1483</v>
      </c>
      <c r="M967" s="1295">
        <v>950</v>
      </c>
      <c r="N967" s="1280"/>
      <c r="O967" s="1277" t="s">
        <v>725</v>
      </c>
      <c r="P967" s="1372"/>
      <c r="Q967" s="1277"/>
      <c r="R967" s="1280" t="s">
        <v>395</v>
      </c>
      <c r="S967" s="1277"/>
      <c r="T967" s="1280" t="str">
        <f t="shared" ref="T967:T984" si="155">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3"/>
        <v/>
      </c>
      <c r="J968" s="1280" t="str">
        <f t="shared" ref="J968:J985" si="156">IF(M968&lt;&gt;"",IF($Q$968="Yes",Q$1&amp;M968,""))</f>
        <v/>
      </c>
      <c r="K968" s="1280" t="str">
        <f t="shared" si="154"/>
        <v/>
      </c>
      <c r="L968" s="801" t="s">
        <v>1697</v>
      </c>
      <c r="M968" s="1295">
        <v>951</v>
      </c>
      <c r="N968" s="1280"/>
      <c r="O968" s="1277">
        <f>'Configurable Tab'!H23</f>
        <v>295</v>
      </c>
      <c r="P968" s="1372">
        <f>'Configurable Tab'!J23</f>
        <v>0</v>
      </c>
      <c r="Q968" s="1317" t="s">
        <v>648</v>
      </c>
      <c r="R968" s="1280" t="s">
        <v>395</v>
      </c>
      <c r="S968" s="1277"/>
      <c r="T968" s="1280" t="str">
        <f t="shared" si="155"/>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3"/>
        <v/>
      </c>
      <c r="J969" s="1280"/>
      <c r="K969" s="1280" t="str">
        <f t="shared" si="154"/>
        <v/>
      </c>
      <c r="L969" s="801" t="s">
        <v>1376</v>
      </c>
      <c r="M969" s="1295">
        <v>952</v>
      </c>
      <c r="N969" s="1280"/>
      <c r="O969" s="1277" t="s">
        <v>726</v>
      </c>
      <c r="P969" s="1277"/>
      <c r="Q969" s="1277"/>
      <c r="R969" s="1280" t="s">
        <v>395</v>
      </c>
      <c r="S969" s="1277"/>
      <c r="T969" s="1280" t="str">
        <f t="shared" si="155"/>
        <v/>
      </c>
      <c r="U969" s="1277"/>
      <c r="V969" s="1277"/>
      <c r="W969" s="1277"/>
      <c r="X969" s="1277"/>
      <c r="Y969" s="1277"/>
      <c r="Z969" s="1277"/>
    </row>
    <row r="970" spans="1:26" x14ac:dyDescent="0.25">
      <c r="A970" s="984" t="s">
        <v>1373</v>
      </c>
      <c r="B970" s="801" t="str">
        <f t="shared" ref="B970:B976" ca="1" si="157">_xlfn.CONCAT(IFERROR(SUBSTITUTE(ADDRESS(1,MATCH(A970,INDIRECT("'"&amp;E970&amp;"'"&amp;"!A" &amp; $O$968 + 2 &amp; ":Z" &amp; $O$968 + 2),0),4),1,""),""),$O$968 + 2)</f>
        <v>H297</v>
      </c>
      <c r="C970" s="801" t="str">
        <f t="shared" ref="C970:C976" ca="1" si="158">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3"/>
        <v/>
      </c>
      <c r="J970" s="1280" t="str">
        <f t="shared" si="156"/>
        <v/>
      </c>
      <c r="K970" s="1280" t="str">
        <f t="shared" si="154"/>
        <v/>
      </c>
      <c r="L970" s="801" t="s">
        <v>1373</v>
      </c>
      <c r="M970" s="1295">
        <v>953</v>
      </c>
      <c r="N970" s="1280"/>
      <c r="O970" s="1277">
        <f>'Configurable Tab'!I23</f>
        <v>308</v>
      </c>
      <c r="P970" s="1277"/>
      <c r="Q970" s="1277"/>
      <c r="R970" s="1280" t="s">
        <v>395</v>
      </c>
      <c r="S970" s="1277"/>
      <c r="T970" s="1280" t="str">
        <f t="shared" si="155"/>
        <v/>
      </c>
      <c r="U970" s="1277"/>
      <c r="V970" s="1277"/>
      <c r="W970" s="1277"/>
      <c r="X970" s="1277"/>
      <c r="Y970" s="1277"/>
      <c r="Z970" s="1277"/>
    </row>
    <row r="971" spans="1:26" x14ac:dyDescent="0.25">
      <c r="A971" s="984" t="s">
        <v>1374</v>
      </c>
      <c r="B971" s="801" t="str">
        <f t="shared" ca="1" si="157"/>
        <v>J297</v>
      </c>
      <c r="C971" s="801" t="str">
        <f t="shared" ca="1" si="158"/>
        <v>J298</v>
      </c>
      <c r="D971" s="801" t="s">
        <v>1343</v>
      </c>
      <c r="E971" s="801" t="s">
        <v>1508</v>
      </c>
      <c r="F971" s="1280" t="s">
        <v>1984</v>
      </c>
      <c r="G971" s="1280" t="str">
        <f>IF(T971&lt;&gt;"","I","")</f>
        <v/>
      </c>
      <c r="H971" s="1280" t="s">
        <v>1982</v>
      </c>
      <c r="I971" s="1241" t="str">
        <f t="shared" si="153"/>
        <v/>
      </c>
      <c r="J971" s="1280" t="str">
        <f t="shared" si="156"/>
        <v/>
      </c>
      <c r="K971" s="1280" t="str">
        <f t="shared" si="154"/>
        <v/>
      </c>
      <c r="L971" s="801" t="s">
        <v>1374</v>
      </c>
      <c r="M971" s="1295">
        <v>954</v>
      </c>
      <c r="N971" s="1280"/>
      <c r="O971" s="1277" t="s">
        <v>1701</v>
      </c>
      <c r="P971" s="1277"/>
      <c r="Q971" s="1277"/>
      <c r="R971" s="1280" t="s">
        <v>395</v>
      </c>
      <c r="S971" s="1277"/>
      <c r="T971" s="1280" t="str">
        <f t="shared" si="155"/>
        <v/>
      </c>
      <c r="U971" s="1277"/>
      <c r="V971" s="1277"/>
      <c r="W971" s="1277"/>
      <c r="X971" s="1277"/>
      <c r="Y971" s="1277"/>
      <c r="Z971" s="1277"/>
    </row>
    <row r="972" spans="1:26" x14ac:dyDescent="0.25">
      <c r="A972" s="984" t="s">
        <v>1390</v>
      </c>
      <c r="B972" s="801" t="str">
        <f t="shared" ca="1" si="157"/>
        <v>L297</v>
      </c>
      <c r="C972" s="801" t="str">
        <f t="shared" ca="1" si="158"/>
        <v>L298</v>
      </c>
      <c r="D972" s="801" t="s">
        <v>1343</v>
      </c>
      <c r="E972" s="801" t="s">
        <v>1508</v>
      </c>
      <c r="F972" s="1280" t="s">
        <v>1985</v>
      </c>
      <c r="G972" s="1280" t="str">
        <f>IF(T972&lt;&gt;"","H","")</f>
        <v/>
      </c>
      <c r="H972" s="1280" t="s">
        <v>1982</v>
      </c>
      <c r="I972" s="1241" t="str">
        <f t="shared" si="153"/>
        <v/>
      </c>
      <c r="J972" s="1280" t="str">
        <f t="shared" si="156"/>
        <v/>
      </c>
      <c r="K972" s="1280" t="str">
        <f t="shared" si="154"/>
        <v/>
      </c>
      <c r="L972" s="801" t="s">
        <v>1390</v>
      </c>
      <c r="M972" s="1295">
        <v>955</v>
      </c>
      <c r="N972" s="1280"/>
      <c r="O972" s="1277"/>
      <c r="P972" s="1277"/>
      <c r="Q972" s="1277"/>
      <c r="R972" s="1280" t="s">
        <v>395</v>
      </c>
      <c r="S972" s="1277"/>
      <c r="T972" s="1280" t="str">
        <f t="shared" si="155"/>
        <v/>
      </c>
      <c r="U972" s="1277"/>
      <c r="V972" s="1277"/>
      <c r="W972" s="1277"/>
      <c r="X972" s="1277"/>
      <c r="Y972" s="1277"/>
      <c r="Z972" s="1277"/>
    </row>
    <row r="973" spans="1:26" x14ac:dyDescent="0.25">
      <c r="A973" s="984" t="s">
        <v>1375</v>
      </c>
      <c r="B973" s="801" t="str">
        <f t="shared" ca="1" si="157"/>
        <v>N297</v>
      </c>
      <c r="C973" s="801" t="str">
        <f t="shared" ca="1" si="158"/>
        <v>N298</v>
      </c>
      <c r="D973" s="801" t="s">
        <v>1343</v>
      </c>
      <c r="E973" s="801" t="s">
        <v>1508</v>
      </c>
      <c r="F973" s="1280" t="s">
        <v>1375</v>
      </c>
      <c r="G973" s="1280" t="str">
        <f>IF(T973&lt;&gt;"",IF(Q971="Credit Memo","J",IF(Q971="Check","K","")),"")</f>
        <v/>
      </c>
      <c r="H973" s="1280" t="s">
        <v>1982</v>
      </c>
      <c r="I973" s="1241" t="str">
        <f t="shared" si="153"/>
        <v/>
      </c>
      <c r="J973" s="1280" t="str">
        <f t="shared" si="156"/>
        <v/>
      </c>
      <c r="K973" s="1280" t="str">
        <f t="shared" si="154"/>
        <v/>
      </c>
      <c r="L973" s="801" t="s">
        <v>1375</v>
      </c>
      <c r="M973" s="1295">
        <v>956</v>
      </c>
      <c r="N973" s="1280"/>
      <c r="O973" s="1277"/>
      <c r="P973" s="1277"/>
      <c r="Q973" s="1277"/>
      <c r="R973" s="1280" t="s">
        <v>395</v>
      </c>
      <c r="S973" s="1277"/>
      <c r="T973" s="1280" t="str">
        <f t="shared" si="155"/>
        <v/>
      </c>
      <c r="U973" s="1277"/>
      <c r="V973" s="1277"/>
      <c r="W973" s="1277"/>
      <c r="X973" s="1277"/>
      <c r="Y973" s="1277"/>
      <c r="Z973" s="1277"/>
    </row>
    <row r="974" spans="1:26" x14ac:dyDescent="0.25">
      <c r="A974" s="984" t="s">
        <v>1478</v>
      </c>
      <c r="B974" s="801" t="str">
        <f t="shared" ca="1" si="157"/>
        <v>P297</v>
      </c>
      <c r="C974" s="801" t="str">
        <f t="shared" ca="1" si="158"/>
        <v>P298</v>
      </c>
      <c r="D974" s="801" t="s">
        <v>1343</v>
      </c>
      <c r="E974" s="801" t="s">
        <v>1508</v>
      </c>
      <c r="F974" s="1280" t="s">
        <v>1986</v>
      </c>
      <c r="G974" s="1280" t="str">
        <f>IF(T974&lt;&gt;"","F","")</f>
        <v/>
      </c>
      <c r="H974" s="1280" t="s">
        <v>1982</v>
      </c>
      <c r="I974" s="1241" t="str">
        <f t="shared" si="153"/>
        <v/>
      </c>
      <c r="J974" s="1280" t="str">
        <f t="shared" si="156"/>
        <v/>
      </c>
      <c r="K974" s="1280" t="str">
        <f t="shared" si="154"/>
        <v/>
      </c>
      <c r="L974" s="801" t="s">
        <v>1478</v>
      </c>
      <c r="M974" s="1295">
        <v>957</v>
      </c>
      <c r="N974" s="1280"/>
      <c r="O974" s="1277"/>
      <c r="P974" s="1277"/>
      <c r="Q974" s="1277"/>
      <c r="R974" s="1280" t="s">
        <v>395</v>
      </c>
      <c r="S974" s="1277"/>
      <c r="T974" s="1280" t="str">
        <f t="shared" si="155"/>
        <v/>
      </c>
      <c r="U974" s="1277"/>
      <c r="V974" s="1277"/>
      <c r="W974" s="1277"/>
      <c r="X974" s="1277"/>
      <c r="Y974" s="1277"/>
      <c r="Z974" s="1277"/>
    </row>
    <row r="975" spans="1:26" x14ac:dyDescent="0.25">
      <c r="A975" s="984" t="s">
        <v>1479</v>
      </c>
      <c r="B975" s="801" t="str">
        <f t="shared" ca="1" si="157"/>
        <v>R297</v>
      </c>
      <c r="C975" s="801" t="str">
        <f t="shared" ca="1" si="158"/>
        <v>R298</v>
      </c>
      <c r="D975" s="801" t="s">
        <v>1343</v>
      </c>
      <c r="E975" s="801" t="s">
        <v>1508</v>
      </c>
      <c r="F975" s="1280" t="s">
        <v>1987</v>
      </c>
      <c r="G975" s="1280" t="str">
        <f>IF(T975&lt;&gt;"","G","")</f>
        <v/>
      </c>
      <c r="H975" s="1280" t="s">
        <v>1982</v>
      </c>
      <c r="I975" s="1241" t="str">
        <f t="shared" si="153"/>
        <v/>
      </c>
      <c r="J975" s="1280" t="str">
        <f t="shared" si="156"/>
        <v/>
      </c>
      <c r="K975" s="1280" t="str">
        <f t="shared" si="154"/>
        <v/>
      </c>
      <c r="L975" s="801" t="s">
        <v>1479</v>
      </c>
      <c r="M975" s="1295">
        <v>958</v>
      </c>
      <c r="N975" s="1280"/>
      <c r="O975" s="1277"/>
      <c r="P975" s="1277"/>
      <c r="Q975" s="1277"/>
      <c r="R975" s="1280" t="s">
        <v>395</v>
      </c>
      <c r="S975" s="1277"/>
      <c r="T975" s="1280" t="str">
        <f t="shared" si="155"/>
        <v/>
      </c>
      <c r="U975" s="1277"/>
      <c r="V975" s="1277"/>
      <c r="W975" s="1277"/>
      <c r="X975" s="1277"/>
      <c r="Y975" s="1277"/>
      <c r="Z975" s="1277"/>
    </row>
    <row r="976" spans="1:26" x14ac:dyDescent="0.25">
      <c r="A976" s="984" t="s">
        <v>1480</v>
      </c>
      <c r="B976" s="801" t="str">
        <f t="shared" ca="1" si="157"/>
        <v>T297</v>
      </c>
      <c r="C976" s="801" t="str">
        <f t="shared" ca="1" si="158"/>
        <v>T298</v>
      </c>
      <c r="D976" s="801" t="s">
        <v>1343</v>
      </c>
      <c r="E976" s="801" t="s">
        <v>1508</v>
      </c>
      <c r="F976" s="813" t="s">
        <v>1480</v>
      </c>
      <c r="G976" s="1280" t="str">
        <f>IF(T976&lt;&gt;"","AW","")</f>
        <v/>
      </c>
      <c r="H976" s="1280" t="s">
        <v>1982</v>
      </c>
      <c r="I976" s="1241" t="str">
        <f t="shared" si="153"/>
        <v/>
      </c>
      <c r="J976" s="1280" t="str">
        <f t="shared" si="156"/>
        <v/>
      </c>
      <c r="K976" s="1280" t="str">
        <f t="shared" si="154"/>
        <v/>
      </c>
      <c r="L976" s="801" t="s">
        <v>1480</v>
      </c>
      <c r="M976" s="1295">
        <v>959</v>
      </c>
      <c r="N976" s="1280"/>
      <c r="O976" s="1277"/>
      <c r="P976" s="1277"/>
      <c r="Q976" s="1277"/>
      <c r="R976" s="1280" t="s">
        <v>395</v>
      </c>
      <c r="S976" s="1277"/>
      <c r="T976" s="1280" t="str">
        <f t="shared" si="155"/>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3"/>
        <v/>
      </c>
      <c r="J977" s="1280"/>
      <c r="K977" s="1280" t="str">
        <f t="shared" si="154"/>
        <v/>
      </c>
      <c r="L977" s="801" t="s">
        <v>1378</v>
      </c>
      <c r="M977" s="1295">
        <v>960</v>
      </c>
      <c r="N977" s="1280"/>
      <c r="O977" s="1277"/>
      <c r="P977" s="1277"/>
      <c r="Q977" s="1277"/>
      <c r="R977" s="1280" t="s">
        <v>395</v>
      </c>
      <c r="S977" s="1277"/>
      <c r="T977" s="1280" t="str">
        <f t="shared" si="155"/>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3"/>
        <v/>
      </c>
      <c r="J978" s="1280"/>
      <c r="K978" s="1280" t="str">
        <f t="shared" si="154"/>
        <v/>
      </c>
      <c r="L978" s="801" t="s">
        <v>1379</v>
      </c>
      <c r="M978" s="1295">
        <v>961</v>
      </c>
      <c r="N978" s="1280"/>
      <c r="O978" s="1277"/>
      <c r="P978" s="1277"/>
      <c r="Q978" s="1277"/>
      <c r="R978" s="1280" t="s">
        <v>395</v>
      </c>
      <c r="S978" s="1277"/>
      <c r="T978" s="1280" t="str">
        <f t="shared" si="155"/>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3"/>
        <v/>
      </c>
      <c r="J979" s="1280" t="str">
        <f t="shared" si="156"/>
        <v/>
      </c>
      <c r="K979" s="1280" t="str">
        <f t="shared" si="154"/>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55"/>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3"/>
        <v/>
      </c>
      <c r="J980" s="1280" t="str">
        <f t="shared" si="156"/>
        <v/>
      </c>
      <c r="K980" s="1280" t="str">
        <f t="shared" si="154"/>
        <v/>
      </c>
      <c r="L980" s="801" t="s">
        <v>1484</v>
      </c>
      <c r="M980" s="1295">
        <v>963</v>
      </c>
      <c r="N980" s="1280"/>
      <c r="O980" s="1277"/>
      <c r="P980" s="1277"/>
      <c r="Q980" s="1277"/>
      <c r="R980" s="1280" t="s">
        <v>395</v>
      </c>
      <c r="S980" s="1277"/>
      <c r="T980" s="1280" t="str">
        <f t="shared" si="155"/>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3"/>
        <v/>
      </c>
      <c r="J981" s="1280" t="str">
        <f t="shared" si="156"/>
        <v/>
      </c>
      <c r="K981" s="1280" t="str">
        <f t="shared" si="154"/>
        <v/>
      </c>
      <c r="L981" s="801" t="s">
        <v>1498</v>
      </c>
      <c r="M981" s="1295">
        <v>964</v>
      </c>
      <c r="N981" s="1280"/>
      <c r="O981" s="1277"/>
      <c r="P981" s="1277"/>
      <c r="Q981" s="1277"/>
      <c r="R981" s="1280" t="s">
        <v>395</v>
      </c>
      <c r="S981" s="1277"/>
      <c r="T981" s="1280" t="str">
        <f t="shared" si="155"/>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3"/>
        <v/>
      </c>
      <c r="J982" s="1280" t="str">
        <f t="shared" si="156"/>
        <v/>
      </c>
      <c r="K982" s="1280" t="str">
        <f t="shared" si="154"/>
        <v/>
      </c>
      <c r="L982" s="801" t="s">
        <v>1380</v>
      </c>
      <c r="M982" s="1295">
        <v>965</v>
      </c>
      <c r="N982" s="1280"/>
      <c r="O982" s="1277"/>
      <c r="P982" s="1277"/>
      <c r="Q982" s="1277"/>
      <c r="R982" s="1280" t="s">
        <v>395</v>
      </c>
      <c r="S982" s="1277"/>
      <c r="T982" s="1280" t="str">
        <f t="shared" si="155"/>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3"/>
        <v/>
      </c>
      <c r="J983" s="1280"/>
      <c r="K983" s="1280" t="str">
        <f t="shared" si="154"/>
        <v/>
      </c>
      <c r="L983" s="801" t="s">
        <v>1381</v>
      </c>
      <c r="M983" s="1295">
        <v>966</v>
      </c>
      <c r="N983" s="1280"/>
      <c r="O983" s="1277"/>
      <c r="P983" s="1277"/>
      <c r="Q983" s="1277"/>
      <c r="R983" s="1280" t="s">
        <v>395</v>
      </c>
      <c r="S983" s="1277"/>
      <c r="T983" s="1280" t="str">
        <f t="shared" si="155"/>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3"/>
        <v/>
      </c>
      <c r="J984" s="1280"/>
      <c r="K984" s="1280" t="str">
        <f t="shared" si="154"/>
        <v/>
      </c>
      <c r="L984" s="801" t="s">
        <v>1382</v>
      </c>
      <c r="M984" s="1295">
        <v>967</v>
      </c>
      <c r="N984" s="1280"/>
      <c r="O984" s="1277"/>
      <c r="P984" s="1277"/>
      <c r="Q984" s="1277"/>
      <c r="R984" s="1280" t="s">
        <v>395</v>
      </c>
      <c r="S984" s="1277"/>
      <c r="T984" s="1280" t="str">
        <f t="shared" si="155"/>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3"/>
        <v/>
      </c>
      <c r="J985" s="1280" t="str">
        <f t="shared" si="156"/>
        <v/>
      </c>
      <c r="K985" s="1280" t="str">
        <f t="shared" si="154"/>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3"/>
        <v/>
      </c>
      <c r="J986" s="1280"/>
      <c r="K986" s="1280" t="str">
        <f t="shared" si="154"/>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3"/>
        <v/>
      </c>
      <c r="J987" s="1280" t="str">
        <f t="shared" ref="J987:J1001" si="159">IF(M987&lt;&gt;"",IF($Q$987="Yes",Q$1&amp;M987,""))</f>
        <v/>
      </c>
      <c r="K987" s="1280" t="str">
        <f t="shared" si="154"/>
        <v/>
      </c>
      <c r="L987" s="801" t="s">
        <v>1697</v>
      </c>
      <c r="M987" s="1295">
        <v>970</v>
      </c>
      <c r="N987" s="1280"/>
      <c r="O987" s="1277">
        <f>'Configurable Tab'!H24</f>
        <v>309</v>
      </c>
      <c r="P987" s="18" t="str">
        <f>'Configurable Tab'!J24</f>
        <v>Yes</v>
      </c>
      <c r="Q987" s="1317" t="s">
        <v>648</v>
      </c>
      <c r="R987" s="1280" t="s">
        <v>1688</v>
      </c>
      <c r="S987" s="1277"/>
      <c r="T987" s="1280" t="str">
        <f t="shared" ref="T987:T1003" si="160">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3"/>
        <v/>
      </c>
      <c r="J988" s="1280"/>
      <c r="K988" s="1280" t="str">
        <f t="shared" si="154"/>
        <v/>
      </c>
      <c r="L988" s="801" t="s">
        <v>1376</v>
      </c>
      <c r="M988" s="1295">
        <v>971</v>
      </c>
      <c r="N988" s="1280"/>
      <c r="O988" s="1277" t="s">
        <v>726</v>
      </c>
      <c r="P988" s="1277"/>
      <c r="Q988" s="1277"/>
      <c r="R988" s="1280" t="s">
        <v>1688</v>
      </c>
      <c r="S988" s="1277"/>
      <c r="T988" s="1280" t="str">
        <f t="shared" si="160"/>
        <v/>
      </c>
      <c r="U988" s="1277"/>
      <c r="V988" s="1277"/>
      <c r="W988" s="1277"/>
      <c r="X988" s="1277"/>
      <c r="Y988" s="1277"/>
      <c r="Z988" s="1277"/>
    </row>
    <row r="989" spans="1:26" x14ac:dyDescent="0.25">
      <c r="A989" s="822" t="s">
        <v>1373</v>
      </c>
      <c r="B989" s="801" t="str">
        <f t="shared" ref="B989:B995" ca="1" si="161">_xlfn.CONCAT(IFERROR(SUBSTITUTE(ADDRESS(1,MATCH(A989,INDIRECT("'"&amp;E989&amp;"'"&amp;"!A" &amp; $O$987 + 2 &amp; ":Z" &amp; $O$987 + 2),0),4),1,""),""),$O$987 + 2)</f>
        <v>H311</v>
      </c>
      <c r="C989" s="801" t="str">
        <f t="shared" ref="C989:C995" ca="1" si="162">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3"/>
        <v/>
      </c>
      <c r="J989" s="1280" t="str">
        <f t="shared" si="159"/>
        <v/>
      </c>
      <c r="K989" s="1280" t="str">
        <f t="shared" si="154"/>
        <v/>
      </c>
      <c r="L989" s="801" t="s">
        <v>1373</v>
      </c>
      <c r="M989" s="1295">
        <v>972</v>
      </c>
      <c r="N989" s="1280"/>
      <c r="O989" s="1277">
        <f>'Configurable Tab'!I24</f>
        <v>322</v>
      </c>
      <c r="P989" s="1277"/>
      <c r="Q989" s="1277"/>
      <c r="R989" s="1280" t="s">
        <v>1688</v>
      </c>
      <c r="S989" s="1277"/>
      <c r="T989" s="1280" t="str">
        <f t="shared" si="160"/>
        <v/>
      </c>
      <c r="U989" s="1277"/>
      <c r="V989" s="1277"/>
      <c r="W989" s="1277"/>
      <c r="X989" s="1277"/>
      <c r="Y989" s="1277"/>
      <c r="Z989" s="1277"/>
    </row>
    <row r="990" spans="1:26" x14ac:dyDescent="0.25">
      <c r="A990" s="822" t="s">
        <v>1374</v>
      </c>
      <c r="B990" s="801" t="str">
        <f t="shared" ca="1" si="161"/>
        <v>J311</v>
      </c>
      <c r="C990" s="801" t="str">
        <f t="shared" ca="1" si="162"/>
        <v>J312</v>
      </c>
      <c r="D990" s="801" t="s">
        <v>1343</v>
      </c>
      <c r="E990" s="801" t="s">
        <v>1508</v>
      </c>
      <c r="F990" s="1280" t="s">
        <v>1984</v>
      </c>
      <c r="G990" s="1280" t="str">
        <f>IF(T990&lt;&gt;"","I","")</f>
        <v/>
      </c>
      <c r="H990" s="1280" t="s">
        <v>1982</v>
      </c>
      <c r="I990" s="1241" t="str">
        <f t="shared" si="153"/>
        <v/>
      </c>
      <c r="J990" s="1280" t="str">
        <f t="shared" si="159"/>
        <v/>
      </c>
      <c r="K990" s="1280" t="str">
        <f t="shared" si="154"/>
        <v/>
      </c>
      <c r="L990" s="801" t="s">
        <v>1374</v>
      </c>
      <c r="M990" s="1295">
        <v>973</v>
      </c>
      <c r="N990" s="1280"/>
      <c r="O990" s="1277" t="s">
        <v>1641</v>
      </c>
      <c r="P990" s="1277"/>
      <c r="Q990" s="1277" t="s">
        <v>482</v>
      </c>
      <c r="R990" s="1280" t="s">
        <v>1688</v>
      </c>
      <c r="S990" s="1277"/>
      <c r="T990" s="1280" t="str">
        <f t="shared" si="160"/>
        <v/>
      </c>
      <c r="U990" s="1277"/>
      <c r="V990" s="1277"/>
      <c r="W990" s="1277"/>
      <c r="X990" s="1277"/>
      <c r="Y990" s="1277"/>
      <c r="Z990" s="1277"/>
    </row>
    <row r="991" spans="1:26" x14ac:dyDescent="0.25">
      <c r="A991" s="822" t="s">
        <v>1390</v>
      </c>
      <c r="B991" s="801" t="str">
        <f t="shared" ca="1" si="161"/>
        <v>L311</v>
      </c>
      <c r="C991" s="801" t="str">
        <f t="shared" ca="1" si="162"/>
        <v>L312</v>
      </c>
      <c r="D991" s="801" t="s">
        <v>1343</v>
      </c>
      <c r="E991" s="801" t="s">
        <v>1508</v>
      </c>
      <c r="F991" s="1280" t="s">
        <v>1985</v>
      </c>
      <c r="G991" s="1280" t="str">
        <f>IF(T991&lt;&gt;"","H","")</f>
        <v/>
      </c>
      <c r="H991" s="1280" t="s">
        <v>1982</v>
      </c>
      <c r="I991" s="1241" t="str">
        <f t="shared" si="153"/>
        <v/>
      </c>
      <c r="J991" s="1280" t="str">
        <f t="shared" si="159"/>
        <v/>
      </c>
      <c r="K991" s="1280" t="str">
        <f t="shared" si="154"/>
        <v/>
      </c>
      <c r="L991" s="801" t="s">
        <v>1390</v>
      </c>
      <c r="M991" s="1295">
        <v>974</v>
      </c>
      <c r="N991" s="1280"/>
      <c r="O991" s="1277"/>
      <c r="P991" s="1277"/>
      <c r="Q991" s="1277"/>
      <c r="R991" s="1280" t="s">
        <v>1688</v>
      </c>
      <c r="S991" s="1277"/>
      <c r="T991" s="1280" t="str">
        <f t="shared" si="160"/>
        <v/>
      </c>
      <c r="U991" s="1277"/>
      <c r="V991" s="1277"/>
      <c r="W991" s="1277"/>
      <c r="X991" s="1277"/>
      <c r="Y991" s="1277"/>
      <c r="Z991" s="1277"/>
    </row>
    <row r="992" spans="1:26" x14ac:dyDescent="0.25">
      <c r="A992" s="822" t="s">
        <v>1375</v>
      </c>
      <c r="B992" s="801" t="str">
        <f t="shared" ca="1" si="161"/>
        <v>N311</v>
      </c>
      <c r="C992" s="801" t="str">
        <f t="shared" ca="1" si="162"/>
        <v>N312</v>
      </c>
      <c r="D992" s="801" t="s">
        <v>1343</v>
      </c>
      <c r="E992" s="801" t="s">
        <v>1508</v>
      </c>
      <c r="F992" s="1280" t="s">
        <v>1375</v>
      </c>
      <c r="G992" s="1280" t="str">
        <f>IF(T992&lt;&gt;"",IF(Q990="Credit Memo","J",IF(Q990="Check","K","")),"")</f>
        <v/>
      </c>
      <c r="H992" s="1280" t="s">
        <v>1982</v>
      </c>
      <c r="I992" s="1241" t="str">
        <f t="shared" si="153"/>
        <v/>
      </c>
      <c r="J992" s="1280" t="str">
        <f t="shared" si="159"/>
        <v/>
      </c>
      <c r="K992" s="1280" t="str">
        <f t="shared" si="154"/>
        <v/>
      </c>
      <c r="L992" s="801" t="s">
        <v>1375</v>
      </c>
      <c r="M992" s="1295">
        <v>975</v>
      </c>
      <c r="N992" s="1280"/>
      <c r="O992" s="1277"/>
      <c r="P992" s="1277"/>
      <c r="Q992" s="1277"/>
      <c r="R992" s="1280" t="s">
        <v>1688</v>
      </c>
      <c r="S992" s="1277"/>
      <c r="T992" s="1280" t="str">
        <f t="shared" si="160"/>
        <v/>
      </c>
      <c r="U992" s="1277"/>
      <c r="V992" s="1277"/>
      <c r="W992" s="1277"/>
      <c r="X992" s="1277"/>
      <c r="Y992" s="1277"/>
      <c r="Z992" s="1277"/>
    </row>
    <row r="993" spans="1:26" x14ac:dyDescent="0.25">
      <c r="A993" s="822" t="s">
        <v>1478</v>
      </c>
      <c r="B993" s="801" t="str">
        <f t="shared" ca="1" si="161"/>
        <v>P311</v>
      </c>
      <c r="C993" s="801" t="str">
        <f t="shared" ca="1" si="162"/>
        <v>P312</v>
      </c>
      <c r="D993" s="801" t="s">
        <v>1343</v>
      </c>
      <c r="E993" s="801" t="s">
        <v>1508</v>
      </c>
      <c r="F993" s="1280" t="s">
        <v>1986</v>
      </c>
      <c r="G993" s="1280" t="str">
        <f>IF(T993&lt;&gt;"","F","")</f>
        <v/>
      </c>
      <c r="H993" s="1280" t="s">
        <v>1982</v>
      </c>
      <c r="I993" s="1241" t="str">
        <f t="shared" si="153"/>
        <v/>
      </c>
      <c r="J993" s="1280" t="str">
        <f t="shared" si="159"/>
        <v/>
      </c>
      <c r="K993" s="1280" t="str">
        <f t="shared" si="154"/>
        <v/>
      </c>
      <c r="L993" s="801" t="s">
        <v>1478</v>
      </c>
      <c r="M993" s="1295">
        <v>976</v>
      </c>
      <c r="N993" s="1280"/>
      <c r="O993" s="1277"/>
      <c r="P993" s="1277"/>
      <c r="Q993" s="1277"/>
      <c r="R993" s="1280" t="s">
        <v>1688</v>
      </c>
      <c r="S993" s="1277"/>
      <c r="T993" s="1280" t="str">
        <f t="shared" si="160"/>
        <v/>
      </c>
      <c r="U993" s="1277"/>
      <c r="V993" s="1277"/>
      <c r="W993" s="1277"/>
      <c r="X993" s="1277"/>
      <c r="Y993" s="1277"/>
      <c r="Z993" s="1277"/>
    </row>
    <row r="994" spans="1:26" x14ac:dyDescent="0.25">
      <c r="A994" s="822" t="s">
        <v>1479</v>
      </c>
      <c r="B994" s="801" t="str">
        <f t="shared" ca="1" si="161"/>
        <v>R311</v>
      </c>
      <c r="C994" s="801" t="str">
        <f t="shared" ca="1" si="162"/>
        <v>R312</v>
      </c>
      <c r="D994" s="801" t="s">
        <v>1343</v>
      </c>
      <c r="E994" s="801" t="s">
        <v>1508</v>
      </c>
      <c r="F994" s="1280" t="s">
        <v>1987</v>
      </c>
      <c r="G994" s="1280" t="str">
        <f>IF(T994&lt;&gt;"","G","")</f>
        <v/>
      </c>
      <c r="H994" s="1280" t="s">
        <v>1982</v>
      </c>
      <c r="I994" s="1241" t="str">
        <f t="shared" si="153"/>
        <v/>
      </c>
      <c r="J994" s="1280" t="str">
        <f t="shared" si="159"/>
        <v/>
      </c>
      <c r="K994" s="1280" t="str">
        <f t="shared" si="154"/>
        <v/>
      </c>
      <c r="L994" s="801" t="s">
        <v>1479</v>
      </c>
      <c r="M994" s="1295">
        <v>977</v>
      </c>
      <c r="N994" s="1280"/>
      <c r="O994" s="1277"/>
      <c r="P994" s="1277"/>
      <c r="Q994" s="1277"/>
      <c r="R994" s="1280" t="s">
        <v>1688</v>
      </c>
      <c r="S994" s="1277"/>
      <c r="T994" s="1280" t="str">
        <f t="shared" si="160"/>
        <v/>
      </c>
      <c r="U994" s="1277"/>
      <c r="V994" s="1277"/>
      <c r="W994" s="1277"/>
      <c r="X994" s="1277"/>
      <c r="Y994" s="1277"/>
      <c r="Z994" s="1277"/>
    </row>
    <row r="995" spans="1:26" x14ac:dyDescent="0.25">
      <c r="A995" s="822" t="s">
        <v>1480</v>
      </c>
      <c r="B995" s="801" t="str">
        <f t="shared" ca="1" si="161"/>
        <v>T311</v>
      </c>
      <c r="C995" s="801" t="str">
        <f t="shared" ca="1" si="162"/>
        <v>T312</v>
      </c>
      <c r="D995" s="801" t="s">
        <v>1343</v>
      </c>
      <c r="E995" s="801" t="s">
        <v>1508</v>
      </c>
      <c r="F995" s="813" t="s">
        <v>1480</v>
      </c>
      <c r="G995" s="1280" t="str">
        <f>IF(T995&lt;&gt;"","AW","")</f>
        <v/>
      </c>
      <c r="H995" s="1280" t="s">
        <v>1982</v>
      </c>
      <c r="I995" s="1241" t="str">
        <f t="shared" si="153"/>
        <v/>
      </c>
      <c r="J995" s="1280" t="str">
        <f t="shared" si="159"/>
        <v/>
      </c>
      <c r="K995" s="1280" t="str">
        <f t="shared" si="154"/>
        <v/>
      </c>
      <c r="L995" s="801" t="s">
        <v>1480</v>
      </c>
      <c r="M995" s="1295">
        <v>978</v>
      </c>
      <c r="N995" s="1280"/>
      <c r="O995" s="1277"/>
      <c r="P995" s="1277"/>
      <c r="Q995" s="1277"/>
      <c r="R995" s="1280" t="s">
        <v>1688</v>
      </c>
      <c r="S995" s="1277"/>
      <c r="T995" s="1280" t="str">
        <f t="shared" si="160"/>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3"/>
        <v/>
      </c>
      <c r="J996" s="1280"/>
      <c r="K996" s="1280" t="str">
        <f t="shared" si="154"/>
        <v/>
      </c>
      <c r="L996" s="801" t="s">
        <v>1378</v>
      </c>
      <c r="M996" s="1295">
        <v>979</v>
      </c>
      <c r="N996" s="1280"/>
      <c r="O996" s="1277"/>
      <c r="P996" s="1277"/>
      <c r="Q996" s="1277"/>
      <c r="R996" s="1280" t="s">
        <v>1688</v>
      </c>
      <c r="S996" s="1277"/>
      <c r="T996" s="1280" t="str">
        <f t="shared" si="160"/>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3"/>
        <v/>
      </c>
      <c r="J997" s="1280"/>
      <c r="K997" s="1280" t="str">
        <f t="shared" si="154"/>
        <v/>
      </c>
      <c r="L997" s="801" t="s">
        <v>1379</v>
      </c>
      <c r="M997" s="1295">
        <v>980</v>
      </c>
      <c r="N997" s="1280"/>
      <c r="O997" s="1277"/>
      <c r="P997" s="1277"/>
      <c r="Q997" s="1277"/>
      <c r="R997" s="1280" t="s">
        <v>1688</v>
      </c>
      <c r="S997" s="1277"/>
      <c r="T997" s="1280" t="str">
        <f t="shared" si="160"/>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3"/>
        <v/>
      </c>
      <c r="J998" s="1280" t="str">
        <f t="shared" si="159"/>
        <v/>
      </c>
      <c r="K998" s="1280" t="str">
        <f t="shared" si="154"/>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0"/>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3"/>
        <v/>
      </c>
      <c r="J999" s="1280" t="str">
        <f t="shared" si="159"/>
        <v/>
      </c>
      <c r="K999" s="1280" t="str">
        <f t="shared" si="154"/>
        <v/>
      </c>
      <c r="L999" s="801" t="s">
        <v>1484</v>
      </c>
      <c r="M999" s="1295">
        <v>982</v>
      </c>
      <c r="N999" s="1280"/>
      <c r="O999" s="1277"/>
      <c r="P999" s="1277"/>
      <c r="Q999" s="1277"/>
      <c r="R999" s="1280" t="s">
        <v>1688</v>
      </c>
      <c r="S999" s="1277"/>
      <c r="T999" s="1280" t="str">
        <f t="shared" si="160"/>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3"/>
        <v/>
      </c>
      <c r="J1000" s="1280" t="str">
        <f t="shared" si="159"/>
        <v/>
      </c>
      <c r="K1000" s="1280" t="str">
        <f t="shared" si="154"/>
        <v/>
      </c>
      <c r="L1000" s="801" t="s">
        <v>1498</v>
      </c>
      <c r="M1000" s="1295">
        <v>983</v>
      </c>
      <c r="N1000" s="1280"/>
      <c r="O1000" s="1277"/>
      <c r="P1000" s="1277"/>
      <c r="Q1000" s="1277"/>
      <c r="R1000" s="1280" t="s">
        <v>1688</v>
      </c>
      <c r="S1000" s="1277"/>
      <c r="T1000" s="1280" t="str">
        <f t="shared" si="160"/>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3"/>
        <v/>
      </c>
      <c r="J1001" s="1280" t="str">
        <f t="shared" si="159"/>
        <v/>
      </c>
      <c r="K1001" s="1280" t="str">
        <f t="shared" si="154"/>
        <v/>
      </c>
      <c r="L1001" s="801" t="s">
        <v>1380</v>
      </c>
      <c r="M1001" s="1295">
        <v>984</v>
      </c>
      <c r="N1001" s="1280"/>
      <c r="O1001" s="1277"/>
      <c r="P1001" s="1277"/>
      <c r="Q1001" s="1277"/>
      <c r="R1001" s="1280" t="s">
        <v>1688</v>
      </c>
      <c r="S1001" s="1277"/>
      <c r="T1001" s="1280" t="str">
        <f t="shared" si="160"/>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3"/>
        <v/>
      </c>
      <c r="J1002" s="1280"/>
      <c r="K1002" s="1280" t="str">
        <f t="shared" si="154"/>
        <v/>
      </c>
      <c r="L1002" s="801" t="s">
        <v>1381</v>
      </c>
      <c r="M1002" s="1295">
        <v>985</v>
      </c>
      <c r="N1002" s="1280"/>
      <c r="O1002" s="1277"/>
      <c r="P1002" s="1277"/>
      <c r="Q1002" s="1277"/>
      <c r="R1002" s="1280" t="s">
        <v>1688</v>
      </c>
      <c r="S1002" s="1277"/>
      <c r="T1002" s="1280" t="str">
        <f t="shared" si="160"/>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3"/>
        <v/>
      </c>
      <c r="J1003" s="1280"/>
      <c r="K1003" s="1280" t="str">
        <f t="shared" si="154"/>
        <v/>
      </c>
      <c r="L1003" s="801" t="s">
        <v>1382</v>
      </c>
      <c r="M1003" s="1295">
        <v>986</v>
      </c>
      <c r="N1003" s="1280"/>
      <c r="O1003" s="1277"/>
      <c r="P1003" s="1277"/>
      <c r="Q1003" s="1277"/>
      <c r="R1003" s="1280" t="s">
        <v>1688</v>
      </c>
      <c r="S1003" s="1277"/>
      <c r="T1003" s="1280" t="str">
        <f t="shared" si="160"/>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3"/>
        <v/>
      </c>
      <c r="J1004" s="1280"/>
      <c r="K1004" s="1280" t="str">
        <f t="shared" si="154"/>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3"/>
        <v/>
      </c>
      <c r="J1005" s="1280" t="str">
        <f t="shared" ref="J1005:J1014" si="163">IF(M1005&lt;&gt;"",IF($Q$1005="Yes",Q$1&amp;M1005,""))</f>
        <v/>
      </c>
      <c r="K1005" s="1280" t="str">
        <f t="shared" si="154"/>
        <v/>
      </c>
      <c r="L1005" s="801" t="s">
        <v>1697</v>
      </c>
      <c r="M1005" s="1295">
        <v>988</v>
      </c>
      <c r="N1005" s="1280"/>
      <c r="O1005" s="1277">
        <f>'Configurable Tab'!H25</f>
        <v>323</v>
      </c>
      <c r="P1005" s="18" t="str">
        <f>'Configurable Tab'!J25</f>
        <v>No</v>
      </c>
      <c r="Q1005" s="1317" t="s">
        <v>648</v>
      </c>
      <c r="R1005" s="1280" t="s">
        <v>481</v>
      </c>
      <c r="S1005" s="1277"/>
      <c r="T1005" s="1280" t="str">
        <f t="shared" ref="T1005:T1011" si="164">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3"/>
        <v/>
      </c>
      <c r="J1006" s="1280"/>
      <c r="K1006" s="1280" t="str">
        <f t="shared" si="154"/>
        <v/>
      </c>
      <c r="L1006" s="801" t="s">
        <v>1376</v>
      </c>
      <c r="M1006" s="1295">
        <v>989</v>
      </c>
      <c r="N1006" s="1280"/>
      <c r="O1006" s="1277" t="s">
        <v>726</v>
      </c>
      <c r="P1006" s="1277"/>
      <c r="Q1006" s="1277"/>
      <c r="R1006" s="1280" t="s">
        <v>481</v>
      </c>
      <c r="S1006" s="1277"/>
      <c r="T1006" s="1280" t="str">
        <f t="shared" si="164"/>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3"/>
        <v/>
      </c>
      <c r="J1007" s="1280" t="str">
        <f t="shared" si="163"/>
        <v/>
      </c>
      <c r="K1007" s="1280" t="str">
        <f t="shared" si="154"/>
        <v/>
      </c>
      <c r="L1007" s="801" t="s">
        <v>1374</v>
      </c>
      <c r="M1007" s="1295">
        <v>990</v>
      </c>
      <c r="N1007" s="1280"/>
      <c r="O1007" s="1277">
        <f>'Configurable Tab'!I25</f>
        <v>336</v>
      </c>
      <c r="P1007" s="1277"/>
      <c r="Q1007" s="1277"/>
      <c r="R1007" s="1280" t="s">
        <v>481</v>
      </c>
      <c r="S1007" s="1277"/>
      <c r="T1007" s="1280" t="str">
        <f t="shared" si="164"/>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3"/>
        <v/>
      </c>
      <c r="J1008" s="1280" t="str">
        <f t="shared" si="163"/>
        <v/>
      </c>
      <c r="K1008" s="1280" t="str">
        <f t="shared" si="154"/>
        <v/>
      </c>
      <c r="L1008" s="801" t="s">
        <v>1390</v>
      </c>
      <c r="M1008" s="1295">
        <v>991</v>
      </c>
      <c r="N1008" s="1280"/>
      <c r="O1008" s="1277" t="s">
        <v>1642</v>
      </c>
      <c r="P1008" s="1277"/>
      <c r="Q1008" s="1277"/>
      <c r="R1008" s="1280" t="s">
        <v>481</v>
      </c>
      <c r="S1008" s="1277"/>
      <c r="T1008" s="1280" t="str">
        <f t="shared" si="164"/>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3"/>
        <v/>
      </c>
      <c r="J1009" s="1280" t="str">
        <f t="shared" si="163"/>
        <v/>
      </c>
      <c r="K1009" s="1280" t="str">
        <f t="shared" si="154"/>
        <v/>
      </c>
      <c r="L1009" s="801" t="s">
        <v>1375</v>
      </c>
      <c r="M1009" s="1295">
        <v>992</v>
      </c>
      <c r="N1009" s="1280"/>
      <c r="O1009" s="1277"/>
      <c r="P1009" s="1277"/>
      <c r="Q1009" s="1277"/>
      <c r="R1009" s="1280" t="s">
        <v>481</v>
      </c>
      <c r="S1009" s="1277"/>
      <c r="T1009" s="1280" t="str">
        <f t="shared" si="164"/>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3"/>
        <v/>
      </c>
      <c r="J1010" s="1280"/>
      <c r="K1010" s="1280" t="str">
        <f t="shared" si="154"/>
        <v/>
      </c>
      <c r="L1010" s="801" t="s">
        <v>1378</v>
      </c>
      <c r="M1010" s="1295">
        <v>993</v>
      </c>
      <c r="N1010" s="1280"/>
      <c r="O1010" s="1277"/>
      <c r="P1010" s="1277"/>
      <c r="Q1010" s="1277"/>
      <c r="R1010" s="1280" t="s">
        <v>481</v>
      </c>
      <c r="S1010" s="1277"/>
      <c r="T1010" s="1280" t="str">
        <f t="shared" si="164"/>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3"/>
        <v/>
      </c>
      <c r="J1011" s="1280"/>
      <c r="K1011" s="1280" t="str">
        <f t="shared" si="154"/>
        <v/>
      </c>
      <c r="L1011" s="801" t="s">
        <v>1379</v>
      </c>
      <c r="M1011" s="1295">
        <v>994</v>
      </c>
      <c r="N1011" s="1280"/>
      <c r="O1011" s="1277"/>
      <c r="P1011" s="1277"/>
      <c r="Q1011" s="1277"/>
      <c r="R1011" s="1280" t="s">
        <v>481</v>
      </c>
      <c r="S1011" s="1277"/>
      <c r="T1011" s="1280" t="str">
        <f t="shared" si="164"/>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3"/>
        <v/>
      </c>
      <c r="J1012" s="1280" t="str">
        <f t="shared" si="163"/>
        <v/>
      </c>
      <c r="K1012" s="1280" t="str">
        <f t="shared" si="154"/>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3"/>
        <v/>
      </c>
      <c r="J1013" s="1280" t="str">
        <f t="shared" si="163"/>
        <v/>
      </c>
      <c r="K1013" s="1280" t="str">
        <f t="shared" si="154"/>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3"/>
        <v/>
      </c>
      <c r="J1014" s="1280" t="str">
        <f t="shared" si="163"/>
        <v/>
      </c>
      <c r="K1014" s="1280" t="str">
        <f t="shared" si="154"/>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3"/>
        <v/>
      </c>
      <c r="J1015" s="1280"/>
      <c r="K1015" s="1280" t="str">
        <f t="shared" si="154"/>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3"/>
        <v/>
      </c>
      <c r="J1016" s="1280" t="str">
        <f t="shared" ref="J1016:J1025" si="165">IF(M1016&lt;&gt;"",IF($Q$1016="Yes",Q$1&amp;M1016,""))</f>
        <v/>
      </c>
      <c r="K1016" s="1280" t="str">
        <f t="shared" si="154"/>
        <v/>
      </c>
      <c r="L1016" s="801" t="s">
        <v>1697</v>
      </c>
      <c r="M1016" s="1295">
        <v>999</v>
      </c>
      <c r="N1016" s="1280"/>
      <c r="O1016" s="1277">
        <f>'Configurable Tab'!H26</f>
        <v>337</v>
      </c>
      <c r="P1016" s="18" t="str">
        <f>'Configurable Tab'!J26</f>
        <v>No</v>
      </c>
      <c r="Q1016" s="1317" t="s">
        <v>648</v>
      </c>
      <c r="R1016" s="1280" t="s">
        <v>481</v>
      </c>
      <c r="S1016" s="1277"/>
      <c r="T1016" s="1280" t="str">
        <f t="shared" ref="T1016:T1022" si="166">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3"/>
        <v/>
      </c>
      <c r="J1017" s="1280"/>
      <c r="K1017" s="1280" t="str">
        <f t="shared" si="154"/>
        <v/>
      </c>
      <c r="L1017" s="801" t="s">
        <v>1376</v>
      </c>
      <c r="M1017" s="1295">
        <v>1000</v>
      </c>
      <c r="N1017" s="1280"/>
      <c r="O1017" s="1277" t="s">
        <v>726</v>
      </c>
      <c r="P1017" s="1277"/>
      <c r="Q1017" s="1277"/>
      <c r="R1017" s="1280" t="s">
        <v>481</v>
      </c>
      <c r="S1017" s="1277"/>
      <c r="T1017" s="1280" t="str">
        <f t="shared" si="166"/>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3"/>
        <v/>
      </c>
      <c r="J1018" s="1280" t="str">
        <f t="shared" si="165"/>
        <v/>
      </c>
      <c r="K1018" s="1280" t="str">
        <f t="shared" si="154"/>
        <v/>
      </c>
      <c r="L1018" s="801" t="s">
        <v>1374</v>
      </c>
      <c r="M1018" s="1295">
        <v>1001</v>
      </c>
      <c r="N1018" s="1280"/>
      <c r="O1018" s="1277">
        <f>'Configurable Tab'!I26</f>
        <v>350</v>
      </c>
      <c r="P1018" s="1277"/>
      <c r="Q1018" s="1277"/>
      <c r="R1018" s="1280" t="s">
        <v>481</v>
      </c>
      <c r="S1018" s="1277"/>
      <c r="T1018" s="1280" t="str">
        <f t="shared" si="166"/>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3"/>
        <v/>
      </c>
      <c r="J1019" s="1280" t="str">
        <f t="shared" si="165"/>
        <v/>
      </c>
      <c r="K1019" s="1280" t="str">
        <f t="shared" si="154"/>
        <v/>
      </c>
      <c r="L1019" s="801" t="s">
        <v>1390</v>
      </c>
      <c r="M1019" s="1295">
        <v>1002</v>
      </c>
      <c r="N1019" s="1280"/>
      <c r="O1019" s="1277" t="s">
        <v>1643</v>
      </c>
      <c r="P1019" s="1277"/>
      <c r="Q1019" s="1277"/>
      <c r="R1019" s="1280" t="s">
        <v>481</v>
      </c>
      <c r="S1019" s="1277"/>
      <c r="T1019" s="1280" t="str">
        <f t="shared" si="166"/>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3"/>
        <v/>
      </c>
      <c r="J1020" s="1280" t="str">
        <f t="shared" si="165"/>
        <v/>
      </c>
      <c r="K1020" s="1280" t="str">
        <f t="shared" si="154"/>
        <v/>
      </c>
      <c r="L1020" s="801" t="s">
        <v>1375</v>
      </c>
      <c r="M1020" s="1295">
        <v>1003</v>
      </c>
      <c r="N1020" s="1280"/>
      <c r="O1020" s="1277"/>
      <c r="P1020" s="1277"/>
      <c r="Q1020" s="1277"/>
      <c r="R1020" s="1280" t="s">
        <v>481</v>
      </c>
      <c r="S1020" s="1277"/>
      <c r="T1020" s="1280" t="str">
        <f t="shared" si="166"/>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3"/>
        <v/>
      </c>
      <c r="J1021" s="1280"/>
      <c r="K1021" s="1280" t="str">
        <f t="shared" si="154"/>
        <v/>
      </c>
      <c r="L1021" s="801" t="s">
        <v>1378</v>
      </c>
      <c r="M1021" s="1295">
        <v>1004</v>
      </c>
      <c r="N1021" s="1280"/>
      <c r="O1021" s="1277"/>
      <c r="P1021" s="1277"/>
      <c r="Q1021" s="1277"/>
      <c r="R1021" s="1280" t="s">
        <v>481</v>
      </c>
      <c r="S1021" s="1277"/>
      <c r="T1021" s="1280" t="str">
        <f t="shared" si="166"/>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3"/>
        <v/>
      </c>
      <c r="J1022" s="1280"/>
      <c r="K1022" s="1280" t="str">
        <f t="shared" si="154"/>
        <v/>
      </c>
      <c r="L1022" s="801" t="s">
        <v>1379</v>
      </c>
      <c r="M1022" s="1295">
        <v>1005</v>
      </c>
      <c r="N1022" s="1280"/>
      <c r="O1022" s="1277"/>
      <c r="P1022" s="1277"/>
      <c r="Q1022" s="1277"/>
      <c r="R1022" s="1280" t="s">
        <v>481</v>
      </c>
      <c r="S1022" s="1277"/>
      <c r="T1022" s="1280" t="str">
        <f t="shared" si="166"/>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3"/>
        <v/>
      </c>
      <c r="J1023" s="1280" t="str">
        <f t="shared" si="165"/>
        <v/>
      </c>
      <c r="K1023" s="1280" t="str">
        <f t="shared" si="154"/>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3"/>
        <v/>
      </c>
      <c r="J1024" s="1280" t="str">
        <f t="shared" si="165"/>
        <v/>
      </c>
      <c r="K1024" s="1280" t="str">
        <f t="shared" si="154"/>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3"/>
        <v/>
      </c>
      <c r="J1025" s="1280" t="str">
        <f t="shared" si="165"/>
        <v/>
      </c>
      <c r="K1025" s="1280" t="str">
        <f t="shared" si="154"/>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3"/>
        <v/>
      </c>
      <c r="J1026" s="1280"/>
      <c r="K1026" s="1280" t="str">
        <f t="shared" si="154"/>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3"/>
        <v/>
      </c>
      <c r="J1027" s="1280" t="str">
        <f>IF(M1027&lt;&gt;"",IF($Q$1027="Yes",Q$1&amp;M1027,""))</f>
        <v/>
      </c>
      <c r="K1027" s="1280" t="str">
        <f t="shared" si="154"/>
        <v/>
      </c>
      <c r="L1027" s="801" t="s">
        <v>1697</v>
      </c>
      <c r="M1027" s="1295">
        <v>1010</v>
      </c>
      <c r="N1027" s="1280"/>
      <c r="O1027" s="1277">
        <f>'Configurable Tab'!H27</f>
        <v>351</v>
      </c>
      <c r="P1027" s="18" t="str">
        <f>'Configurable Tab'!J27</f>
        <v>No</v>
      </c>
      <c r="Q1027" s="1317" t="s">
        <v>648</v>
      </c>
      <c r="R1027" s="1280" t="s">
        <v>481</v>
      </c>
      <c r="S1027" s="1277"/>
      <c r="T1027" s="1280" t="str">
        <f t="shared" ref="T1027:T1033" si="167">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68">IF(J1028&lt;&gt;"",A1028,"")</f>
        <v/>
      </c>
      <c r="J1028" s="1280"/>
      <c r="K1028" s="1280" t="str">
        <f t="shared" ref="K1028:K1091" si="169">IF(J1028&lt;&gt;"",E1028,"")</f>
        <v/>
      </c>
      <c r="L1028" s="801" t="s">
        <v>1376</v>
      </c>
      <c r="M1028" s="1295">
        <v>1011</v>
      </c>
      <c r="N1028" s="1280"/>
      <c r="O1028" s="1277" t="s">
        <v>726</v>
      </c>
      <c r="P1028" s="1277"/>
      <c r="Q1028" s="1277"/>
      <c r="R1028" s="1280" t="s">
        <v>481</v>
      </c>
      <c r="S1028" s="1277"/>
      <c r="T1028" s="1280" t="str">
        <f t="shared" si="167"/>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68"/>
        <v/>
      </c>
      <c r="J1029" s="1280" t="str">
        <f>IF(M1029&lt;&gt;"",IF($Q$1027="Yes",Q$1&amp;M1029,""))</f>
        <v/>
      </c>
      <c r="K1029" s="1280" t="str">
        <f t="shared" si="169"/>
        <v/>
      </c>
      <c r="L1029" s="801" t="s">
        <v>1374</v>
      </c>
      <c r="M1029" s="1295">
        <v>1012</v>
      </c>
      <c r="N1029" s="1280"/>
      <c r="O1029" s="1277">
        <f>'Configurable Tab'!I27</f>
        <v>364</v>
      </c>
      <c r="P1029" s="1277"/>
      <c r="Q1029" s="1277" t="s">
        <v>482</v>
      </c>
      <c r="R1029" s="1280" t="s">
        <v>481</v>
      </c>
      <c r="S1029" s="1277"/>
      <c r="T1029" s="1280" t="str">
        <f t="shared" si="167"/>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68"/>
        <v/>
      </c>
      <c r="J1030" s="1280" t="str">
        <f>IF(M1030&lt;&gt;"",IF($Q$1027="Yes",Q$1&amp;M1030,""))</f>
        <v/>
      </c>
      <c r="K1030" s="1280" t="str">
        <f t="shared" si="169"/>
        <v/>
      </c>
      <c r="L1030" s="801" t="s">
        <v>1390</v>
      </c>
      <c r="M1030" s="1295">
        <v>1013</v>
      </c>
      <c r="N1030" s="1280"/>
      <c r="O1030" s="1277" t="s">
        <v>1644</v>
      </c>
      <c r="P1030" s="1277"/>
      <c r="Q1030" s="1277"/>
      <c r="R1030" s="1280" t="s">
        <v>481</v>
      </c>
      <c r="S1030" s="1277"/>
      <c r="T1030" s="1280" t="str">
        <f t="shared" si="167"/>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68"/>
        <v/>
      </c>
      <c r="J1031" s="1280" t="str">
        <f>IF(M1031&lt;&gt;"",IF($Q$1027="Yes",Q$1&amp;M1031,""))</f>
        <v/>
      </c>
      <c r="K1031" s="1280" t="str">
        <f t="shared" si="169"/>
        <v/>
      </c>
      <c r="L1031" s="801" t="s">
        <v>1375</v>
      </c>
      <c r="M1031" s="1295">
        <v>1014</v>
      </c>
      <c r="N1031" s="1280"/>
      <c r="O1031" s="1277"/>
      <c r="P1031" s="1277"/>
      <c r="Q1031" s="1277"/>
      <c r="R1031" s="1280" t="s">
        <v>481</v>
      </c>
      <c r="S1031" s="1277"/>
      <c r="T1031" s="1280" t="str">
        <f t="shared" si="167"/>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68"/>
        <v/>
      </c>
      <c r="J1032" s="1280"/>
      <c r="K1032" s="1280" t="str">
        <f t="shared" si="169"/>
        <v/>
      </c>
      <c r="L1032" s="801" t="s">
        <v>1378</v>
      </c>
      <c r="M1032" s="1295">
        <v>1015</v>
      </c>
      <c r="N1032" s="1280"/>
      <c r="O1032" s="1277"/>
      <c r="P1032" s="1277"/>
      <c r="Q1032" s="1277"/>
      <c r="R1032" s="1280" t="s">
        <v>481</v>
      </c>
      <c r="S1032" s="1277"/>
      <c r="T1032" s="1280" t="str">
        <f t="shared" si="167"/>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68"/>
        <v/>
      </c>
      <c r="J1033" s="1280"/>
      <c r="K1033" s="1280" t="str">
        <f t="shared" si="169"/>
        <v/>
      </c>
      <c r="L1033" s="801" t="s">
        <v>1379</v>
      </c>
      <c r="M1033" s="1295">
        <v>1016</v>
      </c>
      <c r="N1033" s="1280"/>
      <c r="O1033" s="1277"/>
      <c r="P1033" s="1277"/>
      <c r="Q1033" s="1277"/>
      <c r="R1033" s="1280" t="s">
        <v>481</v>
      </c>
      <c r="S1033" s="1277"/>
      <c r="T1033" s="1280" t="str">
        <f t="shared" si="167"/>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68"/>
        <v/>
      </c>
      <c r="J1034" s="1280" t="str">
        <f>IF(M1034&lt;&gt;"",IF($Q$1027="Yes",Q$1&amp;M1034,""))</f>
        <v/>
      </c>
      <c r="K1034" s="1280" t="str">
        <f t="shared" si="169"/>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68"/>
        <v/>
      </c>
      <c r="J1035" s="1280" t="str">
        <f>IF(M1035&lt;&gt;"",IF($Q$1027="Yes",Q$1&amp;M1035,""))</f>
        <v/>
      </c>
      <c r="K1035" s="1280" t="str">
        <f t="shared" si="169"/>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68"/>
        <v/>
      </c>
      <c r="J1036" s="1280" t="str">
        <f>IF(M1036&lt;&gt;"",IF($Q$1027="Yes",Q$1&amp;M1036,""))</f>
        <v/>
      </c>
      <c r="K1036" s="1280" t="str">
        <f t="shared" si="169"/>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68"/>
        <v/>
      </c>
      <c r="J1037" s="1280"/>
      <c r="K1037" s="1280" t="str">
        <f t="shared" si="169"/>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68"/>
        <v/>
      </c>
      <c r="J1038" s="1280" t="str">
        <f t="shared" ref="J1038:J1049" si="170">IF(M1038&lt;&gt;"",IF($Q$1038="Yes",Q$1&amp;M1038,""))</f>
        <v/>
      </c>
      <c r="K1038" s="1280" t="str">
        <f t="shared" si="169"/>
        <v/>
      </c>
      <c r="L1038" s="801" t="s">
        <v>1697</v>
      </c>
      <c r="M1038" s="1295">
        <v>1021</v>
      </c>
      <c r="N1038" s="1280"/>
      <c r="O1038" s="1277">
        <f>'Configurable Tab'!H28</f>
        <v>365</v>
      </c>
      <c r="P1038" s="18" t="str">
        <f>'Configurable Tab'!J28</f>
        <v>No</v>
      </c>
      <c r="Q1038" s="1317" t="s">
        <v>648</v>
      </c>
      <c r="R1038" s="1280" t="s">
        <v>1130</v>
      </c>
      <c r="S1038" s="1277"/>
      <c r="T1038" s="1280" t="str">
        <f t="shared" ref="T1038:T1045" si="171">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68"/>
        <v/>
      </c>
      <c r="J1039" s="1280"/>
      <c r="K1039" s="1280" t="str">
        <f t="shared" si="169"/>
        <v/>
      </c>
      <c r="L1039" s="801" t="s">
        <v>1376</v>
      </c>
      <c r="M1039" s="1295">
        <v>1022</v>
      </c>
      <c r="N1039" s="1280"/>
      <c r="O1039" s="1277" t="s">
        <v>726</v>
      </c>
      <c r="P1039" s="1277"/>
      <c r="Q1039" s="1277"/>
      <c r="R1039" s="1280" t="s">
        <v>1130</v>
      </c>
      <c r="S1039" s="1277"/>
      <c r="T1039" s="1280" t="str">
        <f t="shared" si="171"/>
        <v/>
      </c>
      <c r="U1039" s="1277"/>
      <c r="V1039" s="1277"/>
      <c r="W1039" s="1277"/>
      <c r="X1039" s="1277"/>
      <c r="Y1039" s="1277"/>
      <c r="Z1039" s="1277"/>
    </row>
    <row r="1040" spans="1:26" x14ac:dyDescent="0.25">
      <c r="A1040" s="822" t="s">
        <v>1374</v>
      </c>
      <c r="B1040" s="801" t="str">
        <f t="shared" ref="B1040:B1045" ca="1" si="172">_xlfn.CONCAT(IFERROR(SUBSTITUTE(ADDRESS(1,MATCH(A1040,INDIRECT("'"&amp;E1040&amp;"'"&amp;"!A" &amp; $O$1038 + 2 &amp; ":Z" &amp; $O$1038 + 2),0),4),1,""),""),$O$1038+ 2)</f>
        <v>J367</v>
      </c>
      <c r="C1040" s="801" t="str">
        <f t="shared" ref="C1040:C1045" ca="1" si="173">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68"/>
        <v/>
      </c>
      <c r="J1040" s="1280" t="str">
        <f t="shared" si="170"/>
        <v/>
      </c>
      <c r="K1040" s="1280" t="str">
        <f t="shared" si="169"/>
        <v/>
      </c>
      <c r="L1040" s="801" t="s">
        <v>1374</v>
      </c>
      <c r="M1040" s="1295">
        <v>1023</v>
      </c>
      <c r="N1040" s="1280"/>
      <c r="O1040" s="1277">
        <f>'Configurable Tab'!I28</f>
        <v>378</v>
      </c>
      <c r="P1040" s="1277"/>
      <c r="Q1040" s="1277" t="s">
        <v>482</v>
      </c>
      <c r="R1040" s="1280" t="s">
        <v>1130</v>
      </c>
      <c r="S1040" s="1277"/>
      <c r="T1040" s="1280" t="str">
        <f t="shared" si="171"/>
        <v/>
      </c>
      <c r="U1040" s="1277"/>
      <c r="V1040" s="1277"/>
      <c r="W1040" s="1277"/>
      <c r="X1040" s="1277"/>
      <c r="Y1040" s="1277"/>
      <c r="Z1040" s="1277"/>
    </row>
    <row r="1041" spans="1:26" x14ac:dyDescent="0.25">
      <c r="A1041" s="822" t="s">
        <v>1390</v>
      </c>
      <c r="B1041" s="801" t="str">
        <f t="shared" ca="1" si="172"/>
        <v>L367</v>
      </c>
      <c r="C1041" s="801" t="str">
        <f t="shared" ca="1" si="173"/>
        <v>L368</v>
      </c>
      <c r="D1041" s="801" t="s">
        <v>1343</v>
      </c>
      <c r="E1041" s="801" t="s">
        <v>1508</v>
      </c>
      <c r="F1041" s="1280" t="s">
        <v>1985</v>
      </c>
      <c r="G1041" s="1280" t="str">
        <f>IF(T1041&lt;&gt;"","H","")</f>
        <v/>
      </c>
      <c r="H1041" s="1280" t="s">
        <v>1982</v>
      </c>
      <c r="I1041" s="1241" t="str">
        <f t="shared" si="168"/>
        <v/>
      </c>
      <c r="J1041" s="1280" t="str">
        <f t="shared" si="170"/>
        <v/>
      </c>
      <c r="K1041" s="1280" t="str">
        <f t="shared" si="169"/>
        <v/>
      </c>
      <c r="L1041" s="801" t="s">
        <v>1390</v>
      </c>
      <c r="M1041" s="1295">
        <v>1024</v>
      </c>
      <c r="N1041" s="1280"/>
      <c r="O1041" s="1277" t="s">
        <v>1645</v>
      </c>
      <c r="P1041" s="1277"/>
      <c r="Q1041" s="1277"/>
      <c r="R1041" s="1280" t="s">
        <v>1130</v>
      </c>
      <c r="S1041" s="1277"/>
      <c r="T1041" s="1280" t="str">
        <f t="shared" si="171"/>
        <v/>
      </c>
      <c r="U1041" s="1277"/>
      <c r="V1041" s="1277"/>
      <c r="W1041" s="1277"/>
      <c r="X1041" s="1277"/>
      <c r="Y1041" s="1277"/>
      <c r="Z1041" s="1277"/>
    </row>
    <row r="1042" spans="1:26" x14ac:dyDescent="0.25">
      <c r="A1042" s="822" t="s">
        <v>1375</v>
      </c>
      <c r="B1042" s="801" t="str">
        <f t="shared" ca="1" si="172"/>
        <v>N367</v>
      </c>
      <c r="C1042" s="801" t="str">
        <f t="shared" ca="1" si="173"/>
        <v>N368</v>
      </c>
      <c r="D1042" s="801" t="s">
        <v>1343</v>
      </c>
      <c r="E1042" s="801" t="s">
        <v>1508</v>
      </c>
      <c r="F1042" s="1280" t="s">
        <v>1375</v>
      </c>
      <c r="G1042" s="1280" t="str">
        <f>IF(T1042&lt;&gt;"",IF(Q1040="Credit Memo","J",IF(Q1040="Check","K","")),"")</f>
        <v/>
      </c>
      <c r="H1042" s="1280" t="s">
        <v>1982</v>
      </c>
      <c r="I1042" s="1241" t="str">
        <f t="shared" si="168"/>
        <v/>
      </c>
      <c r="J1042" s="1280" t="str">
        <f t="shared" si="170"/>
        <v/>
      </c>
      <c r="K1042" s="1280" t="str">
        <f t="shared" si="169"/>
        <v/>
      </c>
      <c r="L1042" s="801" t="s">
        <v>1375</v>
      </c>
      <c r="M1042" s="1295">
        <v>1025</v>
      </c>
      <c r="N1042" s="1280"/>
      <c r="O1042" s="1277"/>
      <c r="P1042" s="1277"/>
      <c r="Q1042" s="1277"/>
      <c r="R1042" s="1280" t="s">
        <v>1130</v>
      </c>
      <c r="S1042" s="1277"/>
      <c r="T1042" s="1280" t="str">
        <f t="shared" si="171"/>
        <v/>
      </c>
      <c r="U1042" s="1277"/>
      <c r="V1042" s="1277"/>
      <c r="W1042" s="1277"/>
      <c r="X1042" s="1277"/>
      <c r="Y1042" s="1277"/>
      <c r="Z1042" s="1277"/>
    </row>
    <row r="1043" spans="1:26" x14ac:dyDescent="0.25">
      <c r="A1043" s="822" t="s">
        <v>1478</v>
      </c>
      <c r="B1043" s="801" t="str">
        <f t="shared" ca="1" si="172"/>
        <v>P367</v>
      </c>
      <c r="C1043" s="801" t="str">
        <f t="shared" ca="1" si="173"/>
        <v>P368</v>
      </c>
      <c r="D1043" s="801" t="s">
        <v>1343</v>
      </c>
      <c r="E1043" s="801" t="s">
        <v>1508</v>
      </c>
      <c r="F1043" s="1280" t="s">
        <v>1986</v>
      </c>
      <c r="G1043" s="1280" t="str">
        <f>IF(T1043&lt;&gt;"","F","")</f>
        <v/>
      </c>
      <c r="H1043" s="1280" t="s">
        <v>1982</v>
      </c>
      <c r="I1043" s="1241" t="str">
        <f t="shared" si="168"/>
        <v/>
      </c>
      <c r="J1043" s="1280" t="str">
        <f t="shared" si="170"/>
        <v/>
      </c>
      <c r="K1043" s="1280" t="str">
        <f t="shared" si="169"/>
        <v/>
      </c>
      <c r="L1043" s="801" t="s">
        <v>1478</v>
      </c>
      <c r="M1043" s="1295">
        <v>1026</v>
      </c>
      <c r="N1043" s="1280"/>
      <c r="O1043" s="1277"/>
      <c r="P1043" s="1277"/>
      <c r="Q1043" s="1277"/>
      <c r="R1043" s="1280" t="s">
        <v>1130</v>
      </c>
      <c r="S1043" s="1277"/>
      <c r="T1043" s="1280" t="str">
        <f t="shared" si="171"/>
        <v/>
      </c>
      <c r="U1043" s="1277"/>
      <c r="V1043" s="1277"/>
      <c r="W1043" s="1277"/>
      <c r="X1043" s="1277"/>
      <c r="Y1043" s="1277"/>
      <c r="Z1043" s="1277"/>
    </row>
    <row r="1044" spans="1:26" x14ac:dyDescent="0.25">
      <c r="A1044" s="822" t="s">
        <v>1479</v>
      </c>
      <c r="B1044" s="801" t="str">
        <f t="shared" ca="1" si="172"/>
        <v>R367</v>
      </c>
      <c r="C1044" s="801" t="str">
        <f t="shared" ca="1" si="173"/>
        <v>R368</v>
      </c>
      <c r="D1044" s="801" t="s">
        <v>1343</v>
      </c>
      <c r="E1044" s="801" t="s">
        <v>1508</v>
      </c>
      <c r="F1044" s="1280" t="s">
        <v>1987</v>
      </c>
      <c r="G1044" s="1280" t="str">
        <f>IF(T1044&lt;&gt;"","G","")</f>
        <v/>
      </c>
      <c r="H1044" s="1280" t="s">
        <v>1982</v>
      </c>
      <c r="I1044" s="1241" t="str">
        <f t="shared" si="168"/>
        <v/>
      </c>
      <c r="J1044" s="1280" t="str">
        <f t="shared" si="170"/>
        <v/>
      </c>
      <c r="K1044" s="1280" t="str">
        <f t="shared" si="169"/>
        <v/>
      </c>
      <c r="L1044" s="801" t="s">
        <v>1479</v>
      </c>
      <c r="M1044" s="1295">
        <v>1027</v>
      </c>
      <c r="N1044" s="1280"/>
      <c r="O1044" s="1277"/>
      <c r="P1044" s="1277"/>
      <c r="Q1044" s="1277"/>
      <c r="R1044" s="1280" t="s">
        <v>1130</v>
      </c>
      <c r="S1044" s="1277"/>
      <c r="T1044" s="1280" t="str">
        <f t="shared" si="171"/>
        <v/>
      </c>
      <c r="U1044" s="1277"/>
      <c r="V1044" s="1277"/>
      <c r="W1044" s="1277"/>
      <c r="X1044" s="1277"/>
      <c r="Y1044" s="1277"/>
      <c r="Z1044" s="1277"/>
    </row>
    <row r="1045" spans="1:26" x14ac:dyDescent="0.25">
      <c r="A1045" s="822" t="s">
        <v>1480</v>
      </c>
      <c r="B1045" s="801" t="str">
        <f t="shared" ca="1" si="172"/>
        <v>T367</v>
      </c>
      <c r="C1045" s="801" t="str">
        <f t="shared" ca="1" si="173"/>
        <v>T368</v>
      </c>
      <c r="D1045" s="801" t="s">
        <v>1343</v>
      </c>
      <c r="E1045" s="801" t="s">
        <v>1508</v>
      </c>
      <c r="F1045" s="813" t="s">
        <v>1480</v>
      </c>
      <c r="G1045" s="1280" t="str">
        <f>IF(T1045&lt;&gt;"","AW","")</f>
        <v/>
      </c>
      <c r="H1045" s="1280" t="s">
        <v>1982</v>
      </c>
      <c r="I1045" s="1241" t="str">
        <f t="shared" si="168"/>
        <v/>
      </c>
      <c r="J1045" s="1280" t="str">
        <f t="shared" si="170"/>
        <v/>
      </c>
      <c r="K1045" s="1280" t="str">
        <f t="shared" si="169"/>
        <v/>
      </c>
      <c r="L1045" s="801" t="s">
        <v>1480</v>
      </c>
      <c r="M1045" s="1295">
        <v>1028</v>
      </c>
      <c r="N1045" s="1280"/>
      <c r="O1045" s="1277"/>
      <c r="P1045" s="1277"/>
      <c r="Q1045" s="1277"/>
      <c r="R1045" s="1280" t="s">
        <v>1130</v>
      </c>
      <c r="S1045" s="1277"/>
      <c r="T1045" s="1351" t="str">
        <f t="shared" si="171"/>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68"/>
        <v/>
      </c>
      <c r="J1046" s="1280"/>
      <c r="K1046" s="1280" t="str">
        <f t="shared" si="169"/>
        <v/>
      </c>
      <c r="L1046" s="801" t="s">
        <v>1378</v>
      </c>
      <c r="M1046" s="1295">
        <v>1029</v>
      </c>
      <c r="N1046" s="1280"/>
      <c r="O1046" s="1277"/>
      <c r="P1046" s="1277"/>
      <c r="Q1046" s="1277"/>
      <c r="R1046" s="1280" t="s">
        <v>1130</v>
      </c>
      <c r="S1046" s="1277"/>
      <c r="T1046" s="1280" t="str">
        <f>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68"/>
        <v/>
      </c>
      <c r="J1047" s="1280"/>
      <c r="K1047" s="1280" t="str">
        <f t="shared" si="169"/>
        <v/>
      </c>
      <c r="L1047" s="801" t="s">
        <v>1379</v>
      </c>
      <c r="M1047" s="1295">
        <v>1030</v>
      </c>
      <c r="N1047" s="1280"/>
      <c r="O1047" s="1277"/>
      <c r="P1047" s="1277"/>
      <c r="Q1047" s="1277"/>
      <c r="R1047" s="1280" t="s">
        <v>1130</v>
      </c>
      <c r="S1047" s="1277"/>
      <c r="T1047" s="1280" t="str">
        <f>IF(Q$1038="Yes",26,"")</f>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68"/>
        <v/>
      </c>
      <c r="J1048" s="1280" t="str">
        <f t="shared" si="170"/>
        <v/>
      </c>
      <c r="K1048" s="1280" t="str">
        <f t="shared" si="169"/>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68"/>
        <v/>
      </c>
      <c r="J1049" s="1280" t="str">
        <f t="shared" si="170"/>
        <v/>
      </c>
      <c r="K1049" s="1280" t="str">
        <f t="shared" si="169"/>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68"/>
        <v/>
      </c>
      <c r="J1050" s="1280"/>
      <c r="K1050" s="1280" t="str">
        <f t="shared" si="169"/>
        <v/>
      </c>
      <c r="L1050" s="801" t="s">
        <v>1382</v>
      </c>
      <c r="M1050" s="1295">
        <v>1033</v>
      </c>
      <c r="N1050" s="1280"/>
      <c r="O1050" s="1277"/>
      <c r="P1050" s="1277"/>
      <c r="Q1050" s="1277"/>
      <c r="R1050" s="1280" t="s">
        <v>1130</v>
      </c>
      <c r="S1050" s="1277"/>
      <c r="T1050" s="1280" t="str">
        <f>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68"/>
        <v/>
      </c>
      <c r="J1051" s="1280"/>
      <c r="K1051" s="1280" t="str">
        <f t="shared" si="169"/>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68"/>
        <v/>
      </c>
      <c r="J1052" s="1280" t="str">
        <f t="shared" ref="J1052:J1067" si="174">IF(M1052&lt;&gt;"",IF($Q$1052="Yes",Q$1&amp;M1052,""))</f>
        <v/>
      </c>
      <c r="K1052" s="1280" t="str">
        <f t="shared" si="169"/>
        <v/>
      </c>
      <c r="L1052" s="801" t="s">
        <v>1697</v>
      </c>
      <c r="M1052" s="1295">
        <v>1035</v>
      </c>
      <c r="N1052" s="1280"/>
      <c r="O1052" s="1277">
        <f>'Configurable Tab'!H29</f>
        <v>379</v>
      </c>
      <c r="P1052" s="18" t="str">
        <f>'Configurable Tab'!J29</f>
        <v>No</v>
      </c>
      <c r="Q1052" s="1317" t="s">
        <v>648</v>
      </c>
      <c r="R1052" s="1280" t="s">
        <v>1692</v>
      </c>
      <c r="S1052" s="1277"/>
      <c r="T1052" s="1280" t="str">
        <f t="shared" ref="T1052:T1057" si="175">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68"/>
        <v/>
      </c>
      <c r="J1053" s="1280"/>
      <c r="K1053" s="1280" t="str">
        <f t="shared" si="169"/>
        <v/>
      </c>
      <c r="L1053" s="801" t="s">
        <v>1376</v>
      </c>
      <c r="M1053" s="1295">
        <v>1036</v>
      </c>
      <c r="N1053" s="1280"/>
      <c r="O1053" s="1277" t="s">
        <v>726</v>
      </c>
      <c r="P1053" s="1277"/>
      <c r="Q1053" s="1277"/>
      <c r="R1053" s="1280" t="s">
        <v>1692</v>
      </c>
      <c r="S1053" s="1277"/>
      <c r="T1053" s="1280" t="str">
        <f t="shared" si="175"/>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68"/>
        <v/>
      </c>
      <c r="J1054" s="1280" t="str">
        <f t="shared" si="174"/>
        <v/>
      </c>
      <c r="K1054" s="1280" t="str">
        <f t="shared" si="169"/>
        <v/>
      </c>
      <c r="L1054" s="801" t="s">
        <v>1374</v>
      </c>
      <c r="M1054" s="1295">
        <v>1037</v>
      </c>
      <c r="N1054" s="1280"/>
      <c r="O1054" s="1277">
        <f>'Configurable Tab'!I29</f>
        <v>392</v>
      </c>
      <c r="P1054" s="1277"/>
      <c r="Q1054" s="1277" t="s">
        <v>482</v>
      </c>
      <c r="R1054" s="1280" t="s">
        <v>1692</v>
      </c>
      <c r="S1054" s="1277"/>
      <c r="T1054" s="1280" t="str">
        <f t="shared" si="175"/>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68"/>
        <v/>
      </c>
      <c r="J1055" s="1280" t="str">
        <f t="shared" si="174"/>
        <v/>
      </c>
      <c r="K1055" s="1280" t="str">
        <f t="shared" si="169"/>
        <v/>
      </c>
      <c r="L1055" s="801" t="s">
        <v>1375</v>
      </c>
      <c r="M1055" s="1295">
        <v>1038</v>
      </c>
      <c r="N1055" s="1280"/>
      <c r="O1055" s="1277" t="s">
        <v>1646</v>
      </c>
      <c r="P1055" s="1277"/>
      <c r="Q1055" s="1277"/>
      <c r="R1055" s="1280" t="s">
        <v>1692</v>
      </c>
      <c r="S1055" s="1277"/>
      <c r="T1055" s="1280" t="str">
        <f t="shared" si="175"/>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68"/>
        <v/>
      </c>
      <c r="J1056" s="1280"/>
      <c r="K1056" s="1280" t="str">
        <f t="shared" si="169"/>
        <v/>
      </c>
      <c r="L1056" s="801" t="s">
        <v>1378</v>
      </c>
      <c r="M1056" s="1295">
        <v>1039</v>
      </c>
      <c r="N1056" s="1280"/>
      <c r="O1056" s="1277"/>
      <c r="P1056" s="1277"/>
      <c r="Q1056" s="1277"/>
      <c r="R1056" s="1280" t="s">
        <v>1692</v>
      </c>
      <c r="S1056" s="1277"/>
      <c r="T1056" s="1280" t="str">
        <f t="shared" si="175"/>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68"/>
        <v/>
      </c>
      <c r="J1057" s="1280"/>
      <c r="K1057" s="1280" t="str">
        <f t="shared" si="169"/>
        <v/>
      </c>
      <c r="L1057" s="801" t="s">
        <v>1379</v>
      </c>
      <c r="M1057" s="1295">
        <v>1040</v>
      </c>
      <c r="N1057" s="1280"/>
      <c r="O1057" s="1277"/>
      <c r="P1057" s="1277"/>
      <c r="Q1057" s="1277"/>
      <c r="R1057" s="1280" t="s">
        <v>1692</v>
      </c>
      <c r="S1057" s="1277"/>
      <c r="T1057" s="1280" t="str">
        <f t="shared" si="175"/>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68"/>
        <v/>
      </c>
      <c r="J1058" s="1280" t="str">
        <f t="shared" si="174"/>
        <v/>
      </c>
      <c r="K1058" s="1280" t="str">
        <f t="shared" si="169"/>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68"/>
        <v/>
      </c>
      <c r="J1059" s="1280" t="str">
        <f t="shared" si="174"/>
        <v/>
      </c>
      <c r="K1059" s="1280" t="str">
        <f t="shared" si="169"/>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68"/>
        <v/>
      </c>
      <c r="J1060" s="1280" t="str">
        <f t="shared" si="174"/>
        <v/>
      </c>
      <c r="K1060" s="1280" t="str">
        <f t="shared" si="169"/>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68"/>
        <v/>
      </c>
      <c r="J1061" s="1280" t="str">
        <f t="shared" si="174"/>
        <v/>
      </c>
      <c r="K1061" s="1280" t="str">
        <f t="shared" si="169"/>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68"/>
        <v/>
      </c>
      <c r="J1062" s="1280" t="str">
        <f t="shared" si="174"/>
        <v/>
      </c>
      <c r="K1062" s="1280" t="str">
        <f t="shared" si="169"/>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68"/>
        <v/>
      </c>
      <c r="J1063" s="1280" t="str">
        <f t="shared" si="174"/>
        <v/>
      </c>
      <c r="K1063" s="1280" t="str">
        <f t="shared" si="169"/>
        <v/>
      </c>
      <c r="L1063" s="802" t="s">
        <v>1471</v>
      </c>
      <c r="M1063" s="1295">
        <v>1046</v>
      </c>
      <c r="N1063" s="1280"/>
      <c r="O1063" s="1277"/>
      <c r="P1063" s="1277"/>
      <c r="Q1063" s="1277"/>
      <c r="R1063" s="1280" t="s">
        <v>1692</v>
      </c>
      <c r="S1063" s="1277"/>
      <c r="T1063" s="1280" t="str">
        <f>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68"/>
        <v/>
      </c>
      <c r="J1064" s="1280" t="str">
        <f t="shared" si="174"/>
        <v/>
      </c>
      <c r="K1064" s="1280" t="str">
        <f t="shared" si="169"/>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68"/>
        <v/>
      </c>
      <c r="J1065" s="1280" t="str">
        <f t="shared" si="174"/>
        <v/>
      </c>
      <c r="K1065" s="1280" t="str">
        <f t="shared" si="169"/>
        <v/>
      </c>
      <c r="L1065" s="801" t="s">
        <v>1395</v>
      </c>
      <c r="M1065" s="1295">
        <v>1048</v>
      </c>
      <c r="N1065" s="1280"/>
      <c r="O1065" s="1277"/>
      <c r="P1065" s="1277"/>
      <c r="Q1065" s="1277"/>
      <c r="R1065" s="1280" t="s">
        <v>1692</v>
      </c>
      <c r="S1065" s="1277"/>
      <c r="T1065" s="1280" t="str">
        <f>IF(Q$1052="Yes",27,"")</f>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68"/>
        <v/>
      </c>
      <c r="J1066" s="1280" t="str">
        <f t="shared" si="174"/>
        <v/>
      </c>
      <c r="K1066" s="1280" t="str">
        <f t="shared" si="169"/>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68"/>
        <v/>
      </c>
      <c r="J1067" s="1280" t="str">
        <f t="shared" si="174"/>
        <v/>
      </c>
      <c r="K1067" s="1280" t="str">
        <f t="shared" si="169"/>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68"/>
        <v/>
      </c>
      <c r="J1068" s="1280"/>
      <c r="K1068" s="1280" t="str">
        <f t="shared" si="169"/>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68"/>
        <v/>
      </c>
      <c r="J1069" s="1280" t="str">
        <f t="shared" ref="J1069:J1083" si="176">IF(M1069&lt;&gt;"",IF($Q$1069="Yes",Q$1&amp;M1069,""))</f>
        <v/>
      </c>
      <c r="K1069" s="1280" t="str">
        <f t="shared" si="169"/>
        <v/>
      </c>
      <c r="L1069" s="801" t="s">
        <v>1697</v>
      </c>
      <c r="M1069" s="1295">
        <v>1052</v>
      </c>
      <c r="N1069" s="1280"/>
      <c r="O1069" s="1277">
        <f>'Configurable Tab'!H30</f>
        <v>393</v>
      </c>
      <c r="P1069" s="18" t="str">
        <f>'Configurable Tab'!J30</f>
        <v>No</v>
      </c>
      <c r="Q1069" s="1317" t="s">
        <v>648</v>
      </c>
      <c r="R1069" s="1280" t="s">
        <v>1692</v>
      </c>
      <c r="S1069" s="1277"/>
      <c r="T1069" s="1280" t="str">
        <f t="shared" ref="T1069:T1074" si="177">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68"/>
        <v/>
      </c>
      <c r="J1070" s="1280"/>
      <c r="K1070" s="1280" t="str">
        <f t="shared" si="169"/>
        <v/>
      </c>
      <c r="L1070" s="801" t="s">
        <v>1376</v>
      </c>
      <c r="M1070" s="1295">
        <v>1053</v>
      </c>
      <c r="N1070" s="1280"/>
      <c r="O1070" s="1277" t="s">
        <v>726</v>
      </c>
      <c r="P1070" s="1277"/>
      <c r="Q1070" s="1277"/>
      <c r="R1070" s="1280" t="s">
        <v>1692</v>
      </c>
      <c r="S1070" s="1277"/>
      <c r="T1070" s="1280" t="str">
        <f t="shared" si="177"/>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68"/>
        <v/>
      </c>
      <c r="J1071" s="1280" t="str">
        <f t="shared" si="176"/>
        <v/>
      </c>
      <c r="K1071" s="1280" t="str">
        <f t="shared" si="169"/>
        <v/>
      </c>
      <c r="L1071" s="801" t="s">
        <v>1374</v>
      </c>
      <c r="M1071" s="1295">
        <v>1054</v>
      </c>
      <c r="N1071" s="1280"/>
      <c r="O1071" s="1277">
        <f>'Configurable Tab'!I30</f>
        <v>406</v>
      </c>
      <c r="P1071" s="1277"/>
      <c r="Q1071" s="1277"/>
      <c r="R1071" s="1280" t="s">
        <v>1692</v>
      </c>
      <c r="S1071" s="1277"/>
      <c r="T1071" s="1280" t="str">
        <f t="shared" si="177"/>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68"/>
        <v/>
      </c>
      <c r="J1072" s="1280" t="str">
        <f t="shared" si="176"/>
        <v/>
      </c>
      <c r="K1072" s="1280" t="str">
        <f t="shared" si="169"/>
        <v/>
      </c>
      <c r="L1072" s="801" t="s">
        <v>1375</v>
      </c>
      <c r="M1072" s="1295">
        <v>1055</v>
      </c>
      <c r="N1072" s="1280"/>
      <c r="O1072" s="1277" t="s">
        <v>1647</v>
      </c>
      <c r="P1072" s="1277"/>
      <c r="Q1072" s="1277"/>
      <c r="R1072" s="1280" t="s">
        <v>1692</v>
      </c>
      <c r="S1072" s="1277"/>
      <c r="T1072" s="1280" t="str">
        <f t="shared" si="177"/>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68"/>
        <v/>
      </c>
      <c r="J1073" s="1280"/>
      <c r="K1073" s="1280" t="str">
        <f t="shared" si="169"/>
        <v/>
      </c>
      <c r="L1073" s="801" t="s">
        <v>1378</v>
      </c>
      <c r="M1073" s="1295">
        <v>1056</v>
      </c>
      <c r="N1073" s="1280"/>
      <c r="O1073" s="1277"/>
      <c r="P1073" s="1277"/>
      <c r="Q1073" s="1277"/>
      <c r="R1073" s="1280" t="s">
        <v>1692</v>
      </c>
      <c r="S1073" s="1277"/>
      <c r="T1073" s="1280" t="str">
        <f t="shared" si="177"/>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68"/>
        <v/>
      </c>
      <c r="J1074" s="1280"/>
      <c r="K1074" s="1280" t="str">
        <f t="shared" si="169"/>
        <v/>
      </c>
      <c r="L1074" s="801" t="s">
        <v>1379</v>
      </c>
      <c r="M1074" s="1295">
        <v>1057</v>
      </c>
      <c r="N1074" s="1280"/>
      <c r="O1074" s="1277"/>
      <c r="P1074" s="1277"/>
      <c r="Q1074" s="1277"/>
      <c r="R1074" s="1280" t="s">
        <v>1692</v>
      </c>
      <c r="S1074" s="1277"/>
      <c r="T1074" s="1280" t="str">
        <f t="shared" si="177"/>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68"/>
        <v/>
      </c>
      <c r="J1075" s="1280" t="str">
        <f t="shared" si="176"/>
        <v/>
      </c>
      <c r="K1075" s="1280" t="str">
        <f t="shared" si="169"/>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68"/>
        <v/>
      </c>
      <c r="J1076" s="1280" t="str">
        <f t="shared" si="176"/>
        <v/>
      </c>
      <c r="K1076" s="1280" t="str">
        <f t="shared" si="169"/>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68"/>
        <v/>
      </c>
      <c r="J1077" s="1280" t="str">
        <f t="shared" si="176"/>
        <v/>
      </c>
      <c r="K1077" s="1280" t="str">
        <f t="shared" si="169"/>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68"/>
        <v/>
      </c>
      <c r="J1078" s="1280" t="str">
        <f t="shared" si="176"/>
        <v/>
      </c>
      <c r="K1078" s="1280" t="str">
        <f t="shared" si="169"/>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68"/>
        <v/>
      </c>
      <c r="J1079" s="1280" t="str">
        <f t="shared" si="176"/>
        <v/>
      </c>
      <c r="K1079" s="1280" t="str">
        <f t="shared" si="169"/>
        <v/>
      </c>
      <c r="L1079" s="802" t="s">
        <v>1471</v>
      </c>
      <c r="M1079" s="1295">
        <v>1062</v>
      </c>
      <c r="N1079" s="1280"/>
      <c r="O1079" s="1277"/>
      <c r="P1079" s="1277"/>
      <c r="Q1079" s="1277"/>
      <c r="R1079" s="1280" t="s">
        <v>1692</v>
      </c>
      <c r="S1079" s="1277"/>
      <c r="T1079" s="1280" t="str">
        <f>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68"/>
        <v/>
      </c>
      <c r="J1080" s="1280" t="str">
        <f t="shared" si="176"/>
        <v/>
      </c>
      <c r="K1080" s="1280" t="str">
        <f t="shared" si="169"/>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68"/>
        <v/>
      </c>
      <c r="J1081" s="1280" t="str">
        <f t="shared" si="176"/>
        <v/>
      </c>
      <c r="K1081" s="1280" t="str">
        <f t="shared" si="169"/>
        <v/>
      </c>
      <c r="L1081" s="801" t="s">
        <v>1395</v>
      </c>
      <c r="M1081" s="1295">
        <v>1064</v>
      </c>
      <c r="N1081" s="1280"/>
      <c r="O1081" s="1277"/>
      <c r="P1081" s="1277"/>
      <c r="Q1081" s="1277"/>
      <c r="R1081" s="1280" t="s">
        <v>1692</v>
      </c>
      <c r="S1081" s="1277"/>
      <c r="T1081" s="1280" t="str">
        <f>IF(Q$1069="Yes",28,"")</f>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68"/>
        <v/>
      </c>
      <c r="J1082" s="1280" t="str">
        <f t="shared" si="176"/>
        <v/>
      </c>
      <c r="K1082" s="1280" t="str">
        <f t="shared" si="169"/>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68"/>
        <v/>
      </c>
      <c r="J1083" s="1280" t="str">
        <f t="shared" si="176"/>
        <v/>
      </c>
      <c r="K1083" s="1280" t="str">
        <f t="shared" si="169"/>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68"/>
        <v/>
      </c>
      <c r="J1084" s="1280"/>
      <c r="K1084" s="1280" t="str">
        <f t="shared" si="169"/>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68"/>
        <v/>
      </c>
      <c r="J1085" s="1280" t="str">
        <f t="shared" ref="J1085:J1093" si="178">IF(M1085&lt;&gt;"",IF($Q$1085="Yes",Q$1&amp;M1085,""))</f>
        <v/>
      </c>
      <c r="K1085" s="1280" t="str">
        <f t="shared" si="169"/>
        <v/>
      </c>
      <c r="L1085" s="801" t="s">
        <v>1697</v>
      </c>
      <c r="M1085" s="1295">
        <v>1068</v>
      </c>
      <c r="N1085" s="1280"/>
      <c r="O1085" s="1277">
        <f>'Configurable Tab'!H31</f>
        <v>407</v>
      </c>
      <c r="P1085" s="18" t="str">
        <f>'Configurable Tab'!J31</f>
        <v>No</v>
      </c>
      <c r="Q1085" s="1317" t="s">
        <v>648</v>
      </c>
      <c r="R1085" s="1280" t="s">
        <v>1094</v>
      </c>
      <c r="S1085" s="1277"/>
      <c r="T1085" s="1280" t="str">
        <f t="shared" ref="T1085:T1090" si="17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68"/>
        <v/>
      </c>
      <c r="J1086" s="1280"/>
      <c r="K1086" s="1280" t="str">
        <f t="shared" si="169"/>
        <v/>
      </c>
      <c r="L1086" s="801" t="s">
        <v>1376</v>
      </c>
      <c r="M1086" s="1295">
        <v>1069</v>
      </c>
      <c r="N1086" s="1280"/>
      <c r="O1086" s="1277" t="s">
        <v>726</v>
      </c>
      <c r="P1086" s="1277"/>
      <c r="Q1086" s="1277"/>
      <c r="R1086" s="1280" t="s">
        <v>1094</v>
      </c>
      <c r="S1086" s="1277"/>
      <c r="T1086" s="1280" t="str">
        <f t="shared" si="17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68"/>
        <v/>
      </c>
      <c r="J1087" s="1280" t="str">
        <f t="shared" si="178"/>
        <v/>
      </c>
      <c r="K1087" s="1280" t="str">
        <f t="shared" si="169"/>
        <v/>
      </c>
      <c r="L1087" s="801" t="s">
        <v>1374</v>
      </c>
      <c r="M1087" s="1295">
        <v>1070</v>
      </c>
      <c r="N1087" s="1280"/>
      <c r="O1087" s="1277">
        <f>'Configurable Tab'!I31</f>
        <v>420</v>
      </c>
      <c r="P1087" s="1277"/>
      <c r="Q1087" s="1277"/>
      <c r="R1087" s="1280" t="s">
        <v>1094</v>
      </c>
      <c r="S1087" s="1277"/>
      <c r="T1087" s="1280" t="str">
        <f t="shared" si="17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68"/>
        <v/>
      </c>
      <c r="J1088" s="1280" t="str">
        <f t="shared" si="178"/>
        <v/>
      </c>
      <c r="K1088" s="1280" t="str">
        <f t="shared" si="169"/>
        <v/>
      </c>
      <c r="L1088" s="801" t="s">
        <v>1375</v>
      </c>
      <c r="M1088" s="1295">
        <v>1071</v>
      </c>
      <c r="N1088" s="1280"/>
      <c r="O1088" s="1277" t="s">
        <v>1648</v>
      </c>
      <c r="P1088" s="1277"/>
      <c r="Q1088" s="1277"/>
      <c r="R1088" s="1280" t="s">
        <v>1094</v>
      </c>
      <c r="S1088" s="1277"/>
      <c r="T1088" s="1280" t="str">
        <f t="shared" si="17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68"/>
        <v/>
      </c>
      <c r="J1089" s="1280"/>
      <c r="K1089" s="1280" t="str">
        <f t="shared" si="169"/>
        <v/>
      </c>
      <c r="L1089" s="801" t="s">
        <v>1378</v>
      </c>
      <c r="M1089" s="1295">
        <v>1072</v>
      </c>
      <c r="N1089" s="1280"/>
      <c r="O1089" s="1277"/>
      <c r="P1089" s="1277"/>
      <c r="Q1089" s="1277"/>
      <c r="R1089" s="1280" t="s">
        <v>1094</v>
      </c>
      <c r="S1089" s="1277"/>
      <c r="T1089" s="1280" t="str">
        <f t="shared" si="17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68"/>
        <v/>
      </c>
      <c r="J1090" s="1280"/>
      <c r="K1090" s="1280" t="str">
        <f t="shared" si="169"/>
        <v/>
      </c>
      <c r="L1090" s="801" t="s">
        <v>1379</v>
      </c>
      <c r="M1090" s="1295">
        <v>1073</v>
      </c>
      <c r="N1090" s="1280"/>
      <c r="O1090" s="1277"/>
      <c r="P1090" s="1277"/>
      <c r="Q1090" s="1277"/>
      <c r="R1090" s="1280" t="s">
        <v>1094</v>
      </c>
      <c r="S1090" s="1277"/>
      <c r="T1090" s="1280" t="str">
        <f t="shared" si="17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68"/>
        <v/>
      </c>
      <c r="J1091" s="1280" t="str">
        <f t="shared" si="178"/>
        <v/>
      </c>
      <c r="K1091" s="1280" t="str">
        <f t="shared" si="169"/>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80">IF(J1092&lt;&gt;"",A1092,"")</f>
        <v/>
      </c>
      <c r="J1092" s="1280" t="str">
        <f t="shared" si="178"/>
        <v/>
      </c>
      <c r="K1092" s="1280" t="str">
        <f t="shared" ref="K1092:K1155" si="18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80"/>
        <v/>
      </c>
      <c r="J1093" s="1280" t="str">
        <f t="shared" si="178"/>
        <v/>
      </c>
      <c r="K1093" s="1280" t="str">
        <f t="shared" si="18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80"/>
        <v/>
      </c>
      <c r="J1094" s="1280"/>
      <c r="K1094" s="1280" t="str">
        <f t="shared" si="18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80"/>
        <v/>
      </c>
      <c r="J1095" s="1280" t="str">
        <f>IF(M1095&lt;&gt;"",IF($Q$1095="Yes",Q$1&amp;M1095,""))</f>
        <v/>
      </c>
      <c r="K1095" s="1280" t="str">
        <f t="shared" si="181"/>
        <v/>
      </c>
      <c r="L1095" s="801" t="s">
        <v>1697</v>
      </c>
      <c r="M1095" s="1295">
        <v>1078</v>
      </c>
      <c r="N1095" s="1280"/>
      <c r="O1095" s="1277">
        <f>'Configurable Tab'!H32</f>
        <v>421</v>
      </c>
      <c r="P1095" s="18" t="str">
        <f>'Configurable Tab'!J32</f>
        <v>No</v>
      </c>
      <c r="Q1095" s="1317" t="s">
        <v>648</v>
      </c>
      <c r="R1095" s="1280" t="s">
        <v>1094</v>
      </c>
      <c r="S1095" s="1277"/>
      <c r="T1095" s="1280" t="str">
        <f t="shared" ref="T1095:T1100" si="18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80"/>
        <v/>
      </c>
      <c r="J1096" s="1280"/>
      <c r="K1096" s="1280" t="str">
        <f t="shared" si="181"/>
        <v/>
      </c>
      <c r="L1096" s="801" t="s">
        <v>1376</v>
      </c>
      <c r="M1096" s="1295">
        <v>1079</v>
      </c>
      <c r="N1096" s="1280"/>
      <c r="O1096" s="1277" t="s">
        <v>726</v>
      </c>
      <c r="P1096" s="1277"/>
      <c r="Q1096" s="1277"/>
      <c r="R1096" s="1280" t="s">
        <v>1094</v>
      </c>
      <c r="S1096" s="1277"/>
      <c r="T1096" s="1280" t="str">
        <f t="shared" si="18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80"/>
        <v/>
      </c>
      <c r="J1097" s="1319" t="str">
        <f>IF(M1097&lt;&gt;"",IF($Q$1095="Yes",Q$1&amp;M1097,""))</f>
        <v/>
      </c>
      <c r="K1097" s="1280" t="str">
        <f t="shared" si="181"/>
        <v/>
      </c>
      <c r="L1097" s="801" t="s">
        <v>1374</v>
      </c>
      <c r="M1097" s="1295">
        <v>1080</v>
      </c>
      <c r="N1097" s="1280"/>
      <c r="O1097" s="1277">
        <f>'Configurable Tab'!I32</f>
        <v>434</v>
      </c>
      <c r="P1097" s="1277"/>
      <c r="Q1097" s="1277"/>
      <c r="R1097" s="1280" t="s">
        <v>1094</v>
      </c>
      <c r="S1097" s="1277"/>
      <c r="T1097" s="1280" t="str">
        <f t="shared" si="18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80"/>
        <v/>
      </c>
      <c r="J1098" s="1319" t="str">
        <f>IF(M1098&lt;&gt;"",IF($Q$1095="Yes",Q$1&amp;M1098,""))</f>
        <v/>
      </c>
      <c r="K1098" s="1280" t="str">
        <f t="shared" si="181"/>
        <v/>
      </c>
      <c r="L1098" s="801" t="s">
        <v>1375</v>
      </c>
      <c r="M1098" s="1295">
        <v>1081</v>
      </c>
      <c r="N1098" s="1280"/>
      <c r="O1098" s="1277" t="s">
        <v>1649</v>
      </c>
      <c r="P1098" s="1277"/>
      <c r="Q1098" s="1277"/>
      <c r="R1098" s="1280" t="s">
        <v>1094</v>
      </c>
      <c r="S1098" s="1277"/>
      <c r="T1098" s="1280" t="str">
        <f t="shared" si="18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80"/>
        <v/>
      </c>
      <c r="J1099" s="1280"/>
      <c r="K1099" s="1280" t="str">
        <f t="shared" si="181"/>
        <v/>
      </c>
      <c r="L1099" s="801" t="s">
        <v>1378</v>
      </c>
      <c r="M1099" s="1295">
        <v>1082</v>
      </c>
      <c r="N1099" s="1280"/>
      <c r="O1099" s="1277"/>
      <c r="P1099" s="1277"/>
      <c r="Q1099" s="1277"/>
      <c r="R1099" s="1280" t="s">
        <v>1094</v>
      </c>
      <c r="S1099" s="1277"/>
      <c r="T1099" s="1280" t="str">
        <f t="shared" si="18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80"/>
        <v/>
      </c>
      <c r="J1100" s="1280"/>
      <c r="K1100" s="1280" t="str">
        <f t="shared" si="181"/>
        <v/>
      </c>
      <c r="L1100" s="801" t="s">
        <v>1379</v>
      </c>
      <c r="M1100" s="1295">
        <v>1083</v>
      </c>
      <c r="N1100" s="1280"/>
      <c r="O1100" s="1277"/>
      <c r="P1100" s="1277"/>
      <c r="Q1100" s="1277"/>
      <c r="R1100" s="1280" t="s">
        <v>1094</v>
      </c>
      <c r="S1100" s="1277"/>
      <c r="T1100" s="1280" t="str">
        <f t="shared" si="18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80"/>
        <v/>
      </c>
      <c r="J1101" s="1319" t="str">
        <f>IF(M1101&lt;&gt;"",IF($Q$1095="Yes",Q$1&amp;M1101,""))</f>
        <v/>
      </c>
      <c r="K1101" s="1280" t="str">
        <f t="shared" si="18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80"/>
        <v/>
      </c>
      <c r="J1102" s="1319" t="str">
        <f>IF(M1102&lt;&gt;"",IF($Q$1095="Yes",Q$1&amp;M1102,""))</f>
        <v/>
      </c>
      <c r="K1102" s="1280" t="str">
        <f t="shared" si="18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80"/>
        <v/>
      </c>
      <c r="J1103" s="1319" t="str">
        <f>IF(M1103&lt;&gt;"",IF($Q$1095="Yes",Q$1&amp;M1103,""))</f>
        <v/>
      </c>
      <c r="K1103" s="1280" t="str">
        <f t="shared" si="18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80"/>
        <v/>
      </c>
      <c r="J1104" s="1280"/>
      <c r="K1104" s="1280" t="str">
        <f t="shared" si="18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80"/>
        <v/>
      </c>
      <c r="J1105" s="1280" t="str">
        <f t="shared" ref="J1105:J1132" si="183">IF(M1105&lt;&gt;"",IF($Q$1105="Yes",Q$1&amp;M1105,""))</f>
        <v/>
      </c>
      <c r="K1105" s="1280" t="str">
        <f t="shared" si="181"/>
        <v/>
      </c>
      <c r="L1105" s="801" t="s">
        <v>1697</v>
      </c>
      <c r="M1105" s="1295">
        <v>1088</v>
      </c>
      <c r="N1105" s="1280"/>
      <c r="O1105" s="1277">
        <f>'Configurable Tab'!H33</f>
        <v>435</v>
      </c>
      <c r="P1105" s="18" t="str">
        <f>'Configurable Tab'!J33</f>
        <v>No</v>
      </c>
      <c r="Q1105" s="1317" t="s">
        <v>648</v>
      </c>
      <c r="R1105" s="1280" t="s">
        <v>1094</v>
      </c>
      <c r="S1105" s="1277"/>
      <c r="T1105" s="1280" t="str">
        <f t="shared" ref="T1105:T1111" si="18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80"/>
        <v/>
      </c>
      <c r="J1106" s="1280"/>
      <c r="K1106" s="1280" t="str">
        <f t="shared" si="181"/>
        <v/>
      </c>
      <c r="L1106" s="801" t="s">
        <v>1376</v>
      </c>
      <c r="M1106" s="1295">
        <v>1089</v>
      </c>
      <c r="N1106" s="1280"/>
      <c r="O1106" s="1277" t="s">
        <v>726</v>
      </c>
      <c r="P1106" s="1277"/>
      <c r="Q1106" s="1277"/>
      <c r="R1106" s="1280" t="s">
        <v>1094</v>
      </c>
      <c r="S1106" s="1277"/>
      <c r="T1106" s="1280" t="str">
        <f t="shared" si="18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80"/>
        <v/>
      </c>
      <c r="J1107" s="1280" t="str">
        <f t="shared" si="183"/>
        <v/>
      </c>
      <c r="K1107" s="1280" t="str">
        <f t="shared" si="181"/>
        <v/>
      </c>
      <c r="L1107" s="801" t="s">
        <v>1373</v>
      </c>
      <c r="M1107" s="1295">
        <v>1090</v>
      </c>
      <c r="N1107" s="1280"/>
      <c r="O1107" s="1277">
        <f>'Configurable Tab'!I33</f>
        <v>448</v>
      </c>
      <c r="P1107" s="1277"/>
      <c r="Q1107" s="1277"/>
      <c r="R1107" s="1280" t="s">
        <v>1094</v>
      </c>
      <c r="S1107" s="1277"/>
      <c r="T1107" s="1280" t="str">
        <f t="shared" si="18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80"/>
        <v/>
      </c>
      <c r="J1108" s="1280" t="str">
        <f t="shared" si="183"/>
        <v/>
      </c>
      <c r="K1108" s="1280" t="str">
        <f t="shared" si="181"/>
        <v/>
      </c>
      <c r="L1108" s="801" t="s">
        <v>1374</v>
      </c>
      <c r="M1108" s="1295">
        <v>1091</v>
      </c>
      <c r="N1108" s="1280"/>
      <c r="O1108" s="1277" t="s">
        <v>1650</v>
      </c>
      <c r="P1108" s="1277"/>
      <c r="Q1108" s="1277" t="s">
        <v>482</v>
      </c>
      <c r="R1108" s="1280" t="s">
        <v>1094</v>
      </c>
      <c r="S1108" s="1277"/>
      <c r="T1108" s="1280" t="str">
        <f t="shared" si="18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80"/>
        <v/>
      </c>
      <c r="J1109" s="1280" t="str">
        <f t="shared" si="183"/>
        <v/>
      </c>
      <c r="K1109" s="1280" t="str">
        <f t="shared" si="181"/>
        <v/>
      </c>
      <c r="L1109" s="801" t="s">
        <v>1375</v>
      </c>
      <c r="M1109" s="1295">
        <v>1092</v>
      </c>
      <c r="N1109" s="1280"/>
      <c r="O1109" s="1277"/>
      <c r="P1109" s="1277"/>
      <c r="Q1109" s="1277"/>
      <c r="R1109" s="1280" t="s">
        <v>1094</v>
      </c>
      <c r="S1109" s="1277"/>
      <c r="T1109" s="1280" t="str">
        <f t="shared" si="18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80"/>
        <v/>
      </c>
      <c r="J1110" s="1280" t="str">
        <f t="shared" si="183"/>
        <v/>
      </c>
      <c r="K1110" s="1280" t="str">
        <f t="shared" si="181"/>
        <v/>
      </c>
      <c r="L1110" s="801" t="s">
        <v>1479</v>
      </c>
      <c r="M1110" s="1295">
        <v>1093</v>
      </c>
      <c r="N1110" s="1280"/>
      <c r="O1110" s="1277"/>
      <c r="P1110" s="1277"/>
      <c r="Q1110" s="1277"/>
      <c r="R1110" s="1280" t="s">
        <v>1094</v>
      </c>
      <c r="S1110" s="1277"/>
      <c r="T1110" s="1280" t="str">
        <f t="shared" si="18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80"/>
        <v/>
      </c>
      <c r="J1111" s="1280" t="str">
        <f t="shared" si="183"/>
        <v/>
      </c>
      <c r="K1111" s="1280" t="str">
        <f t="shared" si="181"/>
        <v/>
      </c>
      <c r="L1111" s="801" t="s">
        <v>1480</v>
      </c>
      <c r="M1111" s="1295">
        <v>1094</v>
      </c>
      <c r="N1111" s="1280"/>
      <c r="O1111" s="1277"/>
      <c r="P1111" s="1277"/>
      <c r="Q1111" s="1277"/>
      <c r="R1111" s="1280" t="s">
        <v>1094</v>
      </c>
      <c r="S1111" s="1277"/>
      <c r="T1111" s="1351" t="str">
        <f t="shared" si="18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80"/>
        <v/>
      </c>
      <c r="J1112" s="1280"/>
      <c r="K1112" s="1280" t="str">
        <f t="shared" si="181"/>
        <v/>
      </c>
      <c r="L1112" s="801" t="s">
        <v>1378</v>
      </c>
      <c r="M1112" s="1295">
        <v>1095</v>
      </c>
      <c r="N1112" s="1280"/>
      <c r="O1112" s="1277"/>
      <c r="P1112" s="1277"/>
      <c r="Q1112" s="1277"/>
      <c r="R1112" s="1280" t="s">
        <v>1094</v>
      </c>
      <c r="S1112" s="1277"/>
      <c r="T1112" s="1280" t="str">
        <f t="shared" ref="T1112:T1117" si="18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80"/>
        <v/>
      </c>
      <c r="J1113" s="1280"/>
      <c r="K1113" s="1280" t="str">
        <f t="shared" si="181"/>
        <v/>
      </c>
      <c r="L1113" s="801" t="s">
        <v>1379</v>
      </c>
      <c r="M1113" s="1295">
        <v>1096</v>
      </c>
      <c r="N1113" s="1280"/>
      <c r="O1113" s="1277"/>
      <c r="P1113" s="1277"/>
      <c r="Q1113" s="1277"/>
      <c r="R1113" s="1280" t="s">
        <v>1094</v>
      </c>
      <c r="S1113" s="1277"/>
      <c r="T1113" s="1280" t="str">
        <f t="shared" si="18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80"/>
        <v/>
      </c>
      <c r="J1114" s="1280" t="str">
        <f t="shared" si="183"/>
        <v/>
      </c>
      <c r="K1114" s="1280" t="str">
        <f t="shared" si="18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 t="shared" si="185"/>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80"/>
        <v/>
      </c>
      <c r="J1115" s="1280" t="str">
        <f t="shared" si="183"/>
        <v/>
      </c>
      <c r="K1115" s="1280" t="str">
        <f t="shared" si="181"/>
        <v/>
      </c>
      <c r="L1115" s="801" t="s">
        <v>1484</v>
      </c>
      <c r="M1115" s="1295">
        <v>1098</v>
      </c>
      <c r="N1115" s="1280"/>
      <c r="O1115" s="1277"/>
      <c r="P1115" s="1277"/>
      <c r="Q1115" s="1277"/>
      <c r="R1115" s="1280" t="s">
        <v>1094</v>
      </c>
      <c r="S1115" s="1277"/>
      <c r="T1115" s="1280" t="str">
        <f t="shared" si="185"/>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80"/>
        <v/>
      </c>
      <c r="J1116" s="1280"/>
      <c r="K1116" s="1280" t="str">
        <f t="shared" si="181"/>
        <v/>
      </c>
      <c r="L1116" s="801" t="s">
        <v>1382</v>
      </c>
      <c r="M1116" s="1295">
        <v>1099</v>
      </c>
      <c r="N1116" s="1280"/>
      <c r="O1116" s="1277"/>
      <c r="P1116" s="1277"/>
      <c r="Q1116" s="1277"/>
      <c r="R1116" s="1280" t="s">
        <v>1094</v>
      </c>
      <c r="S1116" s="1277"/>
      <c r="T1116" s="1280" t="str">
        <f t="shared" si="185"/>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80"/>
        <v/>
      </c>
      <c r="J1117" s="1280" t="str">
        <f t="shared" si="183"/>
        <v/>
      </c>
      <c r="K1117" s="1280" t="str">
        <f t="shared" si="181"/>
        <v/>
      </c>
      <c r="L1117" s="801" t="s">
        <v>1389</v>
      </c>
      <c r="M1117" s="1295">
        <v>1100</v>
      </c>
      <c r="N1117" s="1280"/>
      <c r="O1117" s="1277"/>
      <c r="P1117" s="1277"/>
      <c r="Q1117" s="1277"/>
      <c r="R1117" s="1280" t="s">
        <v>1094</v>
      </c>
      <c r="S1117" s="1277"/>
      <c r="T1117" s="1319" t="str">
        <f t="shared" si="185"/>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86">IFERROR(SUBSTITUTE(ADDRESS(1,MATCH(A1118,INDIRECT("'"&amp;E1118&amp;"'"&amp;"!A" &amp; $O$1105 + 5 &amp; ":Z" &amp; $O$1105 + 5),0),4),1,""),"")</f>
        <v>J</v>
      </c>
      <c r="D1118" s="801" t="s">
        <v>1350</v>
      </c>
      <c r="E1118" s="801" t="s">
        <v>1508</v>
      </c>
      <c r="F1118" s="1052"/>
      <c r="G1118" s="801"/>
      <c r="H1118" s="801"/>
      <c r="I1118" s="1241" t="str">
        <f t="shared" si="180"/>
        <v/>
      </c>
      <c r="J1118" s="1280" t="str">
        <f t="shared" si="183"/>
        <v/>
      </c>
      <c r="K1118" s="1280" t="str">
        <f t="shared" si="18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86"/>
        <v>L</v>
      </c>
      <c r="D1119" s="801" t="s">
        <v>1350</v>
      </c>
      <c r="E1119" s="801" t="s">
        <v>1508</v>
      </c>
      <c r="F1119" s="1052"/>
      <c r="G1119" s="801"/>
      <c r="H1119" s="801"/>
      <c r="I1119" s="1241" t="str">
        <f t="shared" si="180"/>
        <v/>
      </c>
      <c r="J1119" s="1280" t="str">
        <f t="shared" si="183"/>
        <v/>
      </c>
      <c r="K1119" s="1280" t="str">
        <f t="shared" si="18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86"/>
        <v>N</v>
      </c>
      <c r="D1120" s="801" t="s">
        <v>1350</v>
      </c>
      <c r="E1120" s="801" t="s">
        <v>1508</v>
      </c>
      <c r="F1120" s="1052"/>
      <c r="G1120" s="801"/>
      <c r="H1120" s="801"/>
      <c r="I1120" s="1241" t="str">
        <f t="shared" si="180"/>
        <v/>
      </c>
      <c r="J1120" s="1280" t="str">
        <f t="shared" si="183"/>
        <v/>
      </c>
      <c r="K1120" s="1280" t="str">
        <f t="shared" si="18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86"/>
        <v>J</v>
      </c>
      <c r="D1121" s="801" t="s">
        <v>1350</v>
      </c>
      <c r="E1121" s="801" t="s">
        <v>1508</v>
      </c>
      <c r="F1121" s="801"/>
      <c r="G1121" s="801"/>
      <c r="H1121" s="801"/>
      <c r="I1121" s="1241" t="str">
        <f t="shared" si="180"/>
        <v/>
      </c>
      <c r="J1121" s="1280" t="str">
        <f t="shared" si="183"/>
        <v/>
      </c>
      <c r="K1121" s="1280" t="str">
        <f t="shared" si="18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86"/>
        <v>L</v>
      </c>
      <c r="D1122" s="801" t="s">
        <v>1350</v>
      </c>
      <c r="E1122" s="801" t="s">
        <v>1508</v>
      </c>
      <c r="F1122" s="801"/>
      <c r="G1122" s="801"/>
      <c r="H1122" s="801"/>
      <c r="I1122" s="1241" t="str">
        <f t="shared" si="180"/>
        <v/>
      </c>
      <c r="J1122" s="1280" t="str">
        <f t="shared" si="183"/>
        <v/>
      </c>
      <c r="K1122" s="1280" t="str">
        <f t="shared" si="18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86"/>
        <v>N</v>
      </c>
      <c r="D1123" s="801" t="s">
        <v>1350</v>
      </c>
      <c r="E1123" s="801" t="s">
        <v>1508</v>
      </c>
      <c r="F1123" s="801"/>
      <c r="G1123" s="801"/>
      <c r="H1123" s="801"/>
      <c r="I1123" s="1241" t="str">
        <f t="shared" si="180"/>
        <v/>
      </c>
      <c r="J1123" s="1280" t="str">
        <f t="shared" si="183"/>
        <v/>
      </c>
      <c r="K1123" s="1280" t="str">
        <f t="shared" si="18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86"/>
        <v>J</v>
      </c>
      <c r="D1124" s="801" t="s">
        <v>1350</v>
      </c>
      <c r="E1124" s="801" t="s">
        <v>1508</v>
      </c>
      <c r="F1124" s="801"/>
      <c r="G1124" s="801"/>
      <c r="H1124" s="801"/>
      <c r="I1124" s="1241" t="str">
        <f t="shared" si="180"/>
        <v/>
      </c>
      <c r="J1124" s="1280" t="str">
        <f t="shared" si="183"/>
        <v/>
      </c>
      <c r="K1124" s="1280" t="str">
        <f t="shared" si="18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86"/>
        <v>L</v>
      </c>
      <c r="D1125" s="801" t="s">
        <v>1350</v>
      </c>
      <c r="E1125" s="801" t="s">
        <v>1508</v>
      </c>
      <c r="F1125" s="801"/>
      <c r="G1125" s="801"/>
      <c r="H1125" s="801"/>
      <c r="I1125" s="1241" t="str">
        <f t="shared" si="180"/>
        <v/>
      </c>
      <c r="J1125" s="1280" t="str">
        <f t="shared" si="183"/>
        <v/>
      </c>
      <c r="K1125" s="1280" t="str">
        <f t="shared" si="18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86"/>
        <v>N</v>
      </c>
      <c r="D1126" s="801" t="s">
        <v>1350</v>
      </c>
      <c r="E1126" s="801" t="s">
        <v>1508</v>
      </c>
      <c r="F1126" s="801"/>
      <c r="G1126" s="801"/>
      <c r="H1126" s="801"/>
      <c r="I1126" s="1241" t="str">
        <f t="shared" si="180"/>
        <v/>
      </c>
      <c r="J1126" s="1280" t="str">
        <f t="shared" si="183"/>
        <v/>
      </c>
      <c r="K1126" s="1280" t="str">
        <f t="shared" si="18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86"/>
        <v>J</v>
      </c>
      <c r="D1127" s="801" t="s">
        <v>1350</v>
      </c>
      <c r="E1127" s="801" t="s">
        <v>1508</v>
      </c>
      <c r="F1127" s="801"/>
      <c r="G1127" s="801"/>
      <c r="H1127" s="801"/>
      <c r="I1127" s="1241" t="str">
        <f t="shared" si="180"/>
        <v/>
      </c>
      <c r="J1127" s="1280" t="str">
        <f t="shared" si="183"/>
        <v/>
      </c>
      <c r="K1127" s="1280" t="str">
        <f t="shared" si="18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86"/>
        <v>L</v>
      </c>
      <c r="D1128" s="801" t="s">
        <v>1350</v>
      </c>
      <c r="E1128" s="801" t="s">
        <v>1508</v>
      </c>
      <c r="F1128" s="801"/>
      <c r="G1128" s="801"/>
      <c r="H1128" s="801"/>
      <c r="I1128" s="1241" t="str">
        <f t="shared" si="180"/>
        <v/>
      </c>
      <c r="J1128" s="1280" t="str">
        <f t="shared" si="183"/>
        <v/>
      </c>
      <c r="K1128" s="1280" t="str">
        <f t="shared" si="18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86"/>
        <v>N</v>
      </c>
      <c r="D1129" s="801" t="s">
        <v>1350</v>
      </c>
      <c r="E1129" s="801" t="s">
        <v>1508</v>
      </c>
      <c r="F1129" s="801"/>
      <c r="G1129" s="801"/>
      <c r="H1129" s="801"/>
      <c r="I1129" s="1241" t="str">
        <f t="shared" si="180"/>
        <v/>
      </c>
      <c r="J1129" s="1280" t="str">
        <f t="shared" si="183"/>
        <v/>
      </c>
      <c r="K1129" s="1280" t="str">
        <f t="shared" si="18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86"/>
        <v>J</v>
      </c>
      <c r="D1130" s="801" t="s">
        <v>1350</v>
      </c>
      <c r="E1130" s="801" t="s">
        <v>1508</v>
      </c>
      <c r="F1130" s="801"/>
      <c r="G1130" s="801"/>
      <c r="H1130" s="801"/>
      <c r="I1130" s="1241" t="str">
        <f t="shared" si="180"/>
        <v/>
      </c>
      <c r="J1130" s="1280" t="str">
        <f t="shared" si="183"/>
        <v/>
      </c>
      <c r="K1130" s="1280" t="str">
        <f t="shared" si="18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86"/>
        <v>L</v>
      </c>
      <c r="D1131" s="801" t="s">
        <v>1350</v>
      </c>
      <c r="E1131" s="801" t="s">
        <v>1508</v>
      </c>
      <c r="F1131" s="801"/>
      <c r="G1131" s="801"/>
      <c r="H1131" s="801"/>
      <c r="I1131" s="1241" t="str">
        <f t="shared" si="180"/>
        <v/>
      </c>
      <c r="J1131" s="1280" t="str">
        <f t="shared" si="183"/>
        <v/>
      </c>
      <c r="K1131" s="1280" t="str">
        <f t="shared" si="18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86"/>
        <v>N</v>
      </c>
      <c r="D1132" s="801" t="s">
        <v>1350</v>
      </c>
      <c r="E1132" s="801" t="s">
        <v>1508</v>
      </c>
      <c r="F1132" s="801"/>
      <c r="G1132" s="801"/>
      <c r="H1132" s="801"/>
      <c r="I1132" s="1241" t="str">
        <f t="shared" si="180"/>
        <v/>
      </c>
      <c r="J1132" s="1280" t="str">
        <f t="shared" si="183"/>
        <v/>
      </c>
      <c r="K1132" s="1280" t="str">
        <f t="shared" si="18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80"/>
        <v/>
      </c>
      <c r="J1133" s="1280"/>
      <c r="K1133" s="1280" t="str">
        <f t="shared" si="18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80"/>
        <v/>
      </c>
      <c r="J1134" s="1280" t="str">
        <f t="shared" ref="J1134:J1161" si="187">IF(M1134&lt;&gt;"",IF($Q$1134="Yes",Q$1&amp;M1134,""))</f>
        <v/>
      </c>
      <c r="K1134" s="1280" t="str">
        <f t="shared" si="181"/>
        <v/>
      </c>
      <c r="L1134" s="801" t="s">
        <v>1697</v>
      </c>
      <c r="M1134" s="1295">
        <v>1117</v>
      </c>
      <c r="N1134" s="1280"/>
      <c r="O1134" s="1277">
        <f>'Configurable Tab'!H34</f>
        <v>449</v>
      </c>
      <c r="P1134" s="18" t="str">
        <f>'Configurable Tab'!J34</f>
        <v>No</v>
      </c>
      <c r="Q1134" s="1317" t="s">
        <v>648</v>
      </c>
      <c r="R1134" s="1280" t="s">
        <v>1094</v>
      </c>
      <c r="S1134" s="1277"/>
      <c r="T1134" s="1280" t="str">
        <f t="shared" ref="T1134:T1139" si="188">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80"/>
        <v/>
      </c>
      <c r="J1135" s="1280"/>
      <c r="K1135" s="1280" t="str">
        <f t="shared" si="181"/>
        <v/>
      </c>
      <c r="L1135" s="801" t="s">
        <v>1376</v>
      </c>
      <c r="M1135" s="1295">
        <v>1118</v>
      </c>
      <c r="N1135" s="1280"/>
      <c r="O1135" s="1277" t="s">
        <v>726</v>
      </c>
      <c r="P1135" s="1277"/>
      <c r="Q1135" s="1277"/>
      <c r="R1135" s="1280" t="s">
        <v>1094</v>
      </c>
      <c r="S1135" s="1277"/>
      <c r="T1135" s="1280" t="str">
        <f t="shared" si="188"/>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80"/>
        <v/>
      </c>
      <c r="J1136" s="1280" t="str">
        <f t="shared" si="187"/>
        <v/>
      </c>
      <c r="K1136" s="1280" t="str">
        <f t="shared" si="181"/>
        <v/>
      </c>
      <c r="L1136" s="801" t="s">
        <v>1373</v>
      </c>
      <c r="M1136" s="1295">
        <v>1119</v>
      </c>
      <c r="N1136" s="1280"/>
      <c r="O1136" s="1277">
        <f>'Configurable Tab'!I34</f>
        <v>462</v>
      </c>
      <c r="P1136" s="1277"/>
      <c r="Q1136" s="1277"/>
      <c r="R1136" s="1280" t="s">
        <v>1094</v>
      </c>
      <c r="S1136" s="1277"/>
      <c r="T1136" s="1280" t="str">
        <f t="shared" si="188"/>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80"/>
        <v/>
      </c>
      <c r="J1137" s="1280" t="str">
        <f t="shared" si="187"/>
        <v/>
      </c>
      <c r="K1137" s="1280" t="str">
        <f t="shared" si="181"/>
        <v/>
      </c>
      <c r="L1137" s="801" t="s">
        <v>1374</v>
      </c>
      <c r="M1137" s="1295">
        <v>1120</v>
      </c>
      <c r="N1137" s="1280"/>
      <c r="O1137" s="1277" t="s">
        <v>1651</v>
      </c>
      <c r="P1137" s="1277"/>
      <c r="Q1137" s="1277"/>
      <c r="R1137" s="1280" t="s">
        <v>1094</v>
      </c>
      <c r="S1137" s="1277"/>
      <c r="T1137" s="1280" t="str">
        <f t="shared" si="188"/>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80"/>
        <v/>
      </c>
      <c r="J1138" s="1280" t="str">
        <f t="shared" si="187"/>
        <v/>
      </c>
      <c r="K1138" s="1280" t="str">
        <f t="shared" si="181"/>
        <v/>
      </c>
      <c r="L1138" s="801" t="s">
        <v>1375</v>
      </c>
      <c r="M1138" s="1295">
        <v>1121</v>
      </c>
      <c r="N1138" s="1280"/>
      <c r="O1138" s="1277"/>
      <c r="P1138" s="1277"/>
      <c r="Q1138" s="1277"/>
      <c r="R1138" s="1280" t="s">
        <v>1094</v>
      </c>
      <c r="S1138" s="1277"/>
      <c r="T1138" s="1280" t="str">
        <f t="shared" si="188"/>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80"/>
        <v/>
      </c>
      <c r="J1139" s="1280" t="str">
        <f t="shared" si="187"/>
        <v/>
      </c>
      <c r="K1139" s="1280" t="str">
        <f t="shared" si="181"/>
        <v/>
      </c>
      <c r="L1139" s="801" t="s">
        <v>1479</v>
      </c>
      <c r="M1139" s="1295">
        <v>1122</v>
      </c>
      <c r="N1139" s="1280"/>
      <c r="O1139" s="1277"/>
      <c r="P1139" s="1277"/>
      <c r="Q1139" s="1277"/>
      <c r="R1139" s="1280" t="s">
        <v>1094</v>
      </c>
      <c r="S1139" s="1277"/>
      <c r="T1139" s="1280" t="str">
        <f t="shared" si="188"/>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80"/>
        <v/>
      </c>
      <c r="J1140" s="1280" t="str">
        <f t="shared" si="187"/>
        <v/>
      </c>
      <c r="K1140" s="1280" t="str">
        <f t="shared" si="18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80"/>
        <v/>
      </c>
      <c r="J1141" s="1280"/>
      <c r="K1141" s="1280" t="str">
        <f t="shared" si="181"/>
        <v/>
      </c>
      <c r="L1141" s="801" t="s">
        <v>1378</v>
      </c>
      <c r="M1141" s="1295">
        <v>1124</v>
      </c>
      <c r="N1141" s="1280"/>
      <c r="O1141" s="1277"/>
      <c r="P1141" s="1277"/>
      <c r="Q1141" s="1277"/>
      <c r="R1141" s="1280" t="s">
        <v>1094</v>
      </c>
      <c r="S1141" s="1277"/>
      <c r="T1141" s="1280" t="str">
        <f t="shared" ref="T1141:T1146" si="189">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80"/>
        <v/>
      </c>
      <c r="J1142" s="1280"/>
      <c r="K1142" s="1280" t="str">
        <f t="shared" si="181"/>
        <v/>
      </c>
      <c r="L1142" s="801" t="s">
        <v>1379</v>
      </c>
      <c r="M1142" s="1295">
        <v>1125</v>
      </c>
      <c r="N1142" s="1280"/>
      <c r="O1142" s="1277"/>
      <c r="P1142" s="1277"/>
      <c r="Q1142" s="1277"/>
      <c r="R1142" s="1280" t="s">
        <v>1094</v>
      </c>
      <c r="S1142" s="1277"/>
      <c r="T1142" s="1280" t="str">
        <f t="shared" si="189"/>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80"/>
        <v/>
      </c>
      <c r="J1143" s="1280" t="str">
        <f t="shared" si="187"/>
        <v/>
      </c>
      <c r="K1143" s="1280" t="str">
        <f t="shared" si="18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 t="shared" si="189"/>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80"/>
        <v/>
      </c>
      <c r="J1144" s="1280" t="str">
        <f t="shared" si="187"/>
        <v/>
      </c>
      <c r="K1144" s="1280" t="str">
        <f t="shared" si="181"/>
        <v/>
      </c>
      <c r="L1144" s="801" t="s">
        <v>1484</v>
      </c>
      <c r="M1144" s="1295">
        <v>1127</v>
      </c>
      <c r="N1144" s="1280"/>
      <c r="O1144" s="1277"/>
      <c r="P1144" s="1277"/>
      <c r="Q1144" s="1277"/>
      <c r="R1144" s="1280" t="s">
        <v>1094</v>
      </c>
      <c r="S1144" s="1244"/>
      <c r="T1144" s="1280" t="str">
        <f t="shared" si="189"/>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80"/>
        <v/>
      </c>
      <c r="J1145" s="1280"/>
      <c r="K1145" s="1280" t="str">
        <f t="shared" si="181"/>
        <v/>
      </c>
      <c r="L1145" s="801" t="s">
        <v>1382</v>
      </c>
      <c r="M1145" s="1295">
        <v>1128</v>
      </c>
      <c r="N1145" s="1280"/>
      <c r="O1145" s="1277"/>
      <c r="P1145" s="1277"/>
      <c r="Q1145" s="1277"/>
      <c r="R1145" s="1280" t="s">
        <v>1094</v>
      </c>
      <c r="S1145" s="1244"/>
      <c r="T1145" s="1280" t="str">
        <f t="shared" si="189"/>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80"/>
        <v/>
      </c>
      <c r="J1146" s="1280" t="str">
        <f t="shared" si="187"/>
        <v/>
      </c>
      <c r="K1146" s="1280" t="str">
        <f t="shared" si="181"/>
        <v/>
      </c>
      <c r="L1146" s="801" t="s">
        <v>1389</v>
      </c>
      <c r="M1146" s="1295">
        <v>1129</v>
      </c>
      <c r="N1146" s="1280"/>
      <c r="O1146" s="1277"/>
      <c r="P1146" s="1277"/>
      <c r="Q1146" s="1277"/>
      <c r="R1146" s="1280" t="s">
        <v>1094</v>
      </c>
      <c r="S1146" s="1244"/>
      <c r="T1146" s="1319" t="str">
        <f t="shared" si="189"/>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190">IFERROR(SUBSTITUTE(ADDRESS(1,MATCH(A1147,INDIRECT("'"&amp;E1147&amp;"'"&amp;"!A" &amp; $O$1134 + 5 &amp; ":Z" &amp; $O$1134 + 5),0),4),1,""),"")</f>
        <v>J</v>
      </c>
      <c r="D1147" s="801" t="s">
        <v>1350</v>
      </c>
      <c r="E1147" s="801" t="s">
        <v>1508</v>
      </c>
      <c r="F1147" s="1052"/>
      <c r="G1147" s="801"/>
      <c r="H1147" s="801"/>
      <c r="I1147" s="1241" t="str">
        <f t="shared" si="180"/>
        <v/>
      </c>
      <c r="J1147" s="1280" t="str">
        <f t="shared" si="187"/>
        <v/>
      </c>
      <c r="K1147" s="1280" t="str">
        <f t="shared" si="18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190"/>
        <v>L</v>
      </c>
      <c r="D1148" s="801" t="s">
        <v>1350</v>
      </c>
      <c r="E1148" s="801" t="s">
        <v>1508</v>
      </c>
      <c r="F1148" s="1052"/>
      <c r="G1148" s="801"/>
      <c r="H1148" s="801"/>
      <c r="I1148" s="1241" t="str">
        <f t="shared" si="180"/>
        <v/>
      </c>
      <c r="J1148" s="1280" t="str">
        <f t="shared" si="187"/>
        <v/>
      </c>
      <c r="K1148" s="1280" t="str">
        <f t="shared" si="18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190"/>
        <v>N</v>
      </c>
      <c r="D1149" s="801" t="s">
        <v>1350</v>
      </c>
      <c r="E1149" s="801" t="s">
        <v>1508</v>
      </c>
      <c r="F1149" s="1052"/>
      <c r="G1149" s="801"/>
      <c r="H1149" s="801"/>
      <c r="I1149" s="1241" t="str">
        <f t="shared" si="180"/>
        <v/>
      </c>
      <c r="J1149" s="1280" t="str">
        <f t="shared" si="187"/>
        <v/>
      </c>
      <c r="K1149" s="1280" t="str">
        <f t="shared" si="18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190"/>
        <v>J</v>
      </c>
      <c r="D1150" s="801" t="s">
        <v>1350</v>
      </c>
      <c r="E1150" s="801" t="s">
        <v>1508</v>
      </c>
      <c r="F1150" s="801"/>
      <c r="G1150" s="801"/>
      <c r="H1150" s="801"/>
      <c r="I1150" s="1241" t="str">
        <f t="shared" si="180"/>
        <v/>
      </c>
      <c r="J1150" s="1280" t="str">
        <f t="shared" si="187"/>
        <v/>
      </c>
      <c r="K1150" s="1280" t="str">
        <f t="shared" si="18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190"/>
        <v>L</v>
      </c>
      <c r="D1151" s="801" t="s">
        <v>1350</v>
      </c>
      <c r="E1151" s="801" t="s">
        <v>1508</v>
      </c>
      <c r="F1151" s="801"/>
      <c r="G1151" s="801"/>
      <c r="H1151" s="801"/>
      <c r="I1151" s="1241" t="str">
        <f t="shared" si="180"/>
        <v/>
      </c>
      <c r="J1151" s="1280" t="str">
        <f t="shared" si="187"/>
        <v/>
      </c>
      <c r="K1151" s="1280" t="str">
        <f t="shared" si="18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190"/>
        <v>N</v>
      </c>
      <c r="D1152" s="801" t="s">
        <v>1350</v>
      </c>
      <c r="E1152" s="801" t="s">
        <v>1508</v>
      </c>
      <c r="F1152" s="801"/>
      <c r="G1152" s="801"/>
      <c r="H1152" s="801"/>
      <c r="I1152" s="1241" t="str">
        <f t="shared" si="180"/>
        <v/>
      </c>
      <c r="J1152" s="1280" t="str">
        <f t="shared" si="187"/>
        <v/>
      </c>
      <c r="K1152" s="1280" t="str">
        <f t="shared" si="18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190"/>
        <v>J</v>
      </c>
      <c r="D1153" s="801" t="s">
        <v>1350</v>
      </c>
      <c r="E1153" s="801" t="s">
        <v>1508</v>
      </c>
      <c r="F1153" s="801"/>
      <c r="G1153" s="801"/>
      <c r="H1153" s="801"/>
      <c r="I1153" s="1241" t="str">
        <f t="shared" si="180"/>
        <v/>
      </c>
      <c r="J1153" s="1280" t="str">
        <f t="shared" si="187"/>
        <v/>
      </c>
      <c r="K1153" s="1280" t="str">
        <f t="shared" si="18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190"/>
        <v>L</v>
      </c>
      <c r="D1154" s="801" t="s">
        <v>1350</v>
      </c>
      <c r="E1154" s="801" t="s">
        <v>1508</v>
      </c>
      <c r="F1154" s="801"/>
      <c r="G1154" s="801"/>
      <c r="H1154" s="801"/>
      <c r="I1154" s="1241" t="str">
        <f t="shared" si="180"/>
        <v/>
      </c>
      <c r="J1154" s="1280" t="str">
        <f t="shared" si="187"/>
        <v/>
      </c>
      <c r="K1154" s="1280" t="str">
        <f t="shared" si="18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190"/>
        <v>N</v>
      </c>
      <c r="D1155" s="801" t="s">
        <v>1350</v>
      </c>
      <c r="E1155" s="801" t="s">
        <v>1508</v>
      </c>
      <c r="F1155" s="801"/>
      <c r="G1155" s="801"/>
      <c r="H1155" s="801"/>
      <c r="I1155" s="1241" t="str">
        <f t="shared" si="180"/>
        <v/>
      </c>
      <c r="J1155" s="1280" t="str">
        <f t="shared" si="187"/>
        <v/>
      </c>
      <c r="K1155" s="1280" t="str">
        <f t="shared" si="18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190"/>
        <v>J</v>
      </c>
      <c r="D1156" s="801" t="s">
        <v>1350</v>
      </c>
      <c r="E1156" s="801" t="s">
        <v>1508</v>
      </c>
      <c r="F1156" s="801"/>
      <c r="G1156" s="801"/>
      <c r="H1156" s="801"/>
      <c r="I1156" s="1241" t="str">
        <f t="shared" ref="I1156:I1219" si="191">IF(J1156&lt;&gt;"",A1156,"")</f>
        <v/>
      </c>
      <c r="J1156" s="1280" t="str">
        <f t="shared" si="187"/>
        <v/>
      </c>
      <c r="K1156" s="1280" t="str">
        <f t="shared" ref="K1156:K1219" si="192">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190"/>
        <v>L</v>
      </c>
      <c r="D1157" s="801" t="s">
        <v>1350</v>
      </c>
      <c r="E1157" s="801" t="s">
        <v>1508</v>
      </c>
      <c r="F1157" s="801"/>
      <c r="G1157" s="801"/>
      <c r="H1157" s="801"/>
      <c r="I1157" s="1241" t="str">
        <f t="shared" si="191"/>
        <v/>
      </c>
      <c r="J1157" s="1280" t="str">
        <f t="shared" si="187"/>
        <v/>
      </c>
      <c r="K1157" s="1280" t="str">
        <f t="shared" si="192"/>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190"/>
        <v>N</v>
      </c>
      <c r="D1158" s="801" t="s">
        <v>1350</v>
      </c>
      <c r="E1158" s="801" t="s">
        <v>1508</v>
      </c>
      <c r="F1158" s="801"/>
      <c r="G1158" s="801"/>
      <c r="H1158" s="801"/>
      <c r="I1158" s="1241" t="str">
        <f t="shared" si="191"/>
        <v/>
      </c>
      <c r="J1158" s="1280" t="str">
        <f t="shared" si="187"/>
        <v/>
      </c>
      <c r="K1158" s="1280" t="str">
        <f t="shared" si="192"/>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190"/>
        <v>J</v>
      </c>
      <c r="D1159" s="801" t="s">
        <v>1350</v>
      </c>
      <c r="E1159" s="801" t="s">
        <v>1508</v>
      </c>
      <c r="F1159" s="801"/>
      <c r="G1159" s="801"/>
      <c r="H1159" s="801"/>
      <c r="I1159" s="1241" t="str">
        <f t="shared" si="191"/>
        <v/>
      </c>
      <c r="J1159" s="1280" t="str">
        <f t="shared" si="187"/>
        <v/>
      </c>
      <c r="K1159" s="1280" t="str">
        <f t="shared" si="192"/>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190"/>
        <v>L</v>
      </c>
      <c r="D1160" s="801" t="s">
        <v>1350</v>
      </c>
      <c r="E1160" s="801" t="s">
        <v>1508</v>
      </c>
      <c r="F1160" s="801"/>
      <c r="G1160" s="801"/>
      <c r="H1160" s="801"/>
      <c r="I1160" s="1241" t="str">
        <f t="shared" si="191"/>
        <v/>
      </c>
      <c r="J1160" s="1280" t="str">
        <f t="shared" si="187"/>
        <v/>
      </c>
      <c r="K1160" s="1280" t="str">
        <f t="shared" si="192"/>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190"/>
        <v>N</v>
      </c>
      <c r="D1161" s="801" t="s">
        <v>1350</v>
      </c>
      <c r="E1161" s="801" t="s">
        <v>1508</v>
      </c>
      <c r="F1161" s="801"/>
      <c r="G1161" s="801"/>
      <c r="H1161" s="801"/>
      <c r="I1161" s="1241" t="str">
        <f t="shared" si="191"/>
        <v/>
      </c>
      <c r="J1161" s="1280" t="str">
        <f t="shared" si="187"/>
        <v/>
      </c>
      <c r="K1161" s="1280" t="str">
        <f t="shared" si="192"/>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191"/>
        <v/>
      </c>
      <c r="J1162" s="1280"/>
      <c r="K1162" s="1280" t="str">
        <f t="shared" si="192"/>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191"/>
        <v/>
      </c>
      <c r="J1163" s="1280" t="str">
        <f t="shared" ref="J1163:J1186" si="193">IF(M1163&lt;&gt;"",IF($Q$1163="Yes",Q$1&amp;M1163,""))</f>
        <v/>
      </c>
      <c r="K1163" s="1280" t="str">
        <f t="shared" si="192"/>
        <v/>
      </c>
      <c r="L1163" s="801" t="s">
        <v>1697</v>
      </c>
      <c r="M1163" s="1295">
        <v>1146</v>
      </c>
      <c r="N1163" s="1280"/>
      <c r="O1163" s="1277">
        <f>'Configurable Tab'!H35</f>
        <v>463</v>
      </c>
      <c r="P1163" s="18" t="str">
        <f>'Configurable Tab'!J35</f>
        <v>No</v>
      </c>
      <c r="Q1163" s="1317" t="s">
        <v>648</v>
      </c>
      <c r="R1163" s="1280" t="s">
        <v>1094</v>
      </c>
      <c r="S1163" s="1244"/>
      <c r="T1163" s="1280" t="str">
        <f t="shared" ref="T1163:T1168" si="194">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191"/>
        <v/>
      </c>
      <c r="J1164" s="1280"/>
      <c r="K1164" s="1280" t="str">
        <f t="shared" si="192"/>
        <v/>
      </c>
      <c r="L1164" s="801" t="s">
        <v>1376</v>
      </c>
      <c r="M1164" s="1295">
        <v>1147</v>
      </c>
      <c r="N1164" s="1280"/>
      <c r="O1164" s="1277" t="s">
        <v>726</v>
      </c>
      <c r="P1164" s="1277"/>
      <c r="Q1164" s="1277"/>
      <c r="R1164" s="1280" t="s">
        <v>1094</v>
      </c>
      <c r="S1164" s="1277"/>
      <c r="T1164" s="1280" t="str">
        <f t="shared" si="194"/>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191"/>
        <v/>
      </c>
      <c r="J1165" s="1280" t="str">
        <f t="shared" si="193"/>
        <v/>
      </c>
      <c r="K1165" s="1280" t="str">
        <f t="shared" si="192"/>
        <v/>
      </c>
      <c r="L1165" s="801" t="s">
        <v>1374</v>
      </c>
      <c r="M1165" s="1295">
        <v>1148</v>
      </c>
      <c r="N1165" s="1280"/>
      <c r="O1165" s="1277">
        <f>'Configurable Tab'!I35</f>
        <v>476</v>
      </c>
      <c r="P1165" s="1277"/>
      <c r="Q1165" s="1277"/>
      <c r="R1165" s="1280" t="s">
        <v>1094</v>
      </c>
      <c r="S1165" s="1277"/>
      <c r="T1165" s="1280" t="str">
        <f t="shared" si="194"/>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191"/>
        <v/>
      </c>
      <c r="J1166" s="1280" t="str">
        <f t="shared" si="193"/>
        <v/>
      </c>
      <c r="K1166" s="1280" t="str">
        <f t="shared" si="192"/>
        <v/>
      </c>
      <c r="L1166" s="801" t="s">
        <v>1375</v>
      </c>
      <c r="M1166" s="1295">
        <v>1149</v>
      </c>
      <c r="N1166" s="1280"/>
      <c r="O1166" s="1277" t="s">
        <v>1652</v>
      </c>
      <c r="P1166" s="1277"/>
      <c r="Q1166" s="1277"/>
      <c r="R1166" s="1280" t="s">
        <v>1094</v>
      </c>
      <c r="S1166" s="1277"/>
      <c r="T1166" s="1280" t="str">
        <f t="shared" si="194"/>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191"/>
        <v/>
      </c>
      <c r="J1167" s="1280"/>
      <c r="K1167" s="1280" t="str">
        <f t="shared" si="192"/>
        <v/>
      </c>
      <c r="L1167" s="801" t="s">
        <v>1378</v>
      </c>
      <c r="M1167" s="1295">
        <v>1150</v>
      </c>
      <c r="N1167" s="1280"/>
      <c r="O1167" s="1277"/>
      <c r="P1167" s="1277"/>
      <c r="Q1167" s="1277"/>
      <c r="R1167" s="1280" t="s">
        <v>1094</v>
      </c>
      <c r="S1167" s="1277"/>
      <c r="T1167" s="1280" t="str">
        <f t="shared" si="194"/>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191"/>
        <v/>
      </c>
      <c r="J1168" s="1280"/>
      <c r="K1168" s="1280" t="str">
        <f t="shared" si="192"/>
        <v/>
      </c>
      <c r="L1168" s="801" t="s">
        <v>1379</v>
      </c>
      <c r="M1168" s="1295">
        <v>1151</v>
      </c>
      <c r="N1168" s="1280"/>
      <c r="O1168" s="1277"/>
      <c r="P1168" s="1277"/>
      <c r="Q1168" s="1277"/>
      <c r="R1168" s="1280" t="s">
        <v>1094</v>
      </c>
      <c r="S1168" s="1277"/>
      <c r="T1168" s="1280" t="str">
        <f t="shared" si="194"/>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191"/>
        <v/>
      </c>
      <c r="J1169" s="1280" t="str">
        <f t="shared" si="193"/>
        <v/>
      </c>
      <c r="K1169" s="1280" t="str">
        <f t="shared" si="192"/>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191"/>
        <v/>
      </c>
      <c r="J1170" s="1280" t="str">
        <f t="shared" si="193"/>
        <v/>
      </c>
      <c r="K1170" s="1280" t="str">
        <f t="shared" si="192"/>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191"/>
        <v/>
      </c>
      <c r="J1171" s="1280" t="str">
        <f t="shared" si="193"/>
        <v/>
      </c>
      <c r="K1171" s="1280" t="str">
        <f t="shared" si="192"/>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195">IFERROR(SUBSTITUTE(ADDRESS(1,MATCH(A1172,INDIRECT("'"&amp;E1172&amp;"'"&amp;"!A" &amp; $O$1163 + 5 &amp; ":Z" &amp; $O$1163 + 5),0),4),1,""),"")</f>
        <v>J</v>
      </c>
      <c r="D1172" s="801" t="s">
        <v>1350</v>
      </c>
      <c r="E1172" s="801" t="s">
        <v>1508</v>
      </c>
      <c r="F1172" s="1052"/>
      <c r="G1172" s="801"/>
      <c r="H1172" s="801"/>
      <c r="I1172" s="1241" t="str">
        <f t="shared" si="191"/>
        <v/>
      </c>
      <c r="J1172" s="1280" t="str">
        <f t="shared" si="193"/>
        <v/>
      </c>
      <c r="K1172" s="1280" t="str">
        <f t="shared" si="192"/>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195"/>
        <v>L</v>
      </c>
      <c r="D1173" s="801" t="s">
        <v>1350</v>
      </c>
      <c r="E1173" s="801" t="s">
        <v>1508</v>
      </c>
      <c r="F1173" s="1052"/>
      <c r="G1173" s="801"/>
      <c r="H1173" s="801"/>
      <c r="I1173" s="1241" t="str">
        <f t="shared" si="191"/>
        <v/>
      </c>
      <c r="J1173" s="1280" t="str">
        <f t="shared" si="193"/>
        <v/>
      </c>
      <c r="K1173" s="1280" t="str">
        <f t="shared" si="192"/>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195"/>
        <v>N</v>
      </c>
      <c r="D1174" s="801" t="s">
        <v>1350</v>
      </c>
      <c r="E1174" s="801" t="s">
        <v>1508</v>
      </c>
      <c r="F1174" s="1052"/>
      <c r="G1174" s="801"/>
      <c r="H1174" s="801"/>
      <c r="I1174" s="1241" t="str">
        <f t="shared" si="191"/>
        <v/>
      </c>
      <c r="J1174" s="1280" t="str">
        <f t="shared" si="193"/>
        <v/>
      </c>
      <c r="K1174" s="1280" t="str">
        <f t="shared" si="192"/>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195"/>
        <v>J</v>
      </c>
      <c r="D1175" s="801" t="s">
        <v>1350</v>
      </c>
      <c r="E1175" s="801" t="s">
        <v>1508</v>
      </c>
      <c r="F1175" s="801"/>
      <c r="G1175" s="801"/>
      <c r="H1175" s="801"/>
      <c r="I1175" s="1241" t="str">
        <f t="shared" si="191"/>
        <v/>
      </c>
      <c r="J1175" s="1280" t="str">
        <f t="shared" si="193"/>
        <v/>
      </c>
      <c r="K1175" s="1280" t="str">
        <f t="shared" si="192"/>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195"/>
        <v>L</v>
      </c>
      <c r="D1176" s="801" t="s">
        <v>1350</v>
      </c>
      <c r="E1176" s="801" t="s">
        <v>1508</v>
      </c>
      <c r="F1176" s="1052"/>
      <c r="G1176" s="801"/>
      <c r="H1176" s="801"/>
      <c r="I1176" s="1241" t="str">
        <f t="shared" si="191"/>
        <v/>
      </c>
      <c r="J1176" s="1280" t="str">
        <f t="shared" si="193"/>
        <v/>
      </c>
      <c r="K1176" s="1280" t="str">
        <f t="shared" si="192"/>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195"/>
        <v>N</v>
      </c>
      <c r="D1177" s="801" t="s">
        <v>1350</v>
      </c>
      <c r="E1177" s="801" t="s">
        <v>1508</v>
      </c>
      <c r="F1177" s="1052"/>
      <c r="G1177" s="801"/>
      <c r="H1177" s="801"/>
      <c r="I1177" s="1241" t="str">
        <f t="shared" si="191"/>
        <v/>
      </c>
      <c r="J1177" s="1280" t="str">
        <f t="shared" si="193"/>
        <v/>
      </c>
      <c r="K1177" s="1280" t="str">
        <f t="shared" si="192"/>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195"/>
        <v>J</v>
      </c>
      <c r="D1178" s="801" t="s">
        <v>1350</v>
      </c>
      <c r="E1178" s="801" t="s">
        <v>1508</v>
      </c>
      <c r="F1178" s="1052"/>
      <c r="G1178" s="801"/>
      <c r="H1178" s="801"/>
      <c r="I1178" s="1241" t="str">
        <f t="shared" si="191"/>
        <v/>
      </c>
      <c r="J1178" s="1280" t="str">
        <f t="shared" si="193"/>
        <v/>
      </c>
      <c r="K1178" s="1280" t="str">
        <f t="shared" si="192"/>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195"/>
        <v>L</v>
      </c>
      <c r="D1179" s="801" t="s">
        <v>1350</v>
      </c>
      <c r="E1179" s="801" t="s">
        <v>1508</v>
      </c>
      <c r="F1179" s="801"/>
      <c r="G1179" s="801"/>
      <c r="H1179" s="801"/>
      <c r="I1179" s="1241" t="str">
        <f t="shared" si="191"/>
        <v/>
      </c>
      <c r="J1179" s="1280" t="str">
        <f t="shared" si="193"/>
        <v/>
      </c>
      <c r="K1179" s="1280" t="str">
        <f t="shared" si="192"/>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195"/>
        <v>N</v>
      </c>
      <c r="D1180" s="801" t="s">
        <v>1350</v>
      </c>
      <c r="E1180" s="801" t="s">
        <v>1508</v>
      </c>
      <c r="F1180" s="801"/>
      <c r="G1180" s="801"/>
      <c r="H1180" s="801"/>
      <c r="I1180" s="1241" t="str">
        <f t="shared" si="191"/>
        <v/>
      </c>
      <c r="J1180" s="1280" t="str">
        <f t="shared" si="193"/>
        <v/>
      </c>
      <c r="K1180" s="1280" t="str">
        <f t="shared" si="192"/>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195"/>
        <v>J</v>
      </c>
      <c r="D1181" s="801" t="s">
        <v>1350</v>
      </c>
      <c r="E1181" s="801" t="s">
        <v>1508</v>
      </c>
      <c r="F1181" s="801"/>
      <c r="G1181" s="801"/>
      <c r="H1181" s="801"/>
      <c r="I1181" s="1241" t="str">
        <f t="shared" si="191"/>
        <v/>
      </c>
      <c r="J1181" s="1280" t="str">
        <f t="shared" si="193"/>
        <v/>
      </c>
      <c r="K1181" s="1280" t="str">
        <f t="shared" si="192"/>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195"/>
        <v>L</v>
      </c>
      <c r="D1182" s="801" t="s">
        <v>1350</v>
      </c>
      <c r="E1182" s="801" t="s">
        <v>1508</v>
      </c>
      <c r="F1182" s="801"/>
      <c r="G1182" s="801"/>
      <c r="H1182" s="801"/>
      <c r="I1182" s="1241" t="str">
        <f t="shared" si="191"/>
        <v/>
      </c>
      <c r="J1182" s="1280" t="str">
        <f t="shared" si="193"/>
        <v/>
      </c>
      <c r="K1182" s="1280" t="str">
        <f t="shared" si="192"/>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195"/>
        <v>N</v>
      </c>
      <c r="D1183" s="801" t="s">
        <v>1350</v>
      </c>
      <c r="E1183" s="801" t="s">
        <v>1508</v>
      </c>
      <c r="F1183" s="801"/>
      <c r="G1183" s="801"/>
      <c r="H1183" s="801"/>
      <c r="I1183" s="1241" t="str">
        <f t="shared" si="191"/>
        <v/>
      </c>
      <c r="J1183" s="1280" t="str">
        <f t="shared" si="193"/>
        <v/>
      </c>
      <c r="K1183" s="1280" t="str">
        <f t="shared" si="192"/>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195"/>
        <v>J</v>
      </c>
      <c r="D1184" s="801" t="s">
        <v>1350</v>
      </c>
      <c r="E1184" s="801" t="s">
        <v>1508</v>
      </c>
      <c r="F1184" s="801"/>
      <c r="G1184" s="801"/>
      <c r="H1184" s="801"/>
      <c r="I1184" s="1241" t="str">
        <f t="shared" si="191"/>
        <v/>
      </c>
      <c r="J1184" s="1280" t="str">
        <f t="shared" si="193"/>
        <v/>
      </c>
      <c r="K1184" s="1280" t="str">
        <f t="shared" si="192"/>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195"/>
        <v>L</v>
      </c>
      <c r="D1185" s="801" t="s">
        <v>1350</v>
      </c>
      <c r="E1185" s="801" t="s">
        <v>1508</v>
      </c>
      <c r="F1185" s="801"/>
      <c r="G1185" s="801"/>
      <c r="H1185" s="801"/>
      <c r="I1185" s="1241" t="str">
        <f t="shared" si="191"/>
        <v/>
      </c>
      <c r="J1185" s="1280" t="str">
        <f t="shared" si="193"/>
        <v/>
      </c>
      <c r="K1185" s="1280" t="str">
        <f t="shared" si="192"/>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195"/>
        <v>N</v>
      </c>
      <c r="D1186" s="801" t="s">
        <v>1350</v>
      </c>
      <c r="E1186" s="801" t="s">
        <v>1508</v>
      </c>
      <c r="F1186" s="801"/>
      <c r="G1186" s="801"/>
      <c r="H1186" s="801"/>
      <c r="I1186" s="1241" t="str">
        <f t="shared" si="191"/>
        <v/>
      </c>
      <c r="J1186" s="1280" t="str">
        <f t="shared" si="193"/>
        <v/>
      </c>
      <c r="K1186" s="1280" t="str">
        <f t="shared" si="192"/>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191"/>
        <v/>
      </c>
      <c r="J1187" s="1280"/>
      <c r="K1187" s="1280" t="str">
        <f t="shared" si="192"/>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191"/>
        <v/>
      </c>
      <c r="J1188" s="1280" t="str">
        <f t="shared" ref="J1188:J1211" si="196">IF(M1188&lt;&gt;"",IF($Q$1188="Yes",Q$1&amp;M1188,""))</f>
        <v/>
      </c>
      <c r="K1188" s="1280" t="str">
        <f t="shared" si="192"/>
        <v/>
      </c>
      <c r="L1188" s="801" t="s">
        <v>1697</v>
      </c>
      <c r="M1188" s="1295">
        <v>1171</v>
      </c>
      <c r="N1188" s="1280"/>
      <c r="O1188" s="1277">
        <f>'Configurable Tab'!H36</f>
        <v>477</v>
      </c>
      <c r="P1188" s="18" t="str">
        <f>'Configurable Tab'!J36</f>
        <v>No</v>
      </c>
      <c r="Q1188" s="1317" t="s">
        <v>648</v>
      </c>
      <c r="R1188" s="1280" t="s">
        <v>1094</v>
      </c>
      <c r="S1188" s="1277"/>
      <c r="T1188" s="1280" t="str">
        <f t="shared" ref="T1188:T1193" si="197">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191"/>
        <v/>
      </c>
      <c r="J1189" s="1280"/>
      <c r="K1189" s="1280" t="str">
        <f t="shared" si="192"/>
        <v/>
      </c>
      <c r="L1189" s="801" t="s">
        <v>1376</v>
      </c>
      <c r="M1189" s="1295">
        <v>1172</v>
      </c>
      <c r="N1189" s="1280"/>
      <c r="O1189" s="1277" t="s">
        <v>726</v>
      </c>
      <c r="P1189" s="1277"/>
      <c r="Q1189" s="1277"/>
      <c r="R1189" s="1280" t="s">
        <v>1094</v>
      </c>
      <c r="S1189" s="1277"/>
      <c r="T1189" s="1280" t="str">
        <f t="shared" si="197"/>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191"/>
        <v/>
      </c>
      <c r="J1190" s="1280" t="str">
        <f t="shared" si="196"/>
        <v/>
      </c>
      <c r="K1190" s="1280" t="str">
        <f t="shared" si="192"/>
        <v/>
      </c>
      <c r="L1190" s="801" t="s">
        <v>1374</v>
      </c>
      <c r="M1190" s="1295">
        <v>1173</v>
      </c>
      <c r="N1190" s="1280"/>
      <c r="O1190" s="1277">
        <f>'Configurable Tab'!I36</f>
        <v>490</v>
      </c>
      <c r="P1190" s="1277"/>
      <c r="Q1190" s="1277"/>
      <c r="R1190" s="1280" t="s">
        <v>1094</v>
      </c>
      <c r="S1190" s="1277"/>
      <c r="T1190" s="1280" t="str">
        <f t="shared" si="197"/>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191"/>
        <v/>
      </c>
      <c r="J1191" s="1280" t="str">
        <f t="shared" si="196"/>
        <v/>
      </c>
      <c r="K1191" s="1280" t="str">
        <f t="shared" si="192"/>
        <v/>
      </c>
      <c r="L1191" s="801" t="s">
        <v>1375</v>
      </c>
      <c r="M1191" s="1295">
        <v>1174</v>
      </c>
      <c r="N1191" s="1280"/>
      <c r="O1191" s="1277" t="s">
        <v>1653</v>
      </c>
      <c r="P1191" s="1277"/>
      <c r="Q1191" s="1277"/>
      <c r="R1191" s="1280" t="s">
        <v>1094</v>
      </c>
      <c r="S1191" s="1277"/>
      <c r="T1191" s="1280" t="str">
        <f t="shared" si="197"/>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191"/>
        <v/>
      </c>
      <c r="J1192" s="1280"/>
      <c r="K1192" s="1280" t="str">
        <f t="shared" si="192"/>
        <v/>
      </c>
      <c r="L1192" s="801" t="s">
        <v>1378</v>
      </c>
      <c r="M1192" s="1295">
        <v>1175</v>
      </c>
      <c r="N1192" s="1280"/>
      <c r="O1192" s="1277"/>
      <c r="P1192" s="1277"/>
      <c r="Q1192" s="1277"/>
      <c r="R1192" s="1280" t="s">
        <v>1094</v>
      </c>
      <c r="S1192" s="1277"/>
      <c r="T1192" s="1280" t="str">
        <f t="shared" si="197"/>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191"/>
        <v/>
      </c>
      <c r="J1193" s="1280"/>
      <c r="K1193" s="1280" t="str">
        <f t="shared" si="192"/>
        <v/>
      </c>
      <c r="L1193" s="801" t="s">
        <v>1379</v>
      </c>
      <c r="M1193" s="1295">
        <v>1176</v>
      </c>
      <c r="N1193" s="1280"/>
      <c r="O1193" s="1277"/>
      <c r="P1193" s="1277"/>
      <c r="Q1193" s="1277"/>
      <c r="R1193" s="1280" t="s">
        <v>1094</v>
      </c>
      <c r="S1193" s="1277"/>
      <c r="T1193" s="1280" t="str">
        <f t="shared" si="197"/>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191"/>
        <v/>
      </c>
      <c r="J1194" s="1280" t="str">
        <f t="shared" si="196"/>
        <v/>
      </c>
      <c r="K1194" s="1280" t="str">
        <f t="shared" si="192"/>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191"/>
        <v/>
      </c>
      <c r="J1195" s="1280" t="str">
        <f t="shared" si="196"/>
        <v/>
      </c>
      <c r="K1195" s="1280" t="str">
        <f t="shared" si="192"/>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191"/>
        <v/>
      </c>
      <c r="J1196" s="1280" t="str">
        <f t="shared" si="196"/>
        <v/>
      </c>
      <c r="K1196" s="1280" t="str">
        <f t="shared" si="192"/>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198">IFERROR(SUBSTITUTE(ADDRESS(1,MATCH(A1197,INDIRECT("'"&amp;E1197&amp;"'"&amp;"!A" &amp; $O$1188 + 5 &amp; ":Z" &amp; $O$1188 + 5),0),4),1,""),"")</f>
        <v>J</v>
      </c>
      <c r="D1197" s="801" t="s">
        <v>1350</v>
      </c>
      <c r="E1197" s="801" t="s">
        <v>1508</v>
      </c>
      <c r="F1197" s="1052"/>
      <c r="G1197" s="801"/>
      <c r="H1197" s="801"/>
      <c r="I1197" s="1241" t="str">
        <f t="shared" si="191"/>
        <v/>
      </c>
      <c r="J1197" s="1280" t="str">
        <f t="shared" si="196"/>
        <v/>
      </c>
      <c r="K1197" s="1280" t="str">
        <f t="shared" si="192"/>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198"/>
        <v>L</v>
      </c>
      <c r="D1198" s="801" t="s">
        <v>1350</v>
      </c>
      <c r="E1198" s="801" t="s">
        <v>1508</v>
      </c>
      <c r="F1198" s="1052"/>
      <c r="G1198" s="801"/>
      <c r="H1198" s="801"/>
      <c r="I1198" s="1241" t="str">
        <f t="shared" si="191"/>
        <v/>
      </c>
      <c r="J1198" s="1280" t="str">
        <f t="shared" si="196"/>
        <v/>
      </c>
      <c r="K1198" s="1280" t="str">
        <f t="shared" si="192"/>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198"/>
        <v>N</v>
      </c>
      <c r="D1199" s="801" t="s">
        <v>1350</v>
      </c>
      <c r="E1199" s="801" t="s">
        <v>1508</v>
      </c>
      <c r="F1199" s="1052"/>
      <c r="G1199" s="801"/>
      <c r="H1199" s="801"/>
      <c r="I1199" s="1241" t="str">
        <f t="shared" si="191"/>
        <v/>
      </c>
      <c r="J1199" s="1280" t="str">
        <f t="shared" si="196"/>
        <v/>
      </c>
      <c r="K1199" s="1280" t="str">
        <f t="shared" si="192"/>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198"/>
        <v>J</v>
      </c>
      <c r="D1200" s="801" t="s">
        <v>1350</v>
      </c>
      <c r="E1200" s="801" t="s">
        <v>1508</v>
      </c>
      <c r="F1200" s="801"/>
      <c r="G1200" s="801"/>
      <c r="H1200" s="801"/>
      <c r="I1200" s="1241" t="str">
        <f t="shared" si="191"/>
        <v/>
      </c>
      <c r="J1200" s="1280" t="str">
        <f t="shared" si="196"/>
        <v/>
      </c>
      <c r="K1200" s="1280" t="str">
        <f t="shared" si="192"/>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198"/>
        <v>L</v>
      </c>
      <c r="D1201" s="801" t="s">
        <v>1350</v>
      </c>
      <c r="E1201" s="801" t="s">
        <v>1508</v>
      </c>
      <c r="F1201" s="1052"/>
      <c r="G1201" s="801"/>
      <c r="H1201" s="801"/>
      <c r="I1201" s="1241" t="str">
        <f t="shared" si="191"/>
        <v/>
      </c>
      <c r="J1201" s="1280" t="str">
        <f t="shared" si="196"/>
        <v/>
      </c>
      <c r="K1201" s="1280" t="str">
        <f t="shared" si="192"/>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198"/>
        <v>N</v>
      </c>
      <c r="D1202" s="801" t="s">
        <v>1350</v>
      </c>
      <c r="E1202" s="801" t="s">
        <v>1508</v>
      </c>
      <c r="F1202" s="1052"/>
      <c r="G1202" s="801"/>
      <c r="H1202" s="801"/>
      <c r="I1202" s="1241" t="str">
        <f t="shared" si="191"/>
        <v/>
      </c>
      <c r="J1202" s="1280" t="str">
        <f t="shared" si="196"/>
        <v/>
      </c>
      <c r="K1202" s="1280" t="str">
        <f t="shared" si="192"/>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198"/>
        <v>J</v>
      </c>
      <c r="D1203" s="801" t="s">
        <v>1350</v>
      </c>
      <c r="E1203" s="801" t="s">
        <v>1508</v>
      </c>
      <c r="F1203" s="1052"/>
      <c r="G1203" s="801"/>
      <c r="H1203" s="801"/>
      <c r="I1203" s="1241" t="str">
        <f t="shared" si="191"/>
        <v/>
      </c>
      <c r="J1203" s="1280" t="str">
        <f t="shared" si="196"/>
        <v/>
      </c>
      <c r="K1203" s="1280" t="str">
        <f t="shared" si="192"/>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198"/>
        <v>L</v>
      </c>
      <c r="D1204" s="801" t="s">
        <v>1350</v>
      </c>
      <c r="E1204" s="801" t="s">
        <v>1508</v>
      </c>
      <c r="F1204" s="801"/>
      <c r="G1204" s="801"/>
      <c r="H1204" s="801"/>
      <c r="I1204" s="1241" t="str">
        <f t="shared" si="191"/>
        <v/>
      </c>
      <c r="J1204" s="1280" t="str">
        <f t="shared" si="196"/>
        <v/>
      </c>
      <c r="K1204" s="1280" t="str">
        <f t="shared" si="192"/>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198"/>
        <v>N</v>
      </c>
      <c r="D1205" s="801" t="s">
        <v>1350</v>
      </c>
      <c r="E1205" s="801" t="s">
        <v>1508</v>
      </c>
      <c r="F1205" s="801"/>
      <c r="G1205" s="801"/>
      <c r="H1205" s="801"/>
      <c r="I1205" s="1241" t="str">
        <f t="shared" si="191"/>
        <v/>
      </c>
      <c r="J1205" s="1280" t="str">
        <f t="shared" si="196"/>
        <v/>
      </c>
      <c r="K1205" s="1280" t="str">
        <f t="shared" si="192"/>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198"/>
        <v>J</v>
      </c>
      <c r="D1206" s="801" t="s">
        <v>1350</v>
      </c>
      <c r="E1206" s="801" t="s">
        <v>1508</v>
      </c>
      <c r="F1206" s="801"/>
      <c r="G1206" s="801"/>
      <c r="H1206" s="801"/>
      <c r="I1206" s="1241" t="str">
        <f t="shared" si="191"/>
        <v/>
      </c>
      <c r="J1206" s="1280" t="str">
        <f t="shared" si="196"/>
        <v/>
      </c>
      <c r="K1206" s="1280" t="str">
        <f t="shared" si="192"/>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198"/>
        <v>L</v>
      </c>
      <c r="D1207" s="801" t="s">
        <v>1350</v>
      </c>
      <c r="E1207" s="801" t="s">
        <v>1508</v>
      </c>
      <c r="F1207" s="801"/>
      <c r="G1207" s="801"/>
      <c r="H1207" s="801"/>
      <c r="I1207" s="1241" t="str">
        <f t="shared" si="191"/>
        <v/>
      </c>
      <c r="J1207" s="1280" t="str">
        <f t="shared" si="196"/>
        <v/>
      </c>
      <c r="K1207" s="1280" t="str">
        <f t="shared" si="192"/>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198"/>
        <v>N</v>
      </c>
      <c r="D1208" s="801" t="s">
        <v>1350</v>
      </c>
      <c r="E1208" s="801" t="s">
        <v>1508</v>
      </c>
      <c r="F1208" s="801"/>
      <c r="G1208" s="801"/>
      <c r="H1208" s="801"/>
      <c r="I1208" s="1241" t="str">
        <f t="shared" si="191"/>
        <v/>
      </c>
      <c r="J1208" s="1280" t="str">
        <f t="shared" si="196"/>
        <v/>
      </c>
      <c r="K1208" s="1280" t="str">
        <f t="shared" si="192"/>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198"/>
        <v>J</v>
      </c>
      <c r="D1209" s="801" t="s">
        <v>1350</v>
      </c>
      <c r="E1209" s="801" t="s">
        <v>1508</v>
      </c>
      <c r="F1209" s="801"/>
      <c r="G1209" s="801"/>
      <c r="H1209" s="801"/>
      <c r="I1209" s="1241" t="str">
        <f t="shared" si="191"/>
        <v/>
      </c>
      <c r="J1209" s="1280" t="str">
        <f t="shared" si="196"/>
        <v/>
      </c>
      <c r="K1209" s="1280" t="str">
        <f t="shared" si="192"/>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198"/>
        <v>L</v>
      </c>
      <c r="D1210" s="801" t="s">
        <v>1350</v>
      </c>
      <c r="E1210" s="801" t="s">
        <v>1508</v>
      </c>
      <c r="F1210" s="801"/>
      <c r="G1210" s="801"/>
      <c r="H1210" s="801"/>
      <c r="I1210" s="1241" t="str">
        <f t="shared" si="191"/>
        <v/>
      </c>
      <c r="J1210" s="1280" t="str">
        <f t="shared" si="196"/>
        <v/>
      </c>
      <c r="K1210" s="1280" t="str">
        <f t="shared" si="192"/>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198"/>
        <v>N</v>
      </c>
      <c r="D1211" s="801" t="s">
        <v>1350</v>
      </c>
      <c r="E1211" s="801" t="s">
        <v>1508</v>
      </c>
      <c r="F1211" s="801"/>
      <c r="G1211" s="801"/>
      <c r="H1211" s="801"/>
      <c r="I1211" s="1241" t="str">
        <f t="shared" si="191"/>
        <v/>
      </c>
      <c r="J1211" s="1280" t="str">
        <f t="shared" si="196"/>
        <v/>
      </c>
      <c r="K1211" s="1280" t="str">
        <f t="shared" si="192"/>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191"/>
        <v/>
      </c>
      <c r="J1212" s="1280"/>
      <c r="K1212" s="1280" t="str">
        <f t="shared" si="192"/>
        <v/>
      </c>
      <c r="L1212" s="801" t="s">
        <v>1483</v>
      </c>
      <c r="M1212" s="1295">
        <v>1195</v>
      </c>
      <c r="N1212" s="1280"/>
      <c r="O1212" s="1277" t="s">
        <v>725</v>
      </c>
      <c r="P1212" s="18"/>
      <c r="Q1212" s="1277"/>
      <c r="R1212" s="1280" t="s">
        <v>1149</v>
      </c>
      <c r="S1212" s="1277"/>
      <c r="T1212" s="1280" t="str">
        <f t="shared" ref="T1212:T1219" si="199">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191"/>
        <v/>
      </c>
      <c r="J1213" s="1280" t="str">
        <f t="shared" ref="J1213:J1218" si="200">IF(M1213&lt;&gt;"",IF($Q$1213="Yes",Q$1&amp;M1213,""))</f>
        <v/>
      </c>
      <c r="K1213" s="1280" t="str">
        <f t="shared" si="192"/>
        <v/>
      </c>
      <c r="L1213" s="801" t="s">
        <v>1697</v>
      </c>
      <c r="M1213" s="1295">
        <v>1196</v>
      </c>
      <c r="N1213" s="1280"/>
      <c r="O1213" s="1277">
        <f>'Configurable Tab'!H37</f>
        <v>491</v>
      </c>
      <c r="P1213" s="18" t="str">
        <f>'Configurable Tab'!J37</f>
        <v>No</v>
      </c>
      <c r="Q1213" s="1317" t="s">
        <v>648</v>
      </c>
      <c r="R1213" s="1280" t="s">
        <v>1149</v>
      </c>
      <c r="S1213" s="1277"/>
      <c r="T1213" s="1280" t="str">
        <f t="shared" si="199"/>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191"/>
        <v/>
      </c>
      <c r="J1214" s="1280"/>
      <c r="K1214" s="1280" t="str">
        <f t="shared" si="192"/>
        <v/>
      </c>
      <c r="L1214" s="801" t="s">
        <v>1376</v>
      </c>
      <c r="M1214" s="1295">
        <v>1197</v>
      </c>
      <c r="N1214" s="1280"/>
      <c r="O1214" s="1277" t="s">
        <v>726</v>
      </c>
      <c r="P1214" s="1277"/>
      <c r="Q1214" s="1277"/>
      <c r="R1214" s="1280" t="s">
        <v>1149</v>
      </c>
      <c r="S1214" s="1277"/>
      <c r="T1214" s="1280" t="str">
        <f t="shared" si="199"/>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191"/>
        <v/>
      </c>
      <c r="J1215" s="1280" t="str">
        <f t="shared" si="200"/>
        <v/>
      </c>
      <c r="K1215" s="1280" t="str">
        <f t="shared" si="192"/>
        <v/>
      </c>
      <c r="L1215" s="801" t="s">
        <v>1374</v>
      </c>
      <c r="M1215" s="1295">
        <v>1198</v>
      </c>
      <c r="N1215" s="1280"/>
      <c r="O1215" s="1277">
        <f>'Configurable Tab'!I37</f>
        <v>502</v>
      </c>
      <c r="P1215" s="1277"/>
      <c r="Q1215" s="1277" t="s">
        <v>482</v>
      </c>
      <c r="R1215" s="1280" t="s">
        <v>1149</v>
      </c>
      <c r="S1215" s="1277"/>
      <c r="T1215" s="1280" t="str">
        <f t="shared" si="199"/>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191"/>
        <v/>
      </c>
      <c r="J1216" s="1280"/>
      <c r="K1216" s="1280" t="str">
        <f t="shared" si="192"/>
        <v/>
      </c>
      <c r="L1216" s="801" t="s">
        <v>1378</v>
      </c>
      <c r="M1216" s="1295">
        <v>1199</v>
      </c>
      <c r="N1216" s="1280"/>
      <c r="O1216" s="1277" t="s">
        <v>1654</v>
      </c>
      <c r="P1216" s="1277"/>
      <c r="Q1216" s="1277"/>
      <c r="R1216" s="1280" t="s">
        <v>1149</v>
      </c>
      <c r="S1216" s="1277"/>
      <c r="T1216" s="1280" t="str">
        <f t="shared" si="199"/>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191"/>
        <v/>
      </c>
      <c r="J1217" s="1280"/>
      <c r="K1217" s="1280" t="str">
        <f t="shared" si="192"/>
        <v/>
      </c>
      <c r="L1217" s="801" t="s">
        <v>1379</v>
      </c>
      <c r="M1217" s="1295">
        <v>1200</v>
      </c>
      <c r="N1217" s="1280"/>
      <c r="O1217" s="1277"/>
      <c r="P1217" s="1277"/>
      <c r="Q1217" s="1277"/>
      <c r="R1217" s="1280" t="s">
        <v>1149</v>
      </c>
      <c r="S1217" s="1277"/>
      <c r="T1217" s="1280" t="str">
        <f t="shared" si="199"/>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191"/>
        <v/>
      </c>
      <c r="J1218" s="1280" t="str">
        <f t="shared" si="200"/>
        <v/>
      </c>
      <c r="K1218" s="1280" t="str">
        <f t="shared" si="192"/>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 t="shared" si="199"/>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191"/>
        <v/>
      </c>
      <c r="J1219" s="1280"/>
      <c r="K1219" s="1280" t="str">
        <f t="shared" si="192"/>
        <v/>
      </c>
      <c r="L1219" s="801" t="s">
        <v>1382</v>
      </c>
      <c r="M1219" s="1295">
        <v>1202</v>
      </c>
      <c r="N1219" s="1280"/>
      <c r="O1219" s="1277"/>
      <c r="P1219" s="1277"/>
      <c r="Q1219" s="1277"/>
      <c r="R1219" s="1280" t="s">
        <v>1149</v>
      </c>
      <c r="S1219" s="1277"/>
      <c r="T1219" s="1280" t="str">
        <f t="shared" si="199"/>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01">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02">_xlfn.IFNA(SUBSTITUTE(ADDRESS(1,MATCH(A1221,INDIRECT("'"&amp;E1221&amp;"'"&amp;"!A5:Z5"),0),4),1,""),"")</f>
        <v>G</v>
      </c>
      <c r="D1221" s="1280" t="s">
        <v>1350</v>
      </c>
      <c r="E1221" s="766" t="s">
        <v>865</v>
      </c>
      <c r="F1221" s="1280"/>
      <c r="G1221" s="1280"/>
      <c r="H1221" s="1280"/>
      <c r="I1221" s="1241" t="str">
        <f t="shared" ref="I1221:I1282" si="203">IF(J1221&lt;&gt;"",A1221,"")</f>
        <v>Shipping Location Number</v>
      </c>
      <c r="J1221" s="1280" t="str">
        <f>IFERROR(Q$1&amp;M167,"")</f>
        <v>F34</v>
      </c>
      <c r="K1221" s="1280" t="str">
        <f t="shared" si="201"/>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02"/>
        <v>G</v>
      </c>
      <c r="D1222" s="1280" t="s">
        <v>1350</v>
      </c>
      <c r="E1222" s="766" t="s">
        <v>865</v>
      </c>
      <c r="F1222" s="1280"/>
      <c r="G1222" s="1280"/>
      <c r="H1222" s="1280"/>
      <c r="I1222" s="1241" t="str">
        <f t="shared" si="203"/>
        <v>Shipping Location Number</v>
      </c>
      <c r="J1222" s="1280" t="str">
        <f>IFERROR(Q$1&amp;M178,"")</f>
        <v>F55</v>
      </c>
      <c r="K1222" s="1280" t="str">
        <f t="shared" si="201"/>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02"/>
        <v>G</v>
      </c>
      <c r="D1223" s="1280" t="s">
        <v>1350</v>
      </c>
      <c r="E1223" s="766" t="s">
        <v>865</v>
      </c>
      <c r="F1223" s="1280"/>
      <c r="G1223" s="1280"/>
      <c r="H1223" s="1280"/>
      <c r="I1223" s="1241" t="str">
        <f t="shared" si="203"/>
        <v>Shipping Location Number</v>
      </c>
      <c r="J1223" s="1280" t="str">
        <f>IFERROR(Q$1&amp;M189,"")</f>
        <v>F76</v>
      </c>
      <c r="K1223" s="1280" t="str">
        <f t="shared" si="201"/>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02"/>
        <v>G</v>
      </c>
      <c r="D1224" s="1280" t="s">
        <v>1350</v>
      </c>
      <c r="E1224" s="766" t="s">
        <v>865</v>
      </c>
      <c r="F1224" s="1280"/>
      <c r="G1224" s="1280"/>
      <c r="H1224" s="1280"/>
      <c r="I1224" s="1241" t="str">
        <f t="shared" si="203"/>
        <v>Shipping Location Number</v>
      </c>
      <c r="J1224" s="1280" t="str">
        <f>IFERROR(Q$1&amp;M200,"")</f>
        <v>F97</v>
      </c>
      <c r="K1224" s="1280" t="str">
        <f t="shared" si="201"/>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02"/>
        <v>G</v>
      </c>
      <c r="D1225" s="1280" t="s">
        <v>1350</v>
      </c>
      <c r="E1225" s="766" t="s">
        <v>865</v>
      </c>
      <c r="F1225" s="1280"/>
      <c r="G1225" s="1280"/>
      <c r="H1225" s="1280"/>
      <c r="I1225" s="1241" t="str">
        <f t="shared" si="203"/>
        <v>Shipping Location Number</v>
      </c>
      <c r="J1225" s="1280" t="str">
        <f>IFERROR(Q$1&amp;M211,"")</f>
        <v>F118</v>
      </c>
      <c r="K1225" s="1280" t="str">
        <f t="shared" si="201"/>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02"/>
        <v>G</v>
      </c>
      <c r="D1226" s="1280" t="s">
        <v>1350</v>
      </c>
      <c r="E1226" s="766" t="s">
        <v>865</v>
      </c>
      <c r="F1226" s="1280"/>
      <c r="G1226" s="1280"/>
      <c r="H1226" s="1280"/>
      <c r="I1226" s="1241" t="str">
        <f t="shared" si="203"/>
        <v>Shipping Location Number</v>
      </c>
      <c r="J1226" s="1280" t="str">
        <f>IFERROR(Q$1&amp;M222,"")</f>
        <v>F139</v>
      </c>
      <c r="K1226" s="1280" t="str">
        <f t="shared" si="201"/>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02"/>
        <v>G</v>
      </c>
      <c r="D1227" s="1280" t="s">
        <v>1350</v>
      </c>
      <c r="E1227" s="766" t="s">
        <v>865</v>
      </c>
      <c r="F1227" s="1280"/>
      <c r="G1227" s="1280"/>
      <c r="H1227" s="1280"/>
      <c r="I1227" s="1241" t="str">
        <f t="shared" si="203"/>
        <v>Shipping Location Number</v>
      </c>
      <c r="J1227" s="1280" t="str">
        <f>IFERROR(Q$1&amp;M233,"")</f>
        <v>F160</v>
      </c>
      <c r="K1227" s="1280" t="str">
        <f t="shared" si="201"/>
        <v>Customer Inputs</v>
      </c>
      <c r="L1227" s="1280"/>
      <c r="M1227" s="1280"/>
      <c r="N1227" s="1280"/>
      <c r="O1227" s="1277"/>
      <c r="P1227" s="1534"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02"/>
        <v>G</v>
      </c>
      <c r="D1228" s="1280" t="s">
        <v>1350</v>
      </c>
      <c r="E1228" s="766" t="s">
        <v>865</v>
      </c>
      <c r="F1228" s="1280"/>
      <c r="G1228" s="1280"/>
      <c r="H1228" s="1280"/>
      <c r="I1228" s="1241" t="str">
        <f t="shared" si="203"/>
        <v>Shipping Location Number</v>
      </c>
      <c r="J1228" s="1280" t="str">
        <f>IFERROR(Q$1&amp;M244,"")</f>
        <v>F181</v>
      </c>
      <c r="K1228" s="1280" t="str">
        <f t="shared" si="201"/>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02"/>
        <v>G</v>
      </c>
      <c r="D1229" s="1280" t="s">
        <v>1350</v>
      </c>
      <c r="E1229" s="766" t="s">
        <v>865</v>
      </c>
      <c r="F1229" s="1280"/>
      <c r="G1229" s="1280"/>
      <c r="H1229" s="1280"/>
      <c r="I1229" s="1241" t="str">
        <f t="shared" si="203"/>
        <v>Shipping Location Number</v>
      </c>
      <c r="J1229" s="1280" t="str">
        <f>IFERROR(Q$1&amp;M255,"")</f>
        <v>F202</v>
      </c>
      <c r="K1229" s="1280" t="str">
        <f t="shared" si="201"/>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02"/>
        <v>G</v>
      </c>
      <c r="D1230" s="1280" t="s">
        <v>1350</v>
      </c>
      <c r="E1230" s="766" t="s">
        <v>865</v>
      </c>
      <c r="F1230" s="1280"/>
      <c r="G1230" s="1280"/>
      <c r="H1230" s="1280"/>
      <c r="I1230" s="1241" t="str">
        <f t="shared" si="203"/>
        <v>Shipping Location Number</v>
      </c>
      <c r="J1230" s="1280" t="str">
        <f>IFERROR(Q$1&amp;M266,"")</f>
        <v>F223</v>
      </c>
      <c r="K1230" s="1280" t="str">
        <f t="shared" si="201"/>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02"/>
        <v>S</v>
      </c>
      <c r="D1231" s="1280" t="s">
        <v>1350</v>
      </c>
      <c r="E1231" s="766" t="s">
        <v>865</v>
      </c>
      <c r="F1231" s="1280"/>
      <c r="G1231" s="1280"/>
      <c r="H1231" s="1280"/>
      <c r="I1231" s="1241" t="str">
        <f t="shared" si="203"/>
        <v>Zip Code</v>
      </c>
      <c r="J1231" s="1280" t="str">
        <f>IF(P1221="",Q$1&amp;M177,"")</f>
        <v>F</v>
      </c>
      <c r="K1231" s="1280" t="str">
        <f t="shared" si="201"/>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02"/>
        <v>S</v>
      </c>
      <c r="D1232" s="1280" t="s">
        <v>1350</v>
      </c>
      <c r="E1232" s="766" t="s">
        <v>865</v>
      </c>
      <c r="F1232" s="1280"/>
      <c r="G1232" s="1280"/>
      <c r="H1232" s="1280"/>
      <c r="I1232" s="1241" t="str">
        <f t="shared" si="203"/>
        <v>Zip Code</v>
      </c>
      <c r="J1232" s="1280" t="str">
        <f>IF(P1222="",Q$1&amp;M188,"")</f>
        <v>F</v>
      </c>
      <c r="K1232" s="1280" t="str">
        <f t="shared" si="201"/>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02"/>
        <v>S</v>
      </c>
      <c r="D1233" s="1280" t="s">
        <v>1350</v>
      </c>
      <c r="E1233" s="766" t="s">
        <v>865</v>
      </c>
      <c r="F1233" s="1280"/>
      <c r="G1233" s="1280"/>
      <c r="H1233" s="1280"/>
      <c r="I1233" s="1241" t="str">
        <f t="shared" si="203"/>
        <v>Zip Code</v>
      </c>
      <c r="J1233" s="1280" t="str">
        <f>IF(P1223="",Q$1&amp;M199,"")</f>
        <v>F</v>
      </c>
      <c r="K1233" s="1280" t="str">
        <f t="shared" si="201"/>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02"/>
        <v>S</v>
      </c>
      <c r="D1234" s="1280" t="s">
        <v>1350</v>
      </c>
      <c r="E1234" s="766" t="s">
        <v>865</v>
      </c>
      <c r="F1234" s="1280"/>
      <c r="G1234" s="1280"/>
      <c r="H1234" s="1280"/>
      <c r="I1234" s="1241" t="str">
        <f t="shared" si="203"/>
        <v>Zip Code</v>
      </c>
      <c r="J1234" s="1280" t="str">
        <f>IF(P1224="",Q$1&amp;M210,"")</f>
        <v>F</v>
      </c>
      <c r="K1234" s="1280" t="str">
        <f t="shared" si="201"/>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02"/>
        <v>S</v>
      </c>
      <c r="D1235" s="1280" t="s">
        <v>1350</v>
      </c>
      <c r="E1235" s="766" t="s">
        <v>865</v>
      </c>
      <c r="F1235" s="1280"/>
      <c r="G1235" s="1280"/>
      <c r="H1235" s="1280"/>
      <c r="I1235" s="1241" t="str">
        <f t="shared" si="203"/>
        <v>Zip Code</v>
      </c>
      <c r="J1235" s="1280" t="str">
        <f>IF(P1225="",Q$1&amp;M221,"")</f>
        <v>F</v>
      </c>
      <c r="K1235" s="1280" t="str">
        <f t="shared" si="201"/>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02"/>
        <v>S</v>
      </c>
      <c r="D1236" s="1280" t="s">
        <v>1350</v>
      </c>
      <c r="E1236" s="766" t="s">
        <v>865</v>
      </c>
      <c r="F1236" s="1280"/>
      <c r="G1236" s="1280"/>
      <c r="H1236" s="1280"/>
      <c r="I1236" s="1241" t="str">
        <f t="shared" si="203"/>
        <v>Zip Code</v>
      </c>
      <c r="J1236" s="1280" t="str">
        <f>IF(P1226="",Q$1&amp;M232,"")</f>
        <v>F</v>
      </c>
      <c r="K1236" s="1280" t="str">
        <f t="shared" si="201"/>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02"/>
        <v>S</v>
      </c>
      <c r="D1237" s="1280" t="s">
        <v>1350</v>
      </c>
      <c r="E1237" s="766" t="s">
        <v>865</v>
      </c>
      <c r="F1237" s="1280"/>
      <c r="G1237" s="1280"/>
      <c r="H1237" s="1280"/>
      <c r="I1237" s="1241" t="str">
        <f t="shared" si="203"/>
        <v>Zip Code</v>
      </c>
      <c r="J1237" s="1280" t="str">
        <f>IF(P1227="",Q$1&amp;M243,"")</f>
        <v>F</v>
      </c>
      <c r="K1237" s="1280" t="str">
        <f t="shared" si="201"/>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02"/>
        <v>S</v>
      </c>
      <c r="D1238" s="1280" t="s">
        <v>1350</v>
      </c>
      <c r="E1238" s="766" t="s">
        <v>865</v>
      </c>
      <c r="F1238" s="1280"/>
      <c r="G1238" s="1280"/>
      <c r="H1238" s="1280"/>
      <c r="I1238" s="1241" t="str">
        <f t="shared" si="203"/>
        <v>Zip Code</v>
      </c>
      <c r="J1238" s="1280" t="str">
        <f>IF(P1228="",Q$1&amp;M254,"")</f>
        <v>F</v>
      </c>
      <c r="K1238" s="1280" t="str">
        <f t="shared" si="201"/>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02"/>
        <v>S</v>
      </c>
      <c r="D1239" s="1280" t="s">
        <v>1350</v>
      </c>
      <c r="E1239" s="766" t="s">
        <v>865</v>
      </c>
      <c r="F1239" s="1280"/>
      <c r="G1239" s="1280"/>
      <c r="H1239" s="1280"/>
      <c r="I1239" s="1241" t="str">
        <f t="shared" si="203"/>
        <v>Zip Code</v>
      </c>
      <c r="J1239" s="1280" t="str">
        <f>IF(P1229="",Q$1&amp;M265,"")</f>
        <v>F</v>
      </c>
      <c r="K1239" s="1280" t="str">
        <f t="shared" si="201"/>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ca="1">_xlfn.IFNA(_xlfn.CONCAT(SUBSTITUTE(ADDRESS(1,MATCH(A1240,INDIRECT("'"&amp;E1240&amp;"'"&amp;"!A5:Z5"),0),4),1,""),15),"")</f>
        <v>S15</v>
      </c>
      <c r="C1240" s="766" t="str">
        <f t="shared" ca="1" si="202"/>
        <v>S</v>
      </c>
      <c r="D1240" s="1280" t="s">
        <v>1350</v>
      </c>
      <c r="E1240" s="766" t="s">
        <v>865</v>
      </c>
      <c r="F1240" s="1280"/>
      <c r="G1240" s="1280"/>
      <c r="H1240" s="1280"/>
      <c r="I1240" s="1241" t="str">
        <f t="shared" si="203"/>
        <v>Zip Code</v>
      </c>
      <c r="J1240" s="1280" t="str">
        <f>IF(P1230="",Q$1&amp;M276,"")</f>
        <v>F</v>
      </c>
      <c r="K1240" s="1280" t="str">
        <f t="shared" si="201"/>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03"/>
        <v>Per</v>
      </c>
      <c r="J1241" s="1280" t="str">
        <f>IFERROR(Q$1&amp;M280,"")</f>
        <v>F249</v>
      </c>
      <c r="K1241" s="1280" t="str">
        <f t="shared" si="201"/>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04">_xlfn.CONCAT(IFERROR(SUBSTITUTE(ADDRESS(1,MATCH(A1242,INDIRECT("'"&amp;E1242&amp;"'"&amp;"!A9:Z9"),0),4),1,""),""))</f>
        <v>D</v>
      </c>
      <c r="D1242" s="1280" t="s">
        <v>1350</v>
      </c>
      <c r="E1242" s="766" t="s">
        <v>208</v>
      </c>
      <c r="F1242" s="1280"/>
      <c r="G1242" s="1280"/>
      <c r="H1242" s="1280"/>
      <c r="I1242" s="1241" t="str">
        <f t="shared" si="203"/>
        <v>Per</v>
      </c>
      <c r="J1242" s="1280" t="str">
        <f>IFERROR(Q$1&amp;M292,"")</f>
        <v>F261</v>
      </c>
      <c r="K1242" s="1280" t="str">
        <f t="shared" si="201"/>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04"/>
        <v>D</v>
      </c>
      <c r="D1243" s="1280" t="s">
        <v>1350</v>
      </c>
      <c r="E1243" s="766" t="s">
        <v>208</v>
      </c>
      <c r="F1243" s="1280"/>
      <c r="G1243" s="1280"/>
      <c r="H1243" s="1280"/>
      <c r="I1243" s="1241" t="str">
        <f t="shared" si="203"/>
        <v>Per</v>
      </c>
      <c r="J1243" s="1280" t="str">
        <f>IFERROR(Q$1&amp;M304,"")</f>
        <v>F273</v>
      </c>
      <c r="K1243" s="1280" t="str">
        <f t="shared" si="201"/>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04"/>
        <v>D</v>
      </c>
      <c r="D1244" s="1280" t="s">
        <v>1350</v>
      </c>
      <c r="E1244" s="766" t="s">
        <v>208</v>
      </c>
      <c r="F1244" s="1280"/>
      <c r="G1244" s="1280"/>
      <c r="H1244" s="1280"/>
      <c r="I1244" s="1241" t="str">
        <f t="shared" si="203"/>
        <v>Per</v>
      </c>
      <c r="J1244" s="1280" t="str">
        <f>IFERROR(Q$1&amp;M316,"")</f>
        <v>F285</v>
      </c>
      <c r="K1244" s="1280" t="str">
        <f t="shared" si="201"/>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04"/>
        <v>D</v>
      </c>
      <c r="D1245" s="1280" t="s">
        <v>1350</v>
      </c>
      <c r="E1245" s="766" t="s">
        <v>208</v>
      </c>
      <c r="F1245" s="1280"/>
      <c r="G1245" s="1280"/>
      <c r="H1245" s="1280"/>
      <c r="I1245" s="1241" t="str">
        <f t="shared" si="203"/>
        <v>Per</v>
      </c>
      <c r="J1245" s="1280" t="str">
        <f>IFERROR(Q$1&amp;M328,"")</f>
        <v>F297</v>
      </c>
      <c r="K1245" s="1280" t="str">
        <f t="shared" si="201"/>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04"/>
        <v>D</v>
      </c>
      <c r="D1246" s="1280" t="s">
        <v>1350</v>
      </c>
      <c r="E1246" s="766" t="s">
        <v>208</v>
      </c>
      <c r="F1246" s="1280"/>
      <c r="G1246" s="1280"/>
      <c r="H1246" s="1280"/>
      <c r="I1246" s="1241" t="str">
        <f t="shared" si="203"/>
        <v>Per</v>
      </c>
      <c r="J1246" s="1280" t="str">
        <f>IFERROR(Q$1&amp;M340,"")</f>
        <v>F309</v>
      </c>
      <c r="K1246" s="1280" t="str">
        <f t="shared" si="201"/>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04"/>
        <v>D</v>
      </c>
      <c r="D1247" s="1280" t="s">
        <v>1350</v>
      </c>
      <c r="E1247" s="766" t="s">
        <v>208</v>
      </c>
      <c r="F1247" s="1280"/>
      <c r="G1247" s="1280"/>
      <c r="H1247" s="1280"/>
      <c r="I1247" s="1241" t="str">
        <f t="shared" si="203"/>
        <v>Per</v>
      </c>
      <c r="J1247" s="1280" t="str">
        <f>IFERROR(Q$1&amp;M352,"")</f>
        <v>F321</v>
      </c>
      <c r="K1247" s="1280" t="str">
        <f t="shared" si="201"/>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04"/>
        <v>D</v>
      </c>
      <c r="D1248" s="1280" t="s">
        <v>1350</v>
      </c>
      <c r="E1248" s="766" t="s">
        <v>208</v>
      </c>
      <c r="F1248" s="1280"/>
      <c r="G1248" s="1280"/>
      <c r="H1248" s="1280"/>
      <c r="I1248" s="1241" t="str">
        <f t="shared" si="203"/>
        <v>Per</v>
      </c>
      <c r="J1248" s="1280" t="str">
        <f>IFERROR(Q$1&amp;M364,"")</f>
        <v>F333</v>
      </c>
      <c r="K1248" s="1280" t="str">
        <f t="shared" si="201"/>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04"/>
        <v>D</v>
      </c>
      <c r="D1249" s="1280" t="s">
        <v>1350</v>
      </c>
      <c r="E1249" s="766" t="s">
        <v>208</v>
      </c>
      <c r="F1249" s="1280"/>
      <c r="G1249" s="1280"/>
      <c r="H1249" s="1280"/>
      <c r="I1249" s="1241" t="str">
        <f t="shared" si="203"/>
        <v>Per</v>
      </c>
      <c r="J1249" s="1280" t="str">
        <f>IFERROR(Q$1&amp;M376,"")</f>
        <v>F345</v>
      </c>
      <c r="K1249" s="1280" t="str">
        <f t="shared" si="201"/>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04"/>
        <v>D</v>
      </c>
      <c r="D1250" s="1280" t="s">
        <v>1350</v>
      </c>
      <c r="E1250" s="766" t="s">
        <v>208</v>
      </c>
      <c r="F1250" s="1280"/>
      <c r="G1250" s="1280"/>
      <c r="H1250" s="1280"/>
      <c r="I1250" s="1241" t="str">
        <f t="shared" si="203"/>
        <v>Per</v>
      </c>
      <c r="J1250" s="1280" t="str">
        <f>IFERROR(Q$1&amp;M388,"")</f>
        <v>F357</v>
      </c>
      <c r="K1250" s="1280" t="str">
        <f t="shared" si="201"/>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04"/>
        <v>D</v>
      </c>
      <c r="D1251" s="1280" t="s">
        <v>1350</v>
      </c>
      <c r="E1251" s="766" t="s">
        <v>208</v>
      </c>
      <c r="F1251" s="1280"/>
      <c r="G1251" s="1280"/>
      <c r="H1251" s="1280"/>
      <c r="I1251" s="1241" t="str">
        <f t="shared" si="203"/>
        <v>Per</v>
      </c>
      <c r="J1251" s="1280" t="str">
        <f>IFERROR(Q$1&amp;M400,"")</f>
        <v>F369</v>
      </c>
      <c r="K1251" s="1280" t="str">
        <f t="shared" si="201"/>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04"/>
        <v>D</v>
      </c>
      <c r="D1252" s="1280" t="s">
        <v>1350</v>
      </c>
      <c r="E1252" s="766" t="s">
        <v>208</v>
      </c>
      <c r="F1252" s="1280"/>
      <c r="G1252" s="1280"/>
      <c r="H1252" s="1280"/>
      <c r="I1252" s="1241" t="str">
        <f t="shared" si="203"/>
        <v>Per</v>
      </c>
      <c r="J1252" s="1280" t="str">
        <f>IFERROR(Q$1&amp;M412,"")</f>
        <v>F381</v>
      </c>
      <c r="K1252" s="1280" t="str">
        <f t="shared" si="201"/>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04"/>
        <v>D</v>
      </c>
      <c r="D1253" s="1280" t="s">
        <v>1350</v>
      </c>
      <c r="E1253" s="766" t="s">
        <v>208</v>
      </c>
      <c r="F1253" s="1280"/>
      <c r="G1253" s="1280"/>
      <c r="H1253" s="1280"/>
      <c r="I1253" s="1241" t="str">
        <f t="shared" si="203"/>
        <v>Per</v>
      </c>
      <c r="J1253" s="1280" t="str">
        <f>IFERROR(Q$1&amp;M424,"")</f>
        <v>F393</v>
      </c>
      <c r="K1253" s="1280" t="str">
        <f t="shared" si="201"/>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04"/>
        <v>D</v>
      </c>
      <c r="D1254" s="1280" t="s">
        <v>1350</v>
      </c>
      <c r="E1254" s="766" t="s">
        <v>208</v>
      </c>
      <c r="F1254" s="1280"/>
      <c r="G1254" s="1280"/>
      <c r="H1254" s="1280"/>
      <c r="I1254" s="1241" t="str">
        <f t="shared" si="203"/>
        <v>Per</v>
      </c>
      <c r="J1254" s="1280" t="str">
        <f>IFERROR(Q$1&amp;M436,"")</f>
        <v>F405</v>
      </c>
      <c r="K1254" s="1280" t="str">
        <f t="shared" si="201"/>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04"/>
        <v>D</v>
      </c>
      <c r="D1255" s="1280" t="s">
        <v>1350</v>
      </c>
      <c r="E1255" s="766" t="s">
        <v>208</v>
      </c>
      <c r="F1255" s="1280"/>
      <c r="G1255" s="1280"/>
      <c r="H1255" s="1280"/>
      <c r="I1255" s="1241" t="str">
        <f t="shared" si="203"/>
        <v>Per</v>
      </c>
      <c r="J1255" s="1280" t="str">
        <f>IFERROR(Q$1&amp;M448,"")</f>
        <v>F417</v>
      </c>
      <c r="K1255" s="1280" t="str">
        <f t="shared" si="201"/>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04"/>
        <v>D</v>
      </c>
      <c r="D1256" s="1280" t="s">
        <v>1350</v>
      </c>
      <c r="E1256" s="766" t="s">
        <v>208</v>
      </c>
      <c r="F1256" s="1280"/>
      <c r="G1256" s="1280"/>
      <c r="H1256" s="1280"/>
      <c r="I1256" s="1241" t="str">
        <f t="shared" si="203"/>
        <v>Per</v>
      </c>
      <c r="J1256" s="1280" t="str">
        <f>IFERROR(Q$1&amp;M460,"")</f>
        <v>F429</v>
      </c>
      <c r="K1256" s="1280" t="str">
        <f t="shared" si="201"/>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04"/>
        <v>D</v>
      </c>
      <c r="D1257" s="1280" t="s">
        <v>1350</v>
      </c>
      <c r="E1257" s="766" t="s">
        <v>208</v>
      </c>
      <c r="F1257" s="1280"/>
      <c r="G1257" s="1280"/>
      <c r="H1257" s="1280"/>
      <c r="I1257" s="1241" t="str">
        <f t="shared" si="203"/>
        <v>Per</v>
      </c>
      <c r="J1257" s="1280" t="str">
        <f>IFERROR(Q$1&amp;M472,"")</f>
        <v>F441</v>
      </c>
      <c r="K1257" s="1280" t="str">
        <f t="shared" si="201"/>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04"/>
        <v>D</v>
      </c>
      <c r="D1258" s="1280" t="s">
        <v>1350</v>
      </c>
      <c r="E1258" s="766" t="s">
        <v>208</v>
      </c>
      <c r="F1258" s="1280"/>
      <c r="G1258" s="1280"/>
      <c r="H1258" s="1280"/>
      <c r="I1258" s="1241" t="str">
        <f t="shared" si="203"/>
        <v>Per</v>
      </c>
      <c r="J1258" s="1280" t="str">
        <f>IFERROR(Q$1&amp;M484,"")</f>
        <v>F453</v>
      </c>
      <c r="K1258" s="1280" t="str">
        <f t="shared" si="201"/>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04"/>
        <v>D</v>
      </c>
      <c r="D1259" s="1280" t="s">
        <v>1350</v>
      </c>
      <c r="E1259" s="766" t="s">
        <v>208</v>
      </c>
      <c r="F1259" s="1280"/>
      <c r="G1259" s="1280"/>
      <c r="H1259" s="1280"/>
      <c r="I1259" s="1241" t="str">
        <f t="shared" si="203"/>
        <v>Per</v>
      </c>
      <c r="J1259" s="1280" t="str">
        <f>IFERROR(Q$1&amp;M496,"")</f>
        <v>F465</v>
      </c>
      <c r="K1259" s="1280" t="str">
        <f t="shared" si="201"/>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04"/>
        <v>D</v>
      </c>
      <c r="D1260" s="1280" t="s">
        <v>1350</v>
      </c>
      <c r="E1260" s="766" t="s">
        <v>208</v>
      </c>
      <c r="F1260" s="1280"/>
      <c r="G1260" s="1280"/>
      <c r="H1260" s="1280"/>
      <c r="I1260" s="1241" t="str">
        <f t="shared" si="203"/>
        <v>Per</v>
      </c>
      <c r="J1260" s="1280" t="str">
        <f>IFERROR(Q$1&amp;M508,"")</f>
        <v>F477</v>
      </c>
      <c r="K1260" s="1280" t="str">
        <f t="shared" si="201"/>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04"/>
        <v>D</v>
      </c>
      <c r="D1261" s="1280" t="s">
        <v>1350</v>
      </c>
      <c r="E1261" s="766" t="s">
        <v>208</v>
      </c>
      <c r="F1261" s="1280"/>
      <c r="G1261" s="1280"/>
      <c r="H1261" s="1280"/>
      <c r="I1261" s="1241" t="str">
        <f t="shared" si="203"/>
        <v>Per</v>
      </c>
      <c r="J1261" s="1280" t="str">
        <f>IFERROR(Q$1&amp;M520,"")</f>
        <v>F489</v>
      </c>
      <c r="K1261" s="1280" t="str">
        <f t="shared" si="201"/>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03"/>
        <v>Enter Margin</v>
      </c>
      <c r="J1262" s="1280" t="str">
        <f>IFERROR(Q$1&amp;M281,"")</f>
        <v>F250</v>
      </c>
      <c r="K1262" s="1280" t="str">
        <f t="shared" si="201"/>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05">_xlfn.CONCAT(IFERROR(SUBSTITUTE(ADDRESS(1,MATCH(A1263,INDIRECT("'"&amp;E1263&amp;"'"&amp;"!A9:Z9"),0),4),1,""),""))</f>
        <v>K</v>
      </c>
      <c r="D1263" s="1280" t="s">
        <v>1350</v>
      </c>
      <c r="E1263" s="766" t="s">
        <v>208</v>
      </c>
      <c r="F1263" s="1280"/>
      <c r="G1263" s="1280"/>
      <c r="H1263" s="1280"/>
      <c r="I1263" s="1241" t="str">
        <f t="shared" si="203"/>
        <v>Enter Margin</v>
      </c>
      <c r="J1263" s="1280" t="str">
        <f>IFERROR(Q$1&amp;M293,"")</f>
        <v>F262</v>
      </c>
      <c r="K1263" s="1280" t="str">
        <f t="shared" si="201"/>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05"/>
        <v>K</v>
      </c>
      <c r="D1264" s="1280" t="s">
        <v>1350</v>
      </c>
      <c r="E1264" s="766" t="s">
        <v>208</v>
      </c>
      <c r="F1264" s="1280"/>
      <c r="G1264" s="1280"/>
      <c r="H1264" s="1280"/>
      <c r="I1264" s="1241" t="str">
        <f t="shared" si="203"/>
        <v>Enter Margin</v>
      </c>
      <c r="J1264" s="1280" t="str">
        <f>IFERROR(Q$1&amp;M305,"")</f>
        <v>F274</v>
      </c>
      <c r="K1264" s="1280" t="str">
        <f t="shared" si="201"/>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05"/>
        <v>K</v>
      </c>
      <c r="D1265" s="1280" t="s">
        <v>1350</v>
      </c>
      <c r="E1265" s="766" t="s">
        <v>208</v>
      </c>
      <c r="F1265" s="1280"/>
      <c r="G1265" s="1280"/>
      <c r="H1265" s="1280"/>
      <c r="I1265" s="1241" t="str">
        <f t="shared" si="203"/>
        <v>Enter Margin</v>
      </c>
      <c r="J1265" s="1280" t="str">
        <f>IFERROR(Q$1&amp;M317,"")</f>
        <v>F286</v>
      </c>
      <c r="K1265" s="1280" t="str">
        <f t="shared" si="201"/>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05"/>
        <v>K</v>
      </c>
      <c r="D1266" s="1280" t="s">
        <v>1350</v>
      </c>
      <c r="E1266" s="766" t="s">
        <v>208</v>
      </c>
      <c r="F1266" s="1280"/>
      <c r="G1266" s="1280"/>
      <c r="H1266" s="1280"/>
      <c r="I1266" s="1241" t="str">
        <f t="shared" si="203"/>
        <v>Enter Margin</v>
      </c>
      <c r="J1266" s="1280" t="str">
        <f>IFERROR(Q$1&amp;M329,"")</f>
        <v>F298</v>
      </c>
      <c r="K1266" s="1280" t="str">
        <f t="shared" si="201"/>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05"/>
        <v>K</v>
      </c>
      <c r="D1267" s="1280" t="s">
        <v>1350</v>
      </c>
      <c r="E1267" s="766" t="s">
        <v>208</v>
      </c>
      <c r="F1267" s="1280"/>
      <c r="G1267" s="1280"/>
      <c r="H1267" s="1280"/>
      <c r="I1267" s="1241" t="str">
        <f t="shared" si="203"/>
        <v>Enter Margin</v>
      </c>
      <c r="J1267" s="1280" t="str">
        <f>IFERROR(Q$1&amp;M341,"")</f>
        <v>F310</v>
      </c>
      <c r="K1267" s="1280" t="str">
        <f t="shared" si="201"/>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05"/>
        <v>K</v>
      </c>
      <c r="D1268" s="1280" t="s">
        <v>1350</v>
      </c>
      <c r="E1268" s="766" t="s">
        <v>208</v>
      </c>
      <c r="F1268" s="1280"/>
      <c r="G1268" s="1280"/>
      <c r="H1268" s="1280"/>
      <c r="I1268" s="1241" t="str">
        <f t="shared" si="203"/>
        <v>Enter Margin</v>
      </c>
      <c r="J1268" s="1280" t="str">
        <f>IFERROR(Q$1&amp;M353,"")</f>
        <v>F322</v>
      </c>
      <c r="K1268" s="1280" t="str">
        <f t="shared" si="201"/>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05"/>
        <v>K</v>
      </c>
      <c r="D1269" s="1280" t="s">
        <v>1350</v>
      </c>
      <c r="E1269" s="766" t="s">
        <v>208</v>
      </c>
      <c r="F1269" s="1280"/>
      <c r="G1269" s="1280"/>
      <c r="H1269" s="1280"/>
      <c r="I1269" s="1241" t="str">
        <f t="shared" si="203"/>
        <v>Enter Margin</v>
      </c>
      <c r="J1269" s="1280" t="str">
        <f>IFERROR(Q$1&amp;M365,"")</f>
        <v>F334</v>
      </c>
      <c r="K1269" s="1280" t="str">
        <f t="shared" si="201"/>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05"/>
        <v>K</v>
      </c>
      <c r="D1270" s="1280" t="s">
        <v>1350</v>
      </c>
      <c r="E1270" s="766" t="s">
        <v>208</v>
      </c>
      <c r="F1270" s="1280"/>
      <c r="G1270" s="1280"/>
      <c r="H1270" s="1280"/>
      <c r="I1270" s="1241" t="str">
        <f t="shared" si="203"/>
        <v>Enter Margin</v>
      </c>
      <c r="J1270" s="1280" t="str">
        <f>IFERROR(Q$1&amp;M377,"")</f>
        <v>F346</v>
      </c>
      <c r="K1270" s="1280" t="str">
        <f t="shared" si="201"/>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05"/>
        <v>K</v>
      </c>
      <c r="D1271" s="1280" t="s">
        <v>1350</v>
      </c>
      <c r="E1271" s="766" t="s">
        <v>208</v>
      </c>
      <c r="F1271" s="1280"/>
      <c r="G1271" s="1280"/>
      <c r="H1271" s="1280"/>
      <c r="I1271" s="1241" t="str">
        <f t="shared" si="203"/>
        <v>Enter Margin</v>
      </c>
      <c r="J1271" s="1280" t="str">
        <f>IFERROR(Q$1&amp;M389,"")</f>
        <v>F358</v>
      </c>
      <c r="K1271" s="1280" t="str">
        <f t="shared" si="201"/>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05"/>
        <v>K</v>
      </c>
      <c r="D1272" s="1280" t="s">
        <v>1350</v>
      </c>
      <c r="E1272" s="766" t="s">
        <v>208</v>
      </c>
      <c r="F1272" s="1280"/>
      <c r="G1272" s="1280"/>
      <c r="H1272" s="1280"/>
      <c r="I1272" s="1241" t="str">
        <f t="shared" si="203"/>
        <v>Enter Margin</v>
      </c>
      <c r="J1272" s="1280" t="str">
        <f>IFERROR(Q$1&amp;M401,"")</f>
        <v>F370</v>
      </c>
      <c r="K1272" s="1280" t="str">
        <f t="shared" si="201"/>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05"/>
        <v>K</v>
      </c>
      <c r="D1273" s="1280" t="s">
        <v>1350</v>
      </c>
      <c r="E1273" s="766" t="s">
        <v>208</v>
      </c>
      <c r="F1273" s="1280"/>
      <c r="G1273" s="1280"/>
      <c r="H1273" s="1280"/>
      <c r="I1273" s="1241" t="str">
        <f t="shared" si="203"/>
        <v>Enter Margin</v>
      </c>
      <c r="J1273" s="1280" t="str">
        <f>IFERROR(Q$1&amp;M413,"")</f>
        <v>F382</v>
      </c>
      <c r="K1273" s="1280" t="str">
        <f t="shared" si="201"/>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05"/>
        <v>K</v>
      </c>
      <c r="D1274" s="1280" t="s">
        <v>1350</v>
      </c>
      <c r="E1274" s="766" t="s">
        <v>208</v>
      </c>
      <c r="F1274" s="1280"/>
      <c r="G1274" s="1280"/>
      <c r="H1274" s="1280"/>
      <c r="I1274" s="1241" t="str">
        <f t="shared" si="203"/>
        <v>Enter Margin</v>
      </c>
      <c r="J1274" s="1280" t="str">
        <f>IFERROR(Q$1&amp;M425,"")</f>
        <v>F394</v>
      </c>
      <c r="K1274" s="1280" t="str">
        <f t="shared" si="201"/>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05"/>
        <v>K</v>
      </c>
      <c r="D1275" s="1280" t="s">
        <v>1350</v>
      </c>
      <c r="E1275" s="766" t="s">
        <v>208</v>
      </c>
      <c r="F1275" s="1280"/>
      <c r="G1275" s="1280"/>
      <c r="H1275" s="1280"/>
      <c r="I1275" s="1241" t="str">
        <f t="shared" si="203"/>
        <v>Enter Margin</v>
      </c>
      <c r="J1275" s="1280" t="str">
        <f>IFERROR(Q$1&amp;M437,"")</f>
        <v>F406</v>
      </c>
      <c r="K1275" s="1280" t="str">
        <f t="shared" si="201"/>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05"/>
        <v>K</v>
      </c>
      <c r="D1276" s="1280" t="s">
        <v>1350</v>
      </c>
      <c r="E1276" s="766" t="s">
        <v>208</v>
      </c>
      <c r="F1276" s="1280"/>
      <c r="G1276" s="1280"/>
      <c r="H1276" s="1280"/>
      <c r="I1276" s="1241" t="str">
        <f t="shared" si="203"/>
        <v>Enter Margin</v>
      </c>
      <c r="J1276" s="1280" t="str">
        <f>IFERROR(Q$1&amp;M449,"")</f>
        <v>F418</v>
      </c>
      <c r="K1276" s="1280" t="str">
        <f t="shared" si="201"/>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05"/>
        <v>K</v>
      </c>
      <c r="D1277" s="1280" t="s">
        <v>1350</v>
      </c>
      <c r="E1277" s="766" t="s">
        <v>208</v>
      </c>
      <c r="F1277" s="1280"/>
      <c r="G1277" s="1280"/>
      <c r="H1277" s="1280"/>
      <c r="I1277" s="1241" t="str">
        <f t="shared" si="203"/>
        <v>Enter Margin</v>
      </c>
      <c r="J1277" s="1280" t="str">
        <f>IFERROR(Q$1&amp;M461,"")</f>
        <v>F430</v>
      </c>
      <c r="K1277" s="1280" t="str">
        <f t="shared" si="201"/>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05"/>
        <v>K</v>
      </c>
      <c r="D1278" s="1280" t="s">
        <v>1350</v>
      </c>
      <c r="E1278" s="766" t="s">
        <v>208</v>
      </c>
      <c r="F1278" s="1280"/>
      <c r="G1278" s="1280"/>
      <c r="H1278" s="1280"/>
      <c r="I1278" s="1241" t="str">
        <f t="shared" si="203"/>
        <v>Enter Margin</v>
      </c>
      <c r="J1278" s="1280" t="str">
        <f>IFERROR(Q$1&amp;M473,"")</f>
        <v>F442</v>
      </c>
      <c r="K1278" s="1280" t="str">
        <f t="shared" si="201"/>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05"/>
        <v>K</v>
      </c>
      <c r="D1279" s="1280" t="s">
        <v>1350</v>
      </c>
      <c r="E1279" s="766" t="s">
        <v>208</v>
      </c>
      <c r="F1279" s="1280"/>
      <c r="G1279" s="1280"/>
      <c r="H1279" s="1280"/>
      <c r="I1279" s="1241" t="str">
        <f t="shared" si="203"/>
        <v>Enter Margin</v>
      </c>
      <c r="J1279" s="1280" t="str">
        <f>IFERROR(Q$1&amp;M485,"")</f>
        <v>F454</v>
      </c>
      <c r="K1279" s="1280" t="str">
        <f t="shared" si="201"/>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05"/>
        <v>K</v>
      </c>
      <c r="D1280" s="1280" t="s">
        <v>1350</v>
      </c>
      <c r="E1280" s="766" t="s">
        <v>208</v>
      </c>
      <c r="F1280" s="1280"/>
      <c r="G1280" s="1280"/>
      <c r="H1280" s="1280"/>
      <c r="I1280" s="1241" t="str">
        <f t="shared" si="203"/>
        <v>Enter Margin</v>
      </c>
      <c r="J1280" s="1280" t="str">
        <f>IFERROR(Q$1&amp;M497,"")</f>
        <v>F466</v>
      </c>
      <c r="K1280" s="1280" t="str">
        <f t="shared" si="201"/>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05"/>
        <v>K</v>
      </c>
      <c r="D1281" s="1280" t="s">
        <v>1350</v>
      </c>
      <c r="E1281" s="766" t="s">
        <v>208</v>
      </c>
      <c r="F1281" s="1280"/>
      <c r="G1281" s="1280"/>
      <c r="H1281" s="1280"/>
      <c r="I1281" s="1241" t="str">
        <f t="shared" si="203"/>
        <v>Enter Margin</v>
      </c>
      <c r="J1281" s="1280" t="str">
        <f>IFERROR(Q$1&amp;M509,"")</f>
        <v>F478</v>
      </c>
      <c r="K1281" s="1280" t="str">
        <f t="shared" si="201"/>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05"/>
        <v>K</v>
      </c>
      <c r="D1282" s="1280" t="s">
        <v>1350</v>
      </c>
      <c r="E1282" s="766" t="s">
        <v>208</v>
      </c>
      <c r="F1282" s="1280"/>
      <c r="G1282" s="1280"/>
      <c r="H1282" s="1280"/>
      <c r="I1282" s="1241" t="str">
        <f t="shared" si="203"/>
        <v>Enter Margin</v>
      </c>
      <c r="J1282" s="1280" t="str">
        <f>IFERROR(Q$1&amp;M521,"")</f>
        <v>F490</v>
      </c>
      <c r="K1282" s="1280" t="str">
        <f t="shared" si="201"/>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01"/>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06">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06"/>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07">IF(J1286&lt;&gt;"",A1286,"")</f>
        <v>Offer this Incentive?</v>
      </c>
      <c r="J1286" s="1280" t="str">
        <f>$Q$1&amp;IF(T$1286&lt;&gt;0,U1286,IF(T$1304&lt;&gt;0,U1304,IF(T$1322&lt;&gt;0,U1322,"")))</f>
        <v>F</v>
      </c>
      <c r="K1286" s="1280" t="str">
        <f t="shared" si="206"/>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07"/>
        <v>Incentive Type</v>
      </c>
      <c r="J1287" s="1280" t="str">
        <f t="shared" ref="J1287:J1303" si="208">$Q$1&amp;IF(T$1286&lt;&gt;0,U1287,IF(T$1304&lt;&gt;0,U1305,IF(T$1322&lt;&gt;0,U1323,"")))</f>
        <v>F</v>
      </c>
      <c r="K1287" s="1280" t="str">
        <f t="shared" si="206"/>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07"/>
        <v>Incentive Effective Date</v>
      </c>
      <c r="J1288" s="1280" t="str">
        <f t="shared" si="208"/>
        <v>F</v>
      </c>
      <c r="K1288" s="1280" t="str">
        <f t="shared" si="206"/>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07"/>
        <v>Incentive Expiration Date</v>
      </c>
      <c r="J1289" s="1280" t="str">
        <f t="shared" si="208"/>
        <v>F</v>
      </c>
      <c r="K1289" s="1280" t="str">
        <f t="shared" si="206"/>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07"/>
        <v>Incentive Period</v>
      </c>
      <c r="J1290" s="1280" t="str">
        <f t="shared" si="208"/>
        <v>F</v>
      </c>
      <c r="K1290" s="1280" t="str">
        <f t="shared" si="206"/>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07"/>
        <v>Payment Method</v>
      </c>
      <c r="J1291" s="1280" t="str">
        <f t="shared" si="208"/>
        <v>F</v>
      </c>
      <c r="K1291" s="1280" t="str">
        <f t="shared" si="206"/>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07"/>
        <v>Paid to:</v>
      </c>
      <c r="J1292" s="1280" t="str">
        <f t="shared" si="208"/>
        <v>F</v>
      </c>
      <c r="K1292" s="1280" t="str">
        <f t="shared" si="206"/>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07"/>
        <v>AP/AR Vendor Number</v>
      </c>
      <c r="J1293" s="1280" t="str">
        <f t="shared" si="208"/>
        <v>F</v>
      </c>
      <c r="K1293" s="1280" t="str">
        <f t="shared" si="206"/>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07"/>
        <v>Minimum Units</v>
      </c>
      <c r="J1294" s="1280" t="str">
        <f t="shared" si="208"/>
        <v>F</v>
      </c>
      <c r="K1294" s="1280" t="str">
        <f t="shared" si="206"/>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07"/>
        <v>Minimum Units</v>
      </c>
      <c r="J1295" s="1280" t="str">
        <f t="shared" si="208"/>
        <v>F</v>
      </c>
      <c r="K1295" s="1280" t="str">
        <f t="shared" si="206"/>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07"/>
        <v>Minimum Units</v>
      </c>
      <c r="J1296" s="1280" t="str">
        <f t="shared" si="208"/>
        <v>F</v>
      </c>
      <c r="K1296" s="1280" t="str">
        <f t="shared" si="206"/>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07"/>
        <v>Minimum Units</v>
      </c>
      <c r="J1297" s="1280" t="str">
        <f t="shared" si="208"/>
        <v>F</v>
      </c>
      <c r="K1297" s="1280" t="str">
        <f t="shared" si="206"/>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07"/>
        <v>Minimum Units</v>
      </c>
      <c r="J1298" s="1280" t="str">
        <f t="shared" si="208"/>
        <v>F</v>
      </c>
      <c r="K1298" s="1280" t="str">
        <f t="shared" si="206"/>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07"/>
        <v>Rate % of Sales</v>
      </c>
      <c r="J1299" s="1280" t="str">
        <f t="shared" si="208"/>
        <v>F</v>
      </c>
      <c r="K1299" s="1280" t="str">
        <f t="shared" si="206"/>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07"/>
        <v>Rate % of Sales</v>
      </c>
      <c r="J1300" s="1280" t="str">
        <f t="shared" si="208"/>
        <v>F</v>
      </c>
      <c r="K1300" s="1280" t="str">
        <f t="shared" si="206"/>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07"/>
        <v>Rate % of Sales</v>
      </c>
      <c r="J1301" s="1280" t="str">
        <f t="shared" si="208"/>
        <v>F</v>
      </c>
      <c r="K1301" s="1280" t="str">
        <f t="shared" si="206"/>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07"/>
        <v>Rate % of Sales</v>
      </c>
      <c r="J1302" s="1280" t="str">
        <f t="shared" si="208"/>
        <v>F</v>
      </c>
      <c r="K1302" s="1280" t="str">
        <f t="shared" si="206"/>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07"/>
        <v>Rate % of Sales</v>
      </c>
      <c r="J1303" s="1280" t="str">
        <f t="shared" si="208"/>
        <v>F</v>
      </c>
      <c r="K1303" s="1280" t="str">
        <f t="shared" si="206"/>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07"/>
        <v>Offer this Incentive?</v>
      </c>
      <c r="J1304" s="1280" t="str">
        <f>$Q$1&amp;IF(T$1286=2,V1286,IF(T$1286=1,IF(T$1304&lt;&gt;0,U1304,IF(T$1322&lt;&gt;0,U1322,"")),IF(T$1304=2,V1304,IF(T$1304=1,IF(T$1322&lt;&gt;0,U1322,""),IF(T$1322=2,V1322,"")))))</f>
        <v>F</v>
      </c>
      <c r="K1304" s="1280" t="str">
        <f t="shared" si="206"/>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07"/>
        <v>Incentive Type</v>
      </c>
      <c r="J1305" s="1280" t="str">
        <f t="shared" ref="J1305:J1321" si="209">$Q$1&amp;IF(T$1286=2,V1287,IF(T$1286=1,IF(T$1304&lt;&gt;0,U1305,IF(T$1322&lt;&gt;0,U1323,"")),IF(T$1304=2,V1305,IF(T$1304=1,IF(T$1322&lt;&gt;0,U1323,""),IF(T$1322=2,V1323,"")))))</f>
        <v>F</v>
      </c>
      <c r="K1305" s="1280" t="str">
        <f t="shared" si="206"/>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07"/>
        <v>Incentive Effective Date</v>
      </c>
      <c r="J1306" s="1280" t="str">
        <f t="shared" si="209"/>
        <v>F</v>
      </c>
      <c r="K1306" s="1280" t="str">
        <f t="shared" si="206"/>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07"/>
        <v>Incentive Expiration Date</v>
      </c>
      <c r="J1307" s="1280" t="str">
        <f t="shared" si="209"/>
        <v>F</v>
      </c>
      <c r="K1307" s="1280" t="str">
        <f t="shared" si="206"/>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07"/>
        <v>Incentive Period</v>
      </c>
      <c r="J1308" s="1280" t="str">
        <f t="shared" si="209"/>
        <v>F</v>
      </c>
      <c r="K1308" s="1280" t="str">
        <f t="shared" si="206"/>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07"/>
        <v>Payment Method</v>
      </c>
      <c r="J1309" s="1280" t="str">
        <f t="shared" si="209"/>
        <v>F</v>
      </c>
      <c r="K1309" s="1280" t="str">
        <f t="shared" si="206"/>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07"/>
        <v>Paid to:</v>
      </c>
      <c r="J1310" s="1280" t="str">
        <f t="shared" si="209"/>
        <v>F</v>
      </c>
      <c r="K1310" s="1280" t="str">
        <f t="shared" si="206"/>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07"/>
        <v>AP/AR Vendor Number</v>
      </c>
      <c r="J1311" s="1280" t="str">
        <f t="shared" si="209"/>
        <v>F</v>
      </c>
      <c r="K1311" s="1280" t="str">
        <f t="shared" si="206"/>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07"/>
        <v>Minimum Units</v>
      </c>
      <c r="J1312" s="1280" t="str">
        <f t="shared" si="209"/>
        <v>F</v>
      </c>
      <c r="K1312" s="1280" t="str">
        <f t="shared" si="206"/>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07"/>
        <v>Minimum Units</v>
      </c>
      <c r="J1313" s="1280" t="str">
        <f t="shared" si="209"/>
        <v>F</v>
      </c>
      <c r="K1313" s="1280" t="str">
        <f t="shared" si="206"/>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07"/>
        <v>Minimum Units</v>
      </c>
      <c r="J1314" s="1280" t="str">
        <f t="shared" si="209"/>
        <v>F</v>
      </c>
      <c r="K1314" s="1280" t="str">
        <f t="shared" si="206"/>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07"/>
        <v>Minimum Units</v>
      </c>
      <c r="J1315" s="1280" t="str">
        <f t="shared" si="209"/>
        <v>F</v>
      </c>
      <c r="K1315" s="1280" t="str">
        <f t="shared" si="206"/>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07"/>
        <v>Minimum Units</v>
      </c>
      <c r="J1316" s="1280" t="str">
        <f t="shared" si="209"/>
        <v>F</v>
      </c>
      <c r="K1316" s="1280" t="str">
        <f t="shared" si="206"/>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07"/>
        <v>Rate % of Sales</v>
      </c>
      <c r="J1317" s="1280" t="str">
        <f t="shared" si="209"/>
        <v>F</v>
      </c>
      <c r="K1317" s="1280" t="str">
        <f t="shared" si="206"/>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07"/>
        <v>Rate % of Sales</v>
      </c>
      <c r="J1318" s="1280" t="str">
        <f t="shared" si="209"/>
        <v>F</v>
      </c>
      <c r="K1318" s="1280" t="str">
        <f t="shared" si="206"/>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07"/>
        <v>Rate % of Sales</v>
      </c>
      <c r="J1319" s="1280" t="str">
        <f t="shared" si="209"/>
        <v>F</v>
      </c>
      <c r="K1319" s="1280" t="str">
        <f t="shared" si="206"/>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07"/>
        <v>Rate % of Sales</v>
      </c>
      <c r="J1320" s="1280" t="str">
        <f t="shared" si="209"/>
        <v>F</v>
      </c>
      <c r="K1320" s="1280" t="str">
        <f t="shared" si="206"/>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07"/>
        <v>Rate % of Sales</v>
      </c>
      <c r="J1321" s="1280" t="str">
        <f t="shared" si="209"/>
        <v>F</v>
      </c>
      <c r="K1321" s="1280" t="str">
        <f t="shared" si="206"/>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07"/>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06"/>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07"/>
        <v>Incentive Type</v>
      </c>
      <c r="J1323" s="1280" t="str">
        <f t="shared" ref="J1323:J1339" si="210">$Q$1&amp;IF(T$1286 = 2,IF(AND(T$1304=1,T$1304&lt;&gt;0),U1305,IF(AND(T$1322=1,T$1322&lt;&gt;0),U1323,"")),IF(T$1286=1,IF(T$1304=2,V1305,IF(T$1304=1,IF(AND(T$1322=1,T$1322&lt;&gt;0),U1323,""),IF(T$1322=2,V1323,""))),IF(T$1304=2,IF(AND(T$1322=1,T$1322&lt;&gt;0),U1323,""),IF(T$1304=1,IF(T$1322 = 2,V1323,""),""))))</f>
        <v>F</v>
      </c>
      <c r="K1323" s="1280" t="str">
        <f t="shared" si="206"/>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07"/>
        <v>Incentive Effective Date</v>
      </c>
      <c r="J1324" s="1280" t="str">
        <f t="shared" si="210"/>
        <v>F</v>
      </c>
      <c r="K1324" s="1280" t="str">
        <f t="shared" si="206"/>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07"/>
        <v>Incentive Expiration Date</v>
      </c>
      <c r="J1325" s="1280" t="str">
        <f t="shared" si="210"/>
        <v>F</v>
      </c>
      <c r="K1325" s="1280" t="str">
        <f t="shared" si="206"/>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07"/>
        <v>Incentive Period</v>
      </c>
      <c r="J1326" s="1280" t="str">
        <f t="shared" si="210"/>
        <v>F</v>
      </c>
      <c r="K1326" s="1280" t="str">
        <f t="shared" si="206"/>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07"/>
        <v>Payment Method</v>
      </c>
      <c r="J1327" s="1280" t="str">
        <f t="shared" si="210"/>
        <v>F</v>
      </c>
      <c r="K1327" s="1280" t="str">
        <f t="shared" si="206"/>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07"/>
        <v>Paid to:</v>
      </c>
      <c r="J1328" s="1280" t="str">
        <f t="shared" si="210"/>
        <v>F</v>
      </c>
      <c r="K1328" s="1280" t="str">
        <f t="shared" si="206"/>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07"/>
        <v>AP/AR Vendor Number</v>
      </c>
      <c r="J1329" s="1280" t="str">
        <f t="shared" si="210"/>
        <v>F</v>
      </c>
      <c r="K1329" s="1280" t="str">
        <f t="shared" si="206"/>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07"/>
        <v>Minimum Units</v>
      </c>
      <c r="J1330" s="1280" t="str">
        <f t="shared" si="210"/>
        <v>F</v>
      </c>
      <c r="K1330" s="1280" t="str">
        <f t="shared" si="206"/>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07"/>
        <v>Minimum Units</v>
      </c>
      <c r="J1331" s="1280" t="str">
        <f t="shared" si="210"/>
        <v>F</v>
      </c>
      <c r="K1331" s="1280" t="str">
        <f t="shared" si="206"/>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07"/>
        <v>Minimum Units</v>
      </c>
      <c r="J1332" s="1280" t="str">
        <f t="shared" si="210"/>
        <v>F</v>
      </c>
      <c r="K1332" s="1280" t="str">
        <f t="shared" si="206"/>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07"/>
        <v>Minimum Units</v>
      </c>
      <c r="J1333" s="1280" t="str">
        <f t="shared" si="210"/>
        <v>F</v>
      </c>
      <c r="K1333" s="1280" t="str">
        <f t="shared" si="206"/>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07"/>
        <v>Minimum Units</v>
      </c>
      <c r="J1334" s="1280" t="str">
        <f t="shared" si="210"/>
        <v>F</v>
      </c>
      <c r="K1334" s="1280" t="str">
        <f t="shared" si="206"/>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07"/>
        <v>Rate % of Sales</v>
      </c>
      <c r="J1335" s="1280" t="str">
        <f t="shared" si="210"/>
        <v>F</v>
      </c>
      <c r="K1335" s="1280" t="str">
        <f t="shared" si="206"/>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07"/>
        <v>Rate % of Sales</v>
      </c>
      <c r="J1336" s="1280" t="str">
        <f t="shared" si="210"/>
        <v>F</v>
      </c>
      <c r="K1336" s="1280" t="str">
        <f t="shared" si="206"/>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07"/>
        <v>Rate % of Sales</v>
      </c>
      <c r="J1337" s="1280" t="str">
        <f t="shared" si="210"/>
        <v>F</v>
      </c>
      <c r="K1337" s="1280" t="str">
        <f t="shared" si="206"/>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07"/>
        <v>Rate % of Sales</v>
      </c>
      <c r="J1338" s="1280" t="str">
        <f t="shared" si="210"/>
        <v>F</v>
      </c>
      <c r="K1338" s="1280" t="str">
        <f t="shared" si="206"/>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07"/>
        <v>Rate % of Sales</v>
      </c>
      <c r="J1339" s="1280" t="str">
        <f t="shared" si="210"/>
        <v>F</v>
      </c>
      <c r="K1339" s="1280" t="str">
        <f t="shared" si="206"/>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07"/>
        <v>Offer this Incentive?</v>
      </c>
      <c r="J1340" s="1280" t="str">
        <f>$Q$1&amp;IF(T$1340&lt;&gt;0,U1340,IF(T$1358&lt;&gt;0,U1358,""))</f>
        <v>F</v>
      </c>
      <c r="K1340" s="1280" t="str">
        <f t="shared" si="206"/>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07"/>
        <v>Incentive Type</v>
      </c>
      <c r="J1341" s="1280" t="str">
        <f t="shared" ref="J1341:J1357" si="211">$Q$1&amp;IF(T$1340&lt;&gt;0,U1341,IF(T$1358&lt;&gt;0,U1359,""))</f>
        <v>F</v>
      </c>
      <c r="K1341" s="1280" t="str">
        <f t="shared" si="206"/>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07"/>
        <v>Incentive Effective Date</v>
      </c>
      <c r="J1342" s="1280" t="str">
        <f t="shared" si="211"/>
        <v>F</v>
      </c>
      <c r="K1342" s="1280" t="str">
        <f t="shared" si="206"/>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07"/>
        <v>Incentive Expiration Date</v>
      </c>
      <c r="J1343" s="1280" t="str">
        <f t="shared" si="211"/>
        <v>F</v>
      </c>
      <c r="K1343" s="1280" t="str">
        <f t="shared" si="206"/>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07"/>
        <v>Incentive Period</v>
      </c>
      <c r="J1344" s="1280" t="str">
        <f t="shared" si="211"/>
        <v>F</v>
      </c>
      <c r="K1344" s="1280" t="str">
        <f t="shared" si="206"/>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07"/>
        <v>Payment Method</v>
      </c>
      <c r="J1345" s="1280" t="str">
        <f t="shared" si="211"/>
        <v>F</v>
      </c>
      <c r="K1345" s="1280" t="str">
        <f t="shared" si="206"/>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07"/>
        <v>Paid to:</v>
      </c>
      <c r="J1346" s="1280" t="str">
        <f t="shared" si="211"/>
        <v>F</v>
      </c>
      <c r="K1346" s="1280" t="str">
        <f t="shared" si="206"/>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07"/>
        <v>AP/AR Vendor Number</v>
      </c>
      <c r="J1347" s="1280" t="str">
        <f t="shared" si="211"/>
        <v>F</v>
      </c>
      <c r="K1347" s="1280" t="str">
        <f t="shared" si="206"/>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07"/>
        <v>Minimum Units</v>
      </c>
      <c r="J1348" s="1280" t="str">
        <f t="shared" si="211"/>
        <v>F</v>
      </c>
      <c r="K1348" s="1280" t="str">
        <f t="shared" si="206"/>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07"/>
        <v>Minimum Units</v>
      </c>
      <c r="J1349" s="1280" t="str">
        <f t="shared" si="211"/>
        <v>F</v>
      </c>
      <c r="K1349" s="1280" t="str">
        <f t="shared" ref="K1349:K1412" si="212">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13">IF(J1350&lt;&gt;"",A1350,"")</f>
        <v>Minimum Units</v>
      </c>
      <c r="J1350" s="1280" t="str">
        <f t="shared" si="211"/>
        <v>F</v>
      </c>
      <c r="K1350" s="1280" t="str">
        <f t="shared" si="212"/>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13"/>
        <v>Minimum Units</v>
      </c>
      <c r="J1351" s="1280" t="str">
        <f t="shared" si="211"/>
        <v>F</v>
      </c>
      <c r="K1351" s="1280" t="str">
        <f t="shared" si="212"/>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13"/>
        <v>Minimum Units</v>
      </c>
      <c r="J1352" s="1280" t="str">
        <f t="shared" si="211"/>
        <v>F</v>
      </c>
      <c r="K1352" s="1280" t="str">
        <f t="shared" si="212"/>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13"/>
        <v>Rate % of Sales</v>
      </c>
      <c r="J1353" s="1280" t="str">
        <f t="shared" si="211"/>
        <v>F</v>
      </c>
      <c r="K1353" s="1280" t="str">
        <f t="shared" si="212"/>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13"/>
        <v>Rate % of Sales</v>
      </c>
      <c r="J1354" s="1280" t="str">
        <f t="shared" si="211"/>
        <v>F</v>
      </c>
      <c r="K1354" s="1280" t="str">
        <f t="shared" si="212"/>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13"/>
        <v>Rate % of Sales</v>
      </c>
      <c r="J1355" s="1280" t="str">
        <f t="shared" si="211"/>
        <v>F</v>
      </c>
      <c r="K1355" s="1280" t="str">
        <f t="shared" si="212"/>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13"/>
        <v>Rate % of Sales</v>
      </c>
      <c r="J1356" s="1280" t="str">
        <f t="shared" si="211"/>
        <v>F</v>
      </c>
      <c r="K1356" s="1280" t="str">
        <f t="shared" si="212"/>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13"/>
        <v>Rate % of Sales</v>
      </c>
      <c r="J1357" s="1280" t="str">
        <f t="shared" si="211"/>
        <v>F</v>
      </c>
      <c r="K1357" s="1280" t="str">
        <f t="shared" si="212"/>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13"/>
        <v>Offer this Incentive?</v>
      </c>
      <c r="J1358" s="1280" t="str">
        <f>$Q$1&amp;IF(T$1340=2,V1340,IF(T$1340=1,IF(AND(T$1358=1,T$1358&lt;&gt;0),U1358,""),IF(T$1358=2,V1358,"")))</f>
        <v>F</v>
      </c>
      <c r="K1358" s="1280" t="str">
        <f t="shared" si="212"/>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13"/>
        <v>Incentive Type</v>
      </c>
      <c r="J1359" s="1280" t="str">
        <f t="shared" ref="J1359:J1375" si="214">$Q$1&amp;IF(T$1340=2,V1341,IF(T$1340=1,IF(AND(T$1358=1,T$1358&lt;&gt;0),U1359,""),IF(T$1358=2,V1359,"")))</f>
        <v>F</v>
      </c>
      <c r="K1359" s="1280" t="str">
        <f t="shared" si="212"/>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13"/>
        <v>Incentive Effective Date</v>
      </c>
      <c r="J1360" s="1280" t="str">
        <f t="shared" si="214"/>
        <v>F</v>
      </c>
      <c r="K1360" s="1280" t="str">
        <f t="shared" si="212"/>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13"/>
        <v>Incentive Expiration Date</v>
      </c>
      <c r="J1361" s="1280" t="str">
        <f t="shared" si="214"/>
        <v>F</v>
      </c>
      <c r="K1361" s="1280" t="str">
        <f t="shared" si="212"/>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13"/>
        <v>Incentive Period</v>
      </c>
      <c r="J1362" s="1280" t="str">
        <f t="shared" si="214"/>
        <v>F</v>
      </c>
      <c r="K1362" s="1280" t="str">
        <f t="shared" si="212"/>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13"/>
        <v>Payment Method</v>
      </c>
      <c r="J1363" s="1280" t="str">
        <f t="shared" si="214"/>
        <v>F</v>
      </c>
      <c r="K1363" s="1280" t="str">
        <f t="shared" si="212"/>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13"/>
        <v>Paid to:</v>
      </c>
      <c r="J1364" s="1280" t="str">
        <f t="shared" si="214"/>
        <v>F</v>
      </c>
      <c r="K1364" s="1280" t="str">
        <f t="shared" si="212"/>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13"/>
        <v>AP/AR Vendor Number</v>
      </c>
      <c r="J1365" s="1280" t="str">
        <f t="shared" si="214"/>
        <v>F</v>
      </c>
      <c r="K1365" s="1280" t="str">
        <f t="shared" si="212"/>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13"/>
        <v>Minimum Units</v>
      </c>
      <c r="J1366" s="1280" t="str">
        <f t="shared" si="214"/>
        <v>F</v>
      </c>
      <c r="K1366" s="1280" t="str">
        <f t="shared" si="212"/>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13"/>
        <v>Minimum Units</v>
      </c>
      <c r="J1367" s="1280" t="str">
        <f t="shared" si="214"/>
        <v>F</v>
      </c>
      <c r="K1367" s="1280" t="str">
        <f t="shared" si="212"/>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13"/>
        <v>Minimum Units</v>
      </c>
      <c r="J1368" s="1280" t="str">
        <f t="shared" si="214"/>
        <v>F</v>
      </c>
      <c r="K1368" s="1280" t="str">
        <f t="shared" si="212"/>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13"/>
        <v>Minimum Units</v>
      </c>
      <c r="J1369" s="1280" t="str">
        <f t="shared" si="214"/>
        <v>F</v>
      </c>
      <c r="K1369" s="1280" t="str">
        <f t="shared" si="212"/>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13"/>
        <v>Minimum Units</v>
      </c>
      <c r="J1370" s="1280" t="str">
        <f t="shared" si="214"/>
        <v>F</v>
      </c>
      <c r="K1370" s="1280" t="str">
        <f t="shared" si="212"/>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13"/>
        <v>Rate % of Sales</v>
      </c>
      <c r="J1371" s="1280" t="str">
        <f t="shared" si="214"/>
        <v>F</v>
      </c>
      <c r="K1371" s="1280" t="str">
        <f t="shared" si="212"/>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13"/>
        <v>Rate % of Sales</v>
      </c>
      <c r="J1372" s="1280" t="str">
        <f t="shared" si="214"/>
        <v>F</v>
      </c>
      <c r="K1372" s="1280" t="str">
        <f t="shared" si="212"/>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13"/>
        <v>Rate % of Sales</v>
      </c>
      <c r="J1373" s="1280" t="str">
        <f t="shared" si="214"/>
        <v>F</v>
      </c>
      <c r="K1373" s="1280" t="str">
        <f t="shared" si="212"/>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13"/>
        <v>Rate % of Sales</v>
      </c>
      <c r="J1374" s="1280" t="str">
        <f t="shared" si="214"/>
        <v>F</v>
      </c>
      <c r="K1374" s="1280" t="str">
        <f t="shared" si="212"/>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13"/>
        <v>Rate % of Sales</v>
      </c>
      <c r="J1375" s="1280" t="str">
        <f t="shared" si="214"/>
        <v>F</v>
      </c>
      <c r="K1375" s="1280" t="str">
        <f t="shared" si="212"/>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13"/>
        <v>Offer this Incentive?</v>
      </c>
      <c r="J1376" s="1280" t="str">
        <f>$Q$1&amp;IF(T$1376&lt;&gt;0,U1376,IF(T$1394&lt;&gt;0,U1394,IF(X$1394&lt;&gt;0,Y1394,"")))</f>
        <v>F</v>
      </c>
      <c r="K1376" s="1280" t="str">
        <f t="shared" si="212"/>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13"/>
        <v>Incentive Type</v>
      </c>
      <c r="J1377" s="1280" t="str">
        <f t="shared" ref="J1377:J1393" si="215">$Q$1&amp;IF(T$1376&lt;&gt;0,U1377,IF(T$1394&lt;&gt;0,U1395,IF(X$1394&lt;&gt;0,Y1395,"")))</f>
        <v>F</v>
      </c>
      <c r="K1377" s="1280" t="str">
        <f t="shared" si="212"/>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13"/>
        <v>Incentive Effective Date</v>
      </c>
      <c r="J1378" s="1280" t="str">
        <f t="shared" si="215"/>
        <v>F</v>
      </c>
      <c r="K1378" s="1280" t="str">
        <f t="shared" si="212"/>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13"/>
        <v>Incentive Expiration Date</v>
      </c>
      <c r="J1379" s="1280" t="str">
        <f t="shared" si="215"/>
        <v>F</v>
      </c>
      <c r="K1379" s="1280" t="str">
        <f t="shared" si="212"/>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13"/>
        <v>Incentive Period</v>
      </c>
      <c r="J1380" s="1280" t="str">
        <f t="shared" si="215"/>
        <v>F</v>
      </c>
      <c r="K1380" s="1280" t="str">
        <f t="shared" si="212"/>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13"/>
        <v>Payment Method</v>
      </c>
      <c r="J1381" s="1280" t="str">
        <f t="shared" si="215"/>
        <v>F</v>
      </c>
      <c r="K1381" s="1280" t="str">
        <f t="shared" si="212"/>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13"/>
        <v>Paid to:</v>
      </c>
      <c r="J1382" s="1280" t="str">
        <f t="shared" si="215"/>
        <v>F</v>
      </c>
      <c r="K1382" s="1280" t="str">
        <f t="shared" si="212"/>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13"/>
        <v>AP/AR Vendor Number</v>
      </c>
      <c r="J1383" s="1280" t="str">
        <f t="shared" si="215"/>
        <v>F</v>
      </c>
      <c r="K1383" s="1280" t="str">
        <f t="shared" si="212"/>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13"/>
        <v>Minimum Units</v>
      </c>
      <c r="J1384" s="1280" t="str">
        <f t="shared" si="215"/>
        <v>F</v>
      </c>
      <c r="K1384" s="1280" t="str">
        <f t="shared" si="212"/>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13"/>
        <v>Minimum Units</v>
      </c>
      <c r="J1385" s="1280" t="str">
        <f t="shared" si="215"/>
        <v>F</v>
      </c>
      <c r="K1385" s="1280" t="str">
        <f t="shared" si="212"/>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13"/>
        <v>Minimum Units</v>
      </c>
      <c r="J1386" s="1280" t="str">
        <f t="shared" si="215"/>
        <v>F</v>
      </c>
      <c r="K1386" s="1280" t="str">
        <f t="shared" si="212"/>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13"/>
        <v>Minimum Units</v>
      </c>
      <c r="J1387" s="1280" t="str">
        <f t="shared" si="215"/>
        <v>F</v>
      </c>
      <c r="K1387" s="1280" t="str">
        <f t="shared" si="212"/>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13"/>
        <v>Minimum Units</v>
      </c>
      <c r="J1388" s="1280" t="str">
        <f t="shared" si="215"/>
        <v>F</v>
      </c>
      <c r="K1388" s="1280" t="str">
        <f t="shared" si="212"/>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13"/>
        <v>Rate % of Sales</v>
      </c>
      <c r="J1389" s="1280" t="str">
        <f t="shared" si="215"/>
        <v>F</v>
      </c>
      <c r="K1389" s="1280" t="str">
        <f t="shared" si="212"/>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13"/>
        <v>Rate % of Sales</v>
      </c>
      <c r="J1390" s="1280" t="str">
        <f t="shared" si="215"/>
        <v>F</v>
      </c>
      <c r="K1390" s="1280" t="str">
        <f t="shared" si="212"/>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13"/>
        <v>Rate % of Sales</v>
      </c>
      <c r="J1391" s="1280" t="str">
        <f t="shared" si="215"/>
        <v>F</v>
      </c>
      <c r="K1391" s="1280" t="str">
        <f t="shared" si="212"/>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13"/>
        <v>Rate % of Sales</v>
      </c>
      <c r="J1392" s="1280" t="str">
        <f t="shared" si="215"/>
        <v>F</v>
      </c>
      <c r="K1392" s="1280" t="str">
        <f t="shared" si="212"/>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13"/>
        <v>Rate % of Sales</v>
      </c>
      <c r="J1393" s="1280" t="str">
        <f t="shared" si="215"/>
        <v>F</v>
      </c>
      <c r="K1393" s="1280" t="str">
        <f t="shared" si="212"/>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13"/>
        <v>Offer this Incentive?</v>
      </c>
      <c r="J1394" s="1280" t="str">
        <f>$Q$1&amp;IF(T$1376=2,V1376,IF(T$1376=1,IF(AND(T$1394=1,T$1394&lt;&gt;0),U1394,IF(AND(X$1394=1,X$1394&lt;&gt;0),Y1394,"")),IF(T$1394=2,V1394,IF(T$1394=1,IF(AND(X$1394=1,X$1394&lt;&gt;0),Y1394,""),IF(X$1394=2,Z1394,"")))))</f>
        <v>F</v>
      </c>
      <c r="K1394" s="1280" t="str">
        <f t="shared" si="212"/>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13"/>
        <v>Incentive Type</v>
      </c>
      <c r="J1395" s="1280" t="str">
        <f t="shared" ref="J1395:J1411" si="216">$Q$1&amp;IF(T$1376=2,V1377,IF(T$1376=1,IF(AND(T$1394=1,T$1394&lt;&gt;0),U1395,IF(AND(X$1394=1,X$1394&lt;&gt;0),Y1395,"")),IF(T$1394=2,U1395,IF(T$1394=1,IF(AND(X$1394=1,X$1394&lt;&gt;0),Y1395,""),IF(X$1394=2,Z1395,"")))))</f>
        <v>F</v>
      </c>
      <c r="K1395" s="1280" t="str">
        <f t="shared" si="212"/>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13"/>
        <v>Incentive Effective Date</v>
      </c>
      <c r="J1396" s="1280" t="str">
        <f t="shared" si="216"/>
        <v>F</v>
      </c>
      <c r="K1396" s="1280" t="str">
        <f t="shared" si="212"/>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13"/>
        <v>Incentive Expiration Date</v>
      </c>
      <c r="J1397" s="1280" t="str">
        <f t="shared" si="216"/>
        <v>F</v>
      </c>
      <c r="K1397" s="1280" t="str">
        <f t="shared" si="212"/>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13"/>
        <v>Incentive Period</v>
      </c>
      <c r="J1398" s="1280" t="str">
        <f t="shared" si="216"/>
        <v>F</v>
      </c>
      <c r="K1398" s="1280" t="str">
        <f t="shared" si="212"/>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13"/>
        <v>Payment Method</v>
      </c>
      <c r="J1399" s="1280" t="str">
        <f t="shared" si="216"/>
        <v>F</v>
      </c>
      <c r="K1399" s="1280" t="str">
        <f t="shared" si="212"/>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13"/>
        <v>Paid to:</v>
      </c>
      <c r="J1400" s="1280" t="str">
        <f t="shared" si="216"/>
        <v>F</v>
      </c>
      <c r="K1400" s="1280" t="str">
        <f t="shared" si="212"/>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13"/>
        <v>AP/AR Vendor Number</v>
      </c>
      <c r="J1401" s="1280" t="str">
        <f t="shared" si="216"/>
        <v>F</v>
      </c>
      <c r="K1401" s="1280" t="str">
        <f t="shared" si="212"/>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13"/>
        <v>Minimum Units</v>
      </c>
      <c r="J1402" s="1280" t="str">
        <f t="shared" si="216"/>
        <v>F</v>
      </c>
      <c r="K1402" s="1280" t="str">
        <f t="shared" si="212"/>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13"/>
        <v>Minimum Units</v>
      </c>
      <c r="J1403" s="1280" t="str">
        <f t="shared" si="216"/>
        <v>F</v>
      </c>
      <c r="K1403" s="1280" t="str">
        <f t="shared" si="212"/>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13"/>
        <v>Minimum Units</v>
      </c>
      <c r="J1404" s="1280" t="str">
        <f t="shared" si="216"/>
        <v>F</v>
      </c>
      <c r="K1404" s="1280" t="str">
        <f t="shared" si="212"/>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13"/>
        <v>Minimum Units</v>
      </c>
      <c r="J1405" s="1280" t="str">
        <f t="shared" si="216"/>
        <v>F</v>
      </c>
      <c r="K1405" s="1280" t="str">
        <f t="shared" si="212"/>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13"/>
        <v>Minimum Units</v>
      </c>
      <c r="J1406" s="1280" t="str">
        <f t="shared" si="216"/>
        <v>F</v>
      </c>
      <c r="K1406" s="1280" t="str">
        <f t="shared" si="212"/>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13"/>
        <v>Rate % of Sales</v>
      </c>
      <c r="J1407" s="1280" t="str">
        <f t="shared" si="216"/>
        <v>F</v>
      </c>
      <c r="K1407" s="1280" t="str">
        <f t="shared" si="212"/>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13"/>
        <v>Rate % of Sales</v>
      </c>
      <c r="J1408" s="1280" t="str">
        <f t="shared" si="216"/>
        <v>F</v>
      </c>
      <c r="K1408" s="1280" t="str">
        <f t="shared" si="212"/>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13"/>
        <v>Rate % of Sales</v>
      </c>
      <c r="J1409" s="1280" t="str">
        <f t="shared" si="216"/>
        <v>F</v>
      </c>
      <c r="K1409" s="1280" t="str">
        <f t="shared" si="212"/>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13"/>
        <v>Rate % of Sales</v>
      </c>
      <c r="J1410" s="1280" t="str">
        <f t="shared" si="216"/>
        <v>F</v>
      </c>
      <c r="K1410" s="1280" t="str">
        <f t="shared" si="212"/>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13"/>
        <v>Rate % of Sales</v>
      </c>
      <c r="J1411" s="1280" t="str">
        <f t="shared" si="216"/>
        <v>F</v>
      </c>
      <c r="K1411" s="1280" t="str">
        <f t="shared" si="212"/>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13"/>
        <v>Offer this Incentive?</v>
      </c>
      <c r="J1412" s="1280" t="str">
        <f>$Q$1&amp;T1412</f>
        <v>F</v>
      </c>
      <c r="K1412" s="1280" t="str">
        <f t="shared" si="212"/>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13"/>
        <v>Incentive Type</v>
      </c>
      <c r="J1413" s="1280" t="str">
        <f t="shared" ref="J1413:J1461" si="217">$Q$1&amp;T1413</f>
        <v>F</v>
      </c>
      <c r="K1413" s="1280" t="str">
        <f t="shared" ref="K1413:K1476" si="218">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19">IF(J1414&lt;&gt;"",A1414,"")</f>
        <v>Incentive Effective Date</v>
      </c>
      <c r="J1414" s="1280" t="str">
        <f t="shared" si="217"/>
        <v>F</v>
      </c>
      <c r="K1414" s="1280" t="str">
        <f t="shared" si="218"/>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19"/>
        <v>Incentive Expiration Date</v>
      </c>
      <c r="J1415" s="1280" t="str">
        <f t="shared" si="217"/>
        <v>F</v>
      </c>
      <c r="K1415" s="1280" t="str">
        <f t="shared" si="218"/>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19"/>
        <v>Incentive Period</v>
      </c>
      <c r="J1416" s="1280" t="str">
        <f t="shared" si="217"/>
        <v>F</v>
      </c>
      <c r="K1416" s="1280" t="str">
        <f t="shared" si="218"/>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19"/>
        <v>Payment Method</v>
      </c>
      <c r="J1417" s="1280" t="str">
        <f t="shared" si="217"/>
        <v>F</v>
      </c>
      <c r="K1417" s="1280" t="str">
        <f t="shared" si="218"/>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19"/>
        <v>Paid to:</v>
      </c>
      <c r="J1418" s="1280" t="str">
        <f t="shared" si="217"/>
        <v>F</v>
      </c>
      <c r="K1418" s="1280" t="str">
        <f t="shared" si="218"/>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19"/>
        <v>AP/AR Vendor Number</v>
      </c>
      <c r="J1419" s="1280" t="str">
        <f t="shared" si="217"/>
        <v>F</v>
      </c>
      <c r="K1419" s="1280" t="str">
        <f t="shared" si="218"/>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19"/>
        <v>Minimum Units</v>
      </c>
      <c r="J1420" s="1280" t="str">
        <f t="shared" si="217"/>
        <v>F</v>
      </c>
      <c r="K1420" s="1280" t="str">
        <f t="shared" si="218"/>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19"/>
        <v>Rate % of Sales</v>
      </c>
      <c r="J1421" s="1280" t="str">
        <f t="shared" si="217"/>
        <v>F</v>
      </c>
      <c r="K1421" s="1280" t="str">
        <f t="shared" si="218"/>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19"/>
        <v>Offer this Incentive?</v>
      </c>
      <c r="J1422" s="1280" t="str">
        <f t="shared" si="217"/>
        <v>F</v>
      </c>
      <c r="K1422" s="1280" t="str">
        <f t="shared" si="218"/>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19"/>
        <v>Incentive Type</v>
      </c>
      <c r="J1423" s="1280" t="str">
        <f t="shared" si="217"/>
        <v>F</v>
      </c>
      <c r="K1423" s="1280" t="str">
        <f t="shared" si="218"/>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19"/>
        <v>Incentive Effective Date</v>
      </c>
      <c r="J1424" s="1280" t="str">
        <f t="shared" si="217"/>
        <v>F</v>
      </c>
      <c r="K1424" s="1280" t="str">
        <f t="shared" si="218"/>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19"/>
        <v>Incentive Expiration Date</v>
      </c>
      <c r="J1425" s="1280" t="str">
        <f t="shared" si="217"/>
        <v>F</v>
      </c>
      <c r="K1425" s="1280" t="str">
        <f t="shared" si="218"/>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19"/>
        <v>Incentive Period</v>
      </c>
      <c r="J1426" s="1280" t="str">
        <f t="shared" si="217"/>
        <v>F</v>
      </c>
      <c r="K1426" s="1280" t="str">
        <f t="shared" si="218"/>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19"/>
        <v>Payment Method</v>
      </c>
      <c r="J1427" s="1280" t="str">
        <f t="shared" si="217"/>
        <v>F</v>
      </c>
      <c r="K1427" s="1280" t="str">
        <f t="shared" si="218"/>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19"/>
        <v>Paid to:</v>
      </c>
      <c r="J1428" s="1280" t="str">
        <f t="shared" si="217"/>
        <v>F</v>
      </c>
      <c r="K1428" s="1280" t="str">
        <f t="shared" si="218"/>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19"/>
        <v>AP/AR Vendor Number</v>
      </c>
      <c r="J1429" s="1280" t="str">
        <f t="shared" si="217"/>
        <v>F</v>
      </c>
      <c r="K1429" s="1280" t="str">
        <f t="shared" si="218"/>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19"/>
        <v>Minimum Units</v>
      </c>
      <c r="J1430" s="1280" t="str">
        <f t="shared" si="217"/>
        <v>F</v>
      </c>
      <c r="K1430" s="1280" t="str">
        <f t="shared" si="218"/>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19"/>
        <v>Rate % of Sales</v>
      </c>
      <c r="J1431" s="1280" t="str">
        <f t="shared" si="217"/>
        <v>F</v>
      </c>
      <c r="K1431" s="1280" t="str">
        <f t="shared" si="218"/>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19"/>
        <v>Offer this Incentive?</v>
      </c>
      <c r="J1432" s="1280" t="str">
        <f t="shared" si="217"/>
        <v>F</v>
      </c>
      <c r="K1432" s="1280" t="str">
        <f t="shared" si="218"/>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19"/>
        <v>Incentive Type</v>
      </c>
      <c r="J1433" s="1280" t="str">
        <f t="shared" si="217"/>
        <v>F</v>
      </c>
      <c r="K1433" s="1280" t="str">
        <f t="shared" si="218"/>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19"/>
        <v>Incentive Effective Date</v>
      </c>
      <c r="J1434" s="1280" t="str">
        <f t="shared" si="217"/>
        <v>F</v>
      </c>
      <c r="K1434" s="1280" t="str">
        <f t="shared" si="218"/>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19"/>
        <v>Incentive Expiration Date</v>
      </c>
      <c r="J1435" s="1280" t="str">
        <f t="shared" si="217"/>
        <v>F</v>
      </c>
      <c r="K1435" s="1280" t="str">
        <f t="shared" si="218"/>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19"/>
        <v>Incentive Period</v>
      </c>
      <c r="J1436" s="1280" t="str">
        <f t="shared" si="217"/>
        <v>F</v>
      </c>
      <c r="K1436" s="1280" t="str">
        <f t="shared" si="218"/>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19"/>
        <v>Payment Method</v>
      </c>
      <c r="J1437" s="1280" t="str">
        <f t="shared" si="217"/>
        <v>F</v>
      </c>
      <c r="K1437" s="1280" t="str">
        <f t="shared" si="218"/>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19"/>
        <v>Paid to:</v>
      </c>
      <c r="J1438" s="1280" t="str">
        <f t="shared" si="217"/>
        <v>F</v>
      </c>
      <c r="K1438" s="1280" t="str">
        <f t="shared" si="218"/>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19"/>
        <v>AP/AR Vendor Number</v>
      </c>
      <c r="J1439" s="1280" t="str">
        <f t="shared" si="217"/>
        <v>F</v>
      </c>
      <c r="K1439" s="1280" t="str">
        <f t="shared" si="218"/>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19"/>
        <v>Minimum Units</v>
      </c>
      <c r="J1440" s="1280" t="str">
        <f t="shared" si="217"/>
        <v>F</v>
      </c>
      <c r="K1440" s="1280" t="str">
        <f t="shared" si="218"/>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19"/>
        <v>Rate % of Sales</v>
      </c>
      <c r="J1441" s="1280" t="str">
        <f t="shared" si="217"/>
        <v>F</v>
      </c>
      <c r="K1441" s="1280" t="str">
        <f t="shared" si="218"/>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19"/>
        <v>Offer this Incentive?</v>
      </c>
      <c r="J1442" s="1280" t="str">
        <f t="shared" si="217"/>
        <v>F</v>
      </c>
      <c r="K1442" s="1280" t="str">
        <f t="shared" si="218"/>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19"/>
        <v>Incentive Type</v>
      </c>
      <c r="J1443" s="1280" t="str">
        <f t="shared" si="217"/>
        <v>F</v>
      </c>
      <c r="K1443" s="1280" t="str">
        <f t="shared" si="218"/>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19"/>
        <v>Incentive Effective Date</v>
      </c>
      <c r="J1444" s="1280" t="str">
        <f t="shared" si="217"/>
        <v>F</v>
      </c>
      <c r="K1444" s="1280" t="str">
        <f t="shared" si="218"/>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19"/>
        <v>Incentive Expiration Date</v>
      </c>
      <c r="J1445" s="1280" t="str">
        <f t="shared" si="217"/>
        <v>F</v>
      </c>
      <c r="K1445" s="1280" t="str">
        <f t="shared" si="218"/>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19"/>
        <v>Incentive Period</v>
      </c>
      <c r="J1446" s="1280" t="str">
        <f t="shared" si="217"/>
        <v>F</v>
      </c>
      <c r="K1446" s="1280" t="str">
        <f t="shared" si="218"/>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19"/>
        <v>Payment Method</v>
      </c>
      <c r="J1447" s="1280" t="str">
        <f t="shared" si="217"/>
        <v>F</v>
      </c>
      <c r="K1447" s="1280" t="str">
        <f t="shared" si="218"/>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19"/>
        <v>Paid to:</v>
      </c>
      <c r="J1448" s="1280" t="str">
        <f t="shared" si="217"/>
        <v>F</v>
      </c>
      <c r="K1448" s="1280" t="str">
        <f t="shared" si="218"/>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19"/>
        <v>AP/AR Vendor Number</v>
      </c>
      <c r="J1449" s="1280" t="str">
        <f t="shared" si="217"/>
        <v>F</v>
      </c>
      <c r="K1449" s="1280" t="str">
        <f t="shared" si="218"/>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19"/>
        <v>Minimum Units</v>
      </c>
      <c r="J1450" s="1280" t="str">
        <f t="shared" si="217"/>
        <v>F</v>
      </c>
      <c r="K1450" s="1280" t="str">
        <f t="shared" si="218"/>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19"/>
        <v>Rate % of Sales</v>
      </c>
      <c r="J1451" s="1280" t="str">
        <f t="shared" si="217"/>
        <v>F</v>
      </c>
      <c r="K1451" s="1280" t="str">
        <f t="shared" si="218"/>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19"/>
        <v>Offer this Incentive?</v>
      </c>
      <c r="J1452" s="1280" t="str">
        <f t="shared" si="217"/>
        <v>F</v>
      </c>
      <c r="K1452" s="1280" t="str">
        <f t="shared" si="218"/>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19"/>
        <v>Incentive Type</v>
      </c>
      <c r="J1453" s="1280" t="str">
        <f t="shared" si="217"/>
        <v>F</v>
      </c>
      <c r="K1453" s="1280" t="str">
        <f t="shared" si="218"/>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19"/>
        <v>Incentive Effective Date</v>
      </c>
      <c r="J1454" s="1280" t="str">
        <f t="shared" si="217"/>
        <v>F</v>
      </c>
      <c r="K1454" s="1280" t="str">
        <f t="shared" si="218"/>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19"/>
        <v>Incentive Expiration Date</v>
      </c>
      <c r="J1455" s="1280" t="str">
        <f t="shared" si="217"/>
        <v>F</v>
      </c>
      <c r="K1455" s="1280" t="str">
        <f t="shared" si="218"/>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19"/>
        <v>Incentive Period</v>
      </c>
      <c r="J1456" s="1280" t="str">
        <f t="shared" si="217"/>
        <v>F</v>
      </c>
      <c r="K1456" s="1280" t="str">
        <f t="shared" si="218"/>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19"/>
        <v>Payment Method</v>
      </c>
      <c r="J1457" s="1280" t="str">
        <f t="shared" si="217"/>
        <v>F</v>
      </c>
      <c r="K1457" s="1280" t="str">
        <f t="shared" si="218"/>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19"/>
        <v>Paid to:</v>
      </c>
      <c r="J1458" s="1280" t="str">
        <f t="shared" si="217"/>
        <v>F</v>
      </c>
      <c r="K1458" s="1280" t="str">
        <f t="shared" si="218"/>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19"/>
        <v>AP/AR Vendor Number</v>
      </c>
      <c r="J1459" s="1280" t="str">
        <f t="shared" si="217"/>
        <v>F</v>
      </c>
      <c r="K1459" s="1280" t="str">
        <f t="shared" si="218"/>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19"/>
        <v>Minimum Units</v>
      </c>
      <c r="J1460" s="1280" t="str">
        <f t="shared" si="217"/>
        <v>F</v>
      </c>
      <c r="K1460" s="1280" t="str">
        <f t="shared" si="218"/>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19"/>
        <v>Rate % of Sales</v>
      </c>
      <c r="J1461" s="1280" t="str">
        <f t="shared" si="217"/>
        <v>F</v>
      </c>
      <c r="K1461" s="1280" t="str">
        <f t="shared" si="218"/>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19"/>
        <v>Offer this Incentive?</v>
      </c>
      <c r="J1462" s="1280" t="str">
        <f>$Q$1&amp;T1462</f>
        <v>F</v>
      </c>
      <c r="K1462" s="1280" t="str">
        <f t="shared" si="218"/>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19"/>
        <v>Incentive Type</v>
      </c>
      <c r="J1463" s="1280" t="str">
        <f t="shared" ref="J1463:J1471" si="220">$Q$1&amp;T1463</f>
        <v>F</v>
      </c>
      <c r="K1463" s="1280" t="str">
        <f t="shared" si="218"/>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19"/>
        <v>Incentive Effective Date</v>
      </c>
      <c r="J1464" s="1280" t="str">
        <f t="shared" si="220"/>
        <v>F</v>
      </c>
      <c r="K1464" s="1280" t="str">
        <f t="shared" si="218"/>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19"/>
        <v>Incentive Expiration Date</v>
      </c>
      <c r="J1465" s="1280" t="str">
        <f t="shared" si="220"/>
        <v>F</v>
      </c>
      <c r="K1465" s="1280" t="str">
        <f t="shared" si="218"/>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19"/>
        <v>Incentive Period</v>
      </c>
      <c r="J1466" s="1280" t="str">
        <f t="shared" si="220"/>
        <v>F</v>
      </c>
      <c r="K1466" s="1280" t="str">
        <f t="shared" si="218"/>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19"/>
        <v>Payment Method</v>
      </c>
      <c r="J1467" s="1280" t="str">
        <f t="shared" si="220"/>
        <v>F</v>
      </c>
      <c r="K1467" s="1280" t="str">
        <f t="shared" si="218"/>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19"/>
        <v>Paid to:</v>
      </c>
      <c r="J1468" s="1280" t="str">
        <f t="shared" si="220"/>
        <v>F</v>
      </c>
      <c r="K1468" s="1280" t="str">
        <f t="shared" si="218"/>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19"/>
        <v>AP/AR Vendor Number</v>
      </c>
      <c r="J1469" s="1280" t="str">
        <f t="shared" si="220"/>
        <v>F</v>
      </c>
      <c r="K1469" s="1280" t="str">
        <f t="shared" si="218"/>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19"/>
        <v>Minimum Units</v>
      </c>
      <c r="J1470" s="1280" t="str">
        <f t="shared" si="220"/>
        <v>F</v>
      </c>
      <c r="K1470" s="1280" t="str">
        <f t="shared" si="218"/>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19"/>
        <v>Rate % of Sales</v>
      </c>
      <c r="J1471" s="1280" t="str">
        <f t="shared" si="220"/>
        <v>F</v>
      </c>
      <c r="K1471" s="1280" t="str">
        <f t="shared" si="218"/>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19"/>
        <v>Offer this Incentive?</v>
      </c>
      <c r="J1472" s="1280" t="str">
        <f>$Q$1&amp;IF(T$1472&lt;&gt;0,U1472,IF(T$1479&lt;&gt;0,U1479,""))</f>
        <v>F</v>
      </c>
      <c r="K1472" s="1280" t="str">
        <f t="shared" si="218"/>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19"/>
        <v>Incentive Type</v>
      </c>
      <c r="J1473" s="1280" t="str">
        <f t="shared" ref="J1473:J1478" si="221">$Q$1&amp;IF(T$1472&lt;&gt;0,U1473,IF(T$1479&lt;&gt;0,U1480,""))</f>
        <v>F</v>
      </c>
      <c r="K1473" s="1280" t="str">
        <f t="shared" si="218"/>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19"/>
        <v>Incentive Effective Date</v>
      </c>
      <c r="J1474" s="1280" t="str">
        <f t="shared" si="221"/>
        <v>F</v>
      </c>
      <c r="K1474" s="1280" t="str">
        <f t="shared" si="218"/>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19"/>
        <v>Incentive Expiration Date</v>
      </c>
      <c r="J1475" s="1280" t="str">
        <f t="shared" si="221"/>
        <v>F</v>
      </c>
      <c r="K1475" s="1280" t="str">
        <f t="shared" si="218"/>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19"/>
        <v>FF Payment Amount</v>
      </c>
      <c r="J1476" s="1280" t="str">
        <f t="shared" si="221"/>
        <v>F</v>
      </c>
      <c r="K1476" s="1280" t="str">
        <f t="shared" si="218"/>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19"/>
        <v>Payment Method</v>
      </c>
      <c r="J1477" s="1280" t="str">
        <f t="shared" si="221"/>
        <v>F</v>
      </c>
      <c r="K1477" s="1280" t="str">
        <f t="shared" ref="K1477:K1540" si="222">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23">IF(J1478&lt;&gt;"",A1478,"")</f>
        <v>AP/AR Vendor Number</v>
      </c>
      <c r="J1478" s="1280" t="str">
        <f t="shared" si="221"/>
        <v>F</v>
      </c>
      <c r="K1478" s="1280" t="str">
        <f t="shared" si="222"/>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23"/>
        <v>Offer this Incentive?</v>
      </c>
      <c r="J1479" s="1280" t="str">
        <f>$Q$1&amp;IF(T$1472=2,V1472,IF(AND(T$1479=1,T$1472=1),U1479,""))</f>
        <v>F</v>
      </c>
      <c r="K1479" s="1280" t="str">
        <f t="shared" si="222"/>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23"/>
        <v>Incentive Type</v>
      </c>
      <c r="J1480" s="1343" t="str">
        <f t="shared" ref="J1480:J1485" si="224">$Q$1&amp;IF(T$1472=2,V1473,IF(AND(T$1479=1,T$1472=1),U1480,""))</f>
        <v>F</v>
      </c>
      <c r="K1480" s="1280" t="str">
        <f t="shared" si="222"/>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23"/>
        <v>Incentive Effective Date</v>
      </c>
      <c r="J1481" s="1343" t="str">
        <f t="shared" si="224"/>
        <v>F</v>
      </c>
      <c r="K1481" s="1280" t="str">
        <f t="shared" si="222"/>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23"/>
        <v>Incentive Expiration Date</v>
      </c>
      <c r="J1482" s="1343" t="str">
        <f t="shared" si="224"/>
        <v>F</v>
      </c>
      <c r="K1482" s="1280" t="str">
        <f t="shared" si="222"/>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23"/>
        <v>FF Payment Amount</v>
      </c>
      <c r="J1483" s="1343" t="str">
        <f t="shared" si="224"/>
        <v>F</v>
      </c>
      <c r="K1483" s="1280" t="str">
        <f t="shared" si="222"/>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23"/>
        <v>Payment Method</v>
      </c>
      <c r="J1484" s="1343" t="str">
        <f t="shared" si="224"/>
        <v>F</v>
      </c>
      <c r="K1484" s="1280" t="str">
        <f t="shared" si="222"/>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23"/>
        <v>AP/AR Vendor Number</v>
      </c>
      <c r="J1485" s="1343" t="str">
        <f t="shared" si="224"/>
        <v>F</v>
      </c>
      <c r="K1485" s="1280" t="str">
        <f t="shared" si="222"/>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23"/>
        <v>Offer this Incentive?</v>
      </c>
      <c r="J1486" s="1280" t="str">
        <f>$Q$1&amp;T1486</f>
        <v>F</v>
      </c>
      <c r="K1486" s="1280" t="str">
        <f t="shared" si="222"/>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23"/>
        <v>Incentive Type</v>
      </c>
      <c r="J1487" s="1280" t="str">
        <f t="shared" ref="J1487:J1494" si="225">$Q$1&amp;T1487</f>
        <v>F</v>
      </c>
      <c r="K1487" s="1280" t="str">
        <f t="shared" si="222"/>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23"/>
        <v>Incentive Effective Date</v>
      </c>
      <c r="J1488" s="1280" t="str">
        <f t="shared" si="225"/>
        <v>F</v>
      </c>
      <c r="K1488" s="1280" t="str">
        <f t="shared" si="222"/>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23"/>
        <v>Incentive Expiration Date</v>
      </c>
      <c r="J1489" s="1280" t="str">
        <f t="shared" si="225"/>
        <v>F</v>
      </c>
      <c r="K1489" s="1280" t="str">
        <f t="shared" si="222"/>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23"/>
        <v>Incentive Period</v>
      </c>
      <c r="J1490" s="1280" t="str">
        <f t="shared" si="225"/>
        <v>F</v>
      </c>
      <c r="K1490" s="1280" t="str">
        <f t="shared" si="222"/>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23"/>
        <v>Payment Method</v>
      </c>
      <c r="J1491" s="1280" t="str">
        <f t="shared" si="225"/>
        <v>F</v>
      </c>
      <c r="K1491" s="1280" t="str">
        <f t="shared" si="222"/>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23"/>
        <v>Paid to:</v>
      </c>
      <c r="J1492" s="1280" t="str">
        <f t="shared" si="225"/>
        <v>F</v>
      </c>
      <c r="K1492" s="1280" t="str">
        <f t="shared" si="222"/>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23"/>
        <v>AP/AR Vendor Number</v>
      </c>
      <c r="J1493" s="1280" t="str">
        <f t="shared" si="225"/>
        <v>F</v>
      </c>
      <c r="K1493" s="1280" t="str">
        <f t="shared" si="222"/>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23"/>
        <v>Rate % of Sales</v>
      </c>
      <c r="J1494" s="1280" t="str">
        <f t="shared" si="225"/>
        <v>F</v>
      </c>
      <c r="K1494" s="1280" t="str">
        <f t="shared" si="222"/>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23"/>
        <v>Offer this Incentive?</v>
      </c>
      <c r="J1495" s="1280" t="str">
        <f>$Q$1&amp;IF($Q$1052="Yes",T1495,IF($Q$1069="Yes",V1495,""))</f>
        <v>F</v>
      </c>
      <c r="K1495" s="1280" t="str">
        <f t="shared" si="222"/>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23"/>
        <v>Incentive Type</v>
      </c>
      <c r="J1496" s="1280" t="str">
        <f t="shared" ref="J1496:J1509" si="226">$Q$1&amp;IF($Q$1052="Yes",T1496,IF($Q$1069="Yes",V1496,""))</f>
        <v>F</v>
      </c>
      <c r="K1496" s="1280" t="str">
        <f t="shared" si="222"/>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23"/>
        <v>Incentive Effective Date</v>
      </c>
      <c r="J1497" s="1280" t="str">
        <f t="shared" si="226"/>
        <v>F</v>
      </c>
      <c r="K1497" s="1280" t="str">
        <f t="shared" si="222"/>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23"/>
        <v>Incentive Expiration Date</v>
      </c>
      <c r="J1498" s="1280" t="str">
        <f t="shared" si="226"/>
        <v>F</v>
      </c>
      <c r="K1498" s="1280" t="str">
        <f t="shared" si="222"/>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23"/>
        <v>Payment Method</v>
      </c>
      <c r="J1499" s="1280" t="str">
        <f t="shared" si="226"/>
        <v>F</v>
      </c>
      <c r="K1499" s="1280" t="str">
        <f t="shared" si="222"/>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23"/>
        <v>AP/AR Vendor Number</v>
      </c>
      <c r="J1500" s="1280" t="str">
        <f t="shared" si="226"/>
        <v>F</v>
      </c>
      <c r="K1500" s="1280" t="str">
        <f t="shared" si="222"/>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23"/>
        <v>FF Payment Amount</v>
      </c>
      <c r="J1501" s="1280" t="str">
        <f t="shared" si="226"/>
        <v>F</v>
      </c>
      <c r="K1501" s="1280" t="str">
        <f t="shared" si="222"/>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23"/>
        <v>Unamortized Prepaid Amount</v>
      </c>
      <c r="J1502" s="1280" t="str">
        <f t="shared" si="226"/>
        <v>F</v>
      </c>
      <c r="K1502" s="1280" t="str">
        <f t="shared" si="222"/>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23"/>
        <v>Net Prepaid Amount</v>
      </c>
      <c r="J1503" s="1280" t="str">
        <f t="shared" si="226"/>
        <v>F</v>
      </c>
      <c r="K1503" s="1280" t="str">
        <f t="shared" si="222"/>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23"/>
        <v>Agreement Classification</v>
      </c>
      <c r="J1504" s="1280" t="str">
        <f t="shared" si="226"/>
        <v>F</v>
      </c>
      <c r="K1504" s="1280" t="str">
        <f t="shared" si="222"/>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23"/>
        <v>Previous Agreement ID</v>
      </c>
      <c r="J1505" s="1280" t="str">
        <f t="shared" si="226"/>
        <v>F</v>
      </c>
      <c r="K1505" s="1280" t="str">
        <f t="shared" si="222"/>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23"/>
        <v>Previous Agreement Incentive Reference Number</v>
      </c>
      <c r="J1506" s="1280" t="str">
        <f t="shared" si="226"/>
        <v>F</v>
      </c>
      <c r="K1506" s="1280" t="str">
        <f t="shared" si="222"/>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23"/>
        <v>Previous Agreement Effective Date</v>
      </c>
      <c r="J1507" s="1280" t="str">
        <f t="shared" si="226"/>
        <v>F</v>
      </c>
      <c r="K1507" s="1280" t="str">
        <f t="shared" si="222"/>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23"/>
        <v>Previous Agreement Expiration Date</v>
      </c>
      <c r="J1508" s="1280" t="str">
        <f t="shared" si="226"/>
        <v>F</v>
      </c>
      <c r="K1508" s="1280" t="str">
        <f t="shared" si="222"/>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23"/>
        <v>Previous Prepaid Amount</v>
      </c>
      <c r="J1509" s="1280" t="str">
        <f t="shared" si="226"/>
        <v>F</v>
      </c>
      <c r="K1509" s="1280" t="str">
        <f t="shared" si="222"/>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23"/>
        <v>Offer this Incentive?</v>
      </c>
      <c r="J1510" s="1280" t="str">
        <f>$Q$1&amp;IF(T$1510&lt;&gt;0,U1510,IF(T$1529&lt;&gt;0,U1529,IF(X$1510&lt;&gt;0,Y1510,"")))</f>
        <v>F</v>
      </c>
      <c r="K1510" s="1280" t="str">
        <f t="shared" si="222"/>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23"/>
        <v>Incentive Type</v>
      </c>
      <c r="J1511" s="1280" t="str">
        <f t="shared" ref="J1511:J1528" si="227">$Q$1&amp;IF(T$1510&lt;&gt;0,U1511,IF(T$1529&lt;&gt;0,U1530,IF(X$1510&lt;&gt;0,Y1511,"")))</f>
        <v>F</v>
      </c>
      <c r="K1511" s="1280" t="str">
        <f t="shared" si="222"/>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23"/>
        <v>Incentive Effective Date</v>
      </c>
      <c r="J1512" s="1280" t="str">
        <f t="shared" si="227"/>
        <v>F</v>
      </c>
      <c r="K1512" s="1280" t="str">
        <f t="shared" si="222"/>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23"/>
        <v>Incentive Expiration Date</v>
      </c>
      <c r="J1513" s="1280" t="str">
        <f t="shared" si="227"/>
        <v>F</v>
      </c>
      <c r="K1513" s="1280" t="str">
        <f t="shared" si="222"/>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23"/>
        <v>Incentive Period</v>
      </c>
      <c r="J1514" s="1280" t="str">
        <f t="shared" si="227"/>
        <v>F</v>
      </c>
      <c r="K1514" s="1280" t="str">
        <f t="shared" si="222"/>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23"/>
        <v>Payment Method</v>
      </c>
      <c r="J1515" s="1280" t="str">
        <f t="shared" si="227"/>
        <v>F</v>
      </c>
      <c r="K1515" s="1280" t="str">
        <f t="shared" si="222"/>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23"/>
        <v>AP/AR Vendor Number</v>
      </c>
      <c r="J1516" s="1280" t="str">
        <f t="shared" si="227"/>
        <v>F</v>
      </c>
      <c r="K1516" s="1280" t="str">
        <f t="shared" si="222"/>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23"/>
        <v>FF Payment Amount</v>
      </c>
      <c r="J1517" s="1280" t="str">
        <f t="shared" si="227"/>
        <v>F</v>
      </c>
      <c r="K1517" s="1280" t="str">
        <f t="shared" si="222"/>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23"/>
        <v>Rate % of Sales</v>
      </c>
      <c r="J1518" s="1280" t="str">
        <f t="shared" si="227"/>
        <v>F</v>
      </c>
      <c r="K1518" s="1280" t="str">
        <f t="shared" si="222"/>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23"/>
        <v>Payment Amount</v>
      </c>
      <c r="J1519" s="1280" t="str">
        <f t="shared" si="227"/>
        <v>F</v>
      </c>
      <c r="K1519" s="1280" t="str">
        <f t="shared" si="222"/>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23"/>
        <v>Payment Amount</v>
      </c>
      <c r="J1520" s="1280" t="str">
        <f t="shared" si="227"/>
        <v>F</v>
      </c>
      <c r="K1520" s="1280" t="str">
        <f t="shared" si="222"/>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23"/>
        <v>Payment Amount</v>
      </c>
      <c r="J1521" s="1280" t="str">
        <f t="shared" si="227"/>
        <v>F</v>
      </c>
      <c r="K1521" s="1280" t="str">
        <f t="shared" si="222"/>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23"/>
        <v>Payment Amount</v>
      </c>
      <c r="J1522" s="1280" t="str">
        <f t="shared" si="227"/>
        <v>F</v>
      </c>
      <c r="K1522" s="1280" t="str">
        <f t="shared" si="222"/>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23"/>
        <v>Payment Amount</v>
      </c>
      <c r="J1523" s="1280" t="str">
        <f t="shared" si="227"/>
        <v>F</v>
      </c>
      <c r="K1523" s="1280" t="str">
        <f t="shared" si="222"/>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23"/>
        <v>Purchase Commitment</v>
      </c>
      <c r="J1524" s="1280" t="str">
        <f t="shared" si="227"/>
        <v>F</v>
      </c>
      <c r="K1524" s="1280" t="str">
        <f t="shared" si="222"/>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23"/>
        <v>Purchase Commitment</v>
      </c>
      <c r="J1525" s="1280" t="str">
        <f t="shared" si="227"/>
        <v>F</v>
      </c>
      <c r="K1525" s="1280" t="str">
        <f t="shared" si="222"/>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23"/>
        <v>Purchase Commitment</v>
      </c>
      <c r="J1526" s="1280" t="str">
        <f t="shared" si="227"/>
        <v>F</v>
      </c>
      <c r="K1526" s="1280" t="str">
        <f t="shared" si="222"/>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23"/>
        <v>Purchase Commitment</v>
      </c>
      <c r="J1527" s="1280" t="str">
        <f t="shared" si="227"/>
        <v>F</v>
      </c>
      <c r="K1527" s="1280" t="str">
        <f t="shared" si="222"/>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23"/>
        <v>Purchase Commitment</v>
      </c>
      <c r="J1528" s="1280" t="str">
        <f t="shared" si="227"/>
        <v>F</v>
      </c>
      <c r="K1528" s="1280" t="str">
        <f t="shared" si="222"/>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23"/>
        <v>Offer this Incentive?</v>
      </c>
      <c r="J1529" s="1280" t="str">
        <f>$Q$1&amp;IF(T$1510=2,V1510,IF(T$1510=1,IF(AND(T$1529=1,T$1529&lt;&gt;0),U1529,IF(AND(X$1510=1,X$1510&lt;&gt;0),Y1510,"")),IF(T$1529=2,V1529,IF(T$1529=1,IF(AND(X$1510=1,X$1510&lt;&gt;0),Y1510,""),IF(X$1510=2,Z1510,"")))))</f>
        <v>F</v>
      </c>
      <c r="K1529" s="1280" t="str">
        <f t="shared" si="222"/>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23"/>
        <v>Incentive Type</v>
      </c>
      <c r="J1530" s="1280" t="str">
        <f t="shared" ref="J1530:J1547" si="228">$Q$1&amp;IF(T$1510=2,V1511,IF(T$1510=1,IF(AND(T$1529=1,T$1529&lt;&gt;0),U1530,IF(AND(X$1510=1,X$1510&lt;&gt;0),Y1511,"")),IF(T$1529=2,V1530,IF(T$1529=1,IF(AND(X$1510=1,X$1510&lt;&gt;0),Y1511,""),IF(X$1510=2,Z1511,"")))))</f>
        <v>F</v>
      </c>
      <c r="K1530" s="1280" t="str">
        <f t="shared" si="222"/>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23"/>
        <v>Incentive Effective Date</v>
      </c>
      <c r="J1531" s="1280" t="str">
        <f t="shared" si="228"/>
        <v>F</v>
      </c>
      <c r="K1531" s="1280" t="str">
        <f t="shared" si="222"/>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23"/>
        <v>Incentive Expiration Date</v>
      </c>
      <c r="J1532" s="1280" t="str">
        <f t="shared" si="228"/>
        <v>F</v>
      </c>
      <c r="K1532" s="1280" t="str">
        <f t="shared" si="222"/>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23"/>
        <v>Incentive Period</v>
      </c>
      <c r="J1533" s="1280" t="str">
        <f t="shared" si="228"/>
        <v>F</v>
      </c>
      <c r="K1533" s="1280" t="str">
        <f t="shared" si="222"/>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23"/>
        <v>Payment Method</v>
      </c>
      <c r="J1534" s="1280" t="str">
        <f t="shared" si="228"/>
        <v>F</v>
      </c>
      <c r="K1534" s="1280" t="str">
        <f t="shared" si="222"/>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23"/>
        <v>AP/AR Vendor Number</v>
      </c>
      <c r="J1535" s="1280" t="str">
        <f t="shared" si="228"/>
        <v>F</v>
      </c>
      <c r="K1535" s="1280" t="str">
        <f t="shared" si="222"/>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23"/>
        <v>FF Payment Amount</v>
      </c>
      <c r="J1536" s="1280" t="str">
        <f t="shared" si="228"/>
        <v>F</v>
      </c>
      <c r="K1536" s="1280" t="str">
        <f t="shared" si="222"/>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23"/>
        <v>Rate % of Sales</v>
      </c>
      <c r="J1537" s="1280" t="str">
        <f t="shared" si="228"/>
        <v>F</v>
      </c>
      <c r="K1537" s="1280" t="str">
        <f t="shared" si="222"/>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23"/>
        <v>Payment Amount</v>
      </c>
      <c r="J1538" s="1280" t="str">
        <f t="shared" si="228"/>
        <v>F</v>
      </c>
      <c r="K1538" s="1280" t="str">
        <f t="shared" si="222"/>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23"/>
        <v>Payment Amount</v>
      </c>
      <c r="J1539" s="1280" t="str">
        <f t="shared" si="228"/>
        <v>F</v>
      </c>
      <c r="K1539" s="1280" t="str">
        <f t="shared" si="222"/>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23"/>
        <v>Payment Amount</v>
      </c>
      <c r="J1540" s="1280" t="str">
        <f t="shared" si="228"/>
        <v>F</v>
      </c>
      <c r="K1540" s="1280" t="str">
        <f t="shared" si="222"/>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23"/>
        <v>Payment Amount</v>
      </c>
      <c r="J1541" s="1280" t="str">
        <f t="shared" si="228"/>
        <v>F</v>
      </c>
      <c r="K1541" s="1280" t="str">
        <f t="shared" ref="K1541:K1553" si="229">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30">IF(J1542&lt;&gt;"",A1542,"")</f>
        <v>Payment Amount</v>
      </c>
      <c r="J1542" s="1280" t="str">
        <f t="shared" si="228"/>
        <v>F</v>
      </c>
      <c r="K1542" s="1280" t="str">
        <f t="shared" si="229"/>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30"/>
        <v>Purchase Commitment</v>
      </c>
      <c r="J1543" s="1280" t="str">
        <f t="shared" si="228"/>
        <v>F</v>
      </c>
      <c r="K1543" s="1280" t="str">
        <f t="shared" si="229"/>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30"/>
        <v>Purchase Commitment</v>
      </c>
      <c r="J1544" s="1280" t="str">
        <f t="shared" si="228"/>
        <v>F</v>
      </c>
      <c r="K1544" s="1280" t="str">
        <f t="shared" si="229"/>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30"/>
        <v>Purchase Commitment</v>
      </c>
      <c r="J1545" s="1280" t="str">
        <f t="shared" si="228"/>
        <v>F</v>
      </c>
      <c r="K1545" s="1280" t="str">
        <f t="shared" si="229"/>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30"/>
        <v>Purchase Commitment</v>
      </c>
      <c r="J1546" s="1280" t="str">
        <f t="shared" si="228"/>
        <v>F</v>
      </c>
      <c r="K1546" s="1280" t="str">
        <f t="shared" si="229"/>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30"/>
        <v>Purchase Commitment</v>
      </c>
      <c r="J1547" s="1280" t="str">
        <f t="shared" si="228"/>
        <v>F</v>
      </c>
      <c r="K1547" s="1280" t="str">
        <f t="shared" si="229"/>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30"/>
        <v>Offer this Incentive?</v>
      </c>
      <c r="J1548" s="1280" t="str">
        <f t="shared" ref="J1548:J1553" si="231">$Q$1&amp;T1548</f>
        <v>F</v>
      </c>
      <c r="K1548" s="1280" t="str">
        <f t="shared" si="229"/>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30"/>
        <v>Incentive Type</v>
      </c>
      <c r="J1549" s="1280" t="str">
        <f t="shared" si="231"/>
        <v>F</v>
      </c>
      <c r="K1549" s="1280" t="str">
        <f t="shared" si="229"/>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30"/>
        <v>Incentive Effective Date</v>
      </c>
      <c r="J1550" s="1280" t="str">
        <f t="shared" si="231"/>
        <v>F</v>
      </c>
      <c r="K1550" s="1280" t="str">
        <f t="shared" si="229"/>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30"/>
        <v>Incentive Expiration Date</v>
      </c>
      <c r="J1551" s="1280" t="str">
        <f t="shared" si="231"/>
        <v>F</v>
      </c>
      <c r="K1551" s="1280" t="str">
        <f t="shared" si="229"/>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30"/>
        <v>Payment Method</v>
      </c>
      <c r="J1552" s="1280" t="str">
        <f t="shared" si="231"/>
        <v>F</v>
      </c>
      <c r="K1552" s="1280" t="str">
        <f t="shared" si="229"/>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30"/>
        <v>Rate % of Sales</v>
      </c>
      <c r="J1553" s="1280" t="str">
        <f t="shared" si="231"/>
        <v>F</v>
      </c>
      <c r="K1553" s="1280" t="str">
        <f t="shared" si="229"/>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32"/>
        <v>H12</v>
      </c>
      <c r="C1587" s="766" t="str">
        <f t="shared" ca="1" si="233"/>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32"/>
        <v>C12</v>
      </c>
      <c r="C1588" s="766" t="str">
        <f t="shared" ca="1" si="233"/>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32"/>
        <v>D12</v>
      </c>
      <c r="C1589" s="766" t="str">
        <f t="shared" ca="1" si="233"/>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32"/>
        <v>E12</v>
      </c>
      <c r="C1590" s="766" t="str">
        <f t="shared" ca="1" si="233"/>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32"/>
        <v>B12</v>
      </c>
      <c r="C1591" s="766" t="str">
        <f t="shared" ca="1" si="233"/>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34">_xlfn.CONCAT(IFERROR(SUBSTITUTE(ADDRESS(1,MATCH(A1593,INDIRECT("'"&amp;E1593&amp;"'"&amp;"!A4:Z4"),0),4),1,""),""),4)</f>
        <v>C4</v>
      </c>
      <c r="C1593" s="52" t="str">
        <f t="shared" ref="C1593:C1600" ca="1" si="235">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34"/>
        <v>D4</v>
      </c>
      <c r="C1594" s="52" t="str">
        <f t="shared" ca="1" si="235"/>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34"/>
        <v>E4</v>
      </c>
      <c r="C1595" s="52" t="str">
        <f t="shared" ca="1" si="235"/>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34"/>
        <v>H4</v>
      </c>
      <c r="C1596" s="52" t="str">
        <f t="shared" ca="1" si="235"/>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34"/>
        <v>L4</v>
      </c>
      <c r="C1597" s="52" t="str">
        <f t="shared" ca="1" si="235"/>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34"/>
        <v>I4</v>
      </c>
      <c r="C1598" s="52" t="str">
        <f t="shared" ca="1" si="235"/>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34"/>
        <v>J4</v>
      </c>
      <c r="C1599" s="52" t="str">
        <f t="shared" ca="1" si="235"/>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34"/>
        <v>K4</v>
      </c>
      <c r="C1600" s="52" t="str">
        <f t="shared" ca="1" si="235"/>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ca="1">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ca="1">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ca="1">_xlfn.IFNA(SUBSTITUTE(ADDRESS(1,MATCH(A1673,INDIRECT("'"&amp;E1673&amp;"'"&amp;"!A" &amp; $O$639 + 5 &amp; ":Z" &amp; $O$639 + 5),0),4),1,""),"")</f>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ca="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ca="1">_xlfn.IFNA(SUBSTITUTE(ADDRESS(1,MATCH(A1679,INDIRECT("'"&amp;E1679&amp;"'"&amp;"!A" &amp; $O$706 + 5 &amp; ":Z" &amp; $O$706+ 5),0),4),1,""),"")</f>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ca="1">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ca="1">_xlfn.IFNA(SUBSTITUTE(ADDRESS(1,MATCH(A1681,INDIRECT("'"&amp;E1681&amp;"'"&amp;"!A" &amp; $O$736 + 5 &amp; ":Z" &amp; $O$736+ 5),0),4),1,""),"")</f>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ca="1">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ca="1">_xlfn.IFNA(SUBSTITUTE(ADDRESS(1,MATCH(A1687,INDIRECT("'"&amp;E1687&amp;"'"&amp;"!A" &amp; $O$832 + 5 &amp; ":Z" &amp; $O$832+ 5),0),4),1,""),"")</f>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ca="1">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ca="1">_xlfn.IFNA(SUBSTITUTE(ADDRESS(1,MATCH(A1689,INDIRECT("'"&amp;E1689&amp;"'"&amp;"!A" &amp; $O$862 + 5 &amp; ":Z" &amp; $O$862+ 5),0),4),1,""),"")</f>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ca="1">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ca="1">_xlfn.IFNA(SUBSTITUTE(ADDRESS(1,MATCH(A1716,INDIRECT("'"&amp;E1716&amp;"'"&amp;"!A" &amp; O$608+5 &amp; ":Z" &amp; O$608+5),0),4),1,""),"")</f>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ca="1">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ca="1">_xlfn.IFNA(SUBSTITUTE(ADDRESS(1,MATCH(A1720,INDIRECT("'"&amp;E1720&amp;"'"&amp;"!A" &amp; $O$639 + 5 &amp; ":Z" &amp; $O$639 + 5),0),4),1,""),"")</f>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ca="1">_xlfn.IFNA(SUBSTITUTE(ADDRESS(1,MATCH(A1721,INDIRECT("'"&amp;E1721&amp;"'"&amp;"!A" &amp; $O$639 + 5 &amp; ":Z" &amp; $O$639 + 5),0),4),1,""),"")</f>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ca="1">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ca="1">_xlfn.IFNA(SUBSTITUTE(ADDRESS(1,MATCH(A1735,INDIRECT("'"&amp;E1735&amp;"'"&amp;"!A" &amp; $O$706 + 5 &amp; ":Z" &amp; $O$706+ 5),0),4),1,""),"")</f>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ca="1">_xlfn.IFNA(SUBSTITUTE(ADDRESS(1,MATCH(A1736,INDIRECT("'"&amp;E1736&amp;"'"&amp;"!A" &amp; $O$706 + 5 &amp; ":Z" &amp; $O$706+ 5),0),4),1,""),"")</f>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ca="1">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ca="1">_xlfn.IFNA(SUBSTITUTE(ADDRESS(1,MATCH(A1740,INDIRECT("'"&amp;E1740&amp;"'"&amp;"!A" &amp; $O$736 + 5 &amp; ":Z" &amp; $O$736+ 5),0),4),1,""),"")</f>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ca="1">_xlfn.IFNA(SUBSTITUTE(ADDRESS(1,MATCH(A1741,INDIRECT("'"&amp;E1741&amp;"'"&amp;"!A" &amp; $O$736 + 5 &amp; ":Z" &amp; $O$736+ 5),0),4),1,""),"")</f>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ca="1">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ca="1">_xlfn.IFNA(SUBSTITUTE(ADDRESS(1,MATCH(A1755,INDIRECT("'"&amp;E1755&amp;"'"&amp;"!A" &amp; $O$832 + 5 &amp; ":Z" &amp; $O$832+ 5),0),4),1,""),"")</f>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ca="1">_xlfn.IFNA(SUBSTITUTE(ADDRESS(1,MATCH(A1756,INDIRECT("'"&amp;E1756&amp;"'"&amp;"!A" &amp; $O$832 + 5 &amp; ":Z" &amp; $O$832+ 5),0),4),1,""),"")</f>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ca="1">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ca="1">_xlfn.IFNA(SUBSTITUTE(ADDRESS(1,MATCH(A1760,INDIRECT("'"&amp;E1760&amp;"'"&amp;"!A" &amp; $O$862 + 5 &amp; ":Z" &amp; $O$862+ 5),0),4),1,""),"")</f>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ca="1">_xlfn.IFNA(SUBSTITUTE(ADDRESS(1,MATCH(A1761,INDIRECT("'"&amp;E1761&amp;"'"&amp;"!A" &amp; $O$862 + 5 &amp; ":Z" &amp; $O$862+ 5),0),4),1,""),"")</f>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ca="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ca="1">IFERROR(SUBSTITUTE(ADDRESS(1,MATCH(A1795,INDIRECT("'"&amp;E1795&amp;"'"&amp;"!A" &amp; $O$1105 + 5 &amp; ":Z" &amp; $O$1105 + 5),0),4),1,""),"")</f>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ca="1">IFERROR(SUBSTITUTE(ADDRESS(1,MATCH(A1796,INDIRECT("'"&amp;E1796&amp;"'"&amp;"!A" &amp; $O$1105 + 5 &amp; ":Z" &amp; $O$1105 + 5),0),4),1,""),"")</f>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ca="1">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ca="1">IFERROR(SUBSTITUTE(ADDRESS(1,MATCH(A1800,INDIRECT("'"&amp;E1800&amp;"'"&amp;"!A" &amp; $O$1134 + 5 &amp; ":Z" &amp; $O$1134 + 5),0),4),1,""),"")</f>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ca="1">IFERROR(SUBSTITUTE(ADDRESS(1,MATCH(A1801,INDIRECT("'"&amp;E1801&amp;"'"&amp;"!A" &amp; $O$1134 + 5 &amp; ":Z" &amp; $O$1134 + 5),0),4),1,""),"")</f>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ca="1">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ca="1">IFERROR(SUBSTITUTE(ADDRESS(1,MATCH(A1805,INDIRECT("'"&amp;E1805&amp;"'"&amp;"!A" &amp; $O$1163 + 5 &amp; ":Z" &amp; $O$1163 + 5),0),4),1,""),"")</f>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ca="1">IFERROR(SUBSTITUTE(ADDRESS(1,MATCH(A1806,INDIRECT("'"&amp;E1806&amp;"'"&amp;"!A" &amp; $O$1163 + 5 &amp; ":Z" &amp; $O$1163 + 5),0),4),1,""),"")</f>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ca="1">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ca="1">IFERROR(SUBSTITUTE(ADDRESS(1,MATCH(A1810,INDIRECT("'"&amp;E1810&amp;"'"&amp;"!A" &amp; $O$1188 + 5 &amp; ":Z" &amp; $O$1188 + 5),0),4),1,""),"")</f>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ca="1">IFERROR(SUBSTITUTE(ADDRESS(1,MATCH(A1811,INDIRECT("'"&amp;E1811&amp;"'"&amp;"!A" &amp; $O$1188 + 5 &amp; ":Z" &amp; $O$1188 + 5),0),4),1,""),"")</f>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IF(Q$1005="Yes",23,"")</f>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IF(Q$1016="Yes",24,"")</f>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ca="1">_xlfn.CONCAT(IFERROR(SUBSTITUTE(ADDRESS(1,MATCH(A1818,INDIRECT("'"&amp;E1818&amp;"'"&amp;"!A" &amp; $O$1038 + 2 &amp; ":Z" &amp; $O$1038 + 2),0),4),1,""),""),$O$1038+ 2)</f>
        <v>H367</v>
      </c>
      <c r="C1818" s="801" t="str">
        <f ca="1">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IF(Q$1052="Yes",27,"")</f>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IF(Q$1052="Yes",27,"")</f>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IF(Q$1069="Yes",28,"")</f>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IF(Q$1085="Yes",29,"")</f>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IF(Q$1095="Yes",30,"")</f>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IF(J1829&lt;&gt;"",A1829,"")</f>
        <v/>
      </c>
      <c r="J1829" s="1280"/>
      <c r="K1829" s="1280" t="str">
        <f>IF(J1829&lt;&gt;"",E1829,"")</f>
        <v/>
      </c>
      <c r="L1829" s="801"/>
      <c r="M1829" s="1295"/>
      <c r="N1829" s="1280"/>
      <c r="O1829" s="1277"/>
      <c r="P1829" s="1277"/>
      <c r="Q1829" s="1277"/>
      <c r="R1829" s="1280" t="s">
        <v>1094</v>
      </c>
      <c r="S1829" s="1277"/>
      <c r="T1829" s="1280" t="str">
        <f>IF(Q$1105="Yes",31,"")</f>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IF(J1831&lt;&gt;"",A1831,"")</f>
        <v/>
      </c>
      <c r="J1831" s="1280"/>
      <c r="K1831" s="1280" t="str">
        <f>IF(J1831&lt;&gt;"",E1831,"")</f>
        <v/>
      </c>
      <c r="L1831" s="801"/>
      <c r="M1831" s="1295"/>
      <c r="N1831" s="1280"/>
      <c r="O1831" s="1277"/>
      <c r="P1831" s="1277"/>
      <c r="Q1831" s="1277"/>
      <c r="R1831" s="1280" t="s">
        <v>1094</v>
      </c>
      <c r="S1831" s="1277"/>
      <c r="T1831" s="1280" t="str">
        <f>IF(Q$1134="Yes",32,"")</f>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IF(Q$1163="Yes",33,"")</f>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IF(Q$1163="Yes",33,"")</f>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IF(Q$1188="Yes",34,"")</f>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IF(Q$1188="Yes",34,"")</f>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IF(J1841&lt;&gt;"",A1841,"")</f>
        <v/>
      </c>
      <c r="J1841" s="1280"/>
      <c r="K1841" s="1280" t="str">
        <f>IF(J1841&lt;&gt;"",E1841,"")</f>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IF(J1842&lt;&gt;"",E1842,"")</f>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IF(J1843&lt;&gt;"",A1843,"")</f>
        <v/>
      </c>
      <c r="J1843" s="1280"/>
      <c r="K1843" s="1280" t="str">
        <f>IF(J1843&lt;&gt;"",E1843,"")</f>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36">IF(T1845&lt;&gt;"","N","")</f>
        <v/>
      </c>
      <c r="H1845" s="1280" t="s">
        <v>1982</v>
      </c>
      <c r="I1845" s="1241"/>
      <c r="J1845" s="1280"/>
      <c r="K1845" s="1280"/>
      <c r="L1845" s="801"/>
      <c r="M1845" s="1295"/>
      <c r="N1845" s="1280"/>
      <c r="O1845" s="1277"/>
      <c r="P1845" s="1277"/>
      <c r="Q1845" s="1277"/>
      <c r="R1845" s="1280" t="s">
        <v>847</v>
      </c>
      <c r="S1845" s="1277"/>
      <c r="T1845" s="1280" t="str">
        <f>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3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3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3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3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3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3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3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3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3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3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3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3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3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3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36"/>
        <v/>
      </c>
      <c r="H1860" s="1280" t="s">
        <v>1982</v>
      </c>
      <c r="I1860" s="1241"/>
      <c r="J1860" s="1280"/>
      <c r="K1860" s="1280"/>
      <c r="L1860" s="801"/>
      <c r="M1860" s="1295"/>
      <c r="N1860" s="1280"/>
      <c r="O1860" s="1277"/>
      <c r="P1860" s="1277"/>
      <c r="Q1860" s="1277"/>
      <c r="R1860" s="1280" t="s">
        <v>395</v>
      </c>
      <c r="S1860" s="1277"/>
      <c r="T1860" s="1280" t="str">
        <f>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3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3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3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3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3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36"/>
        <v/>
      </c>
      <c r="H1866" s="1280" t="s">
        <v>1982</v>
      </c>
      <c r="I1866" s="1241"/>
      <c r="J1866" s="1280"/>
      <c r="K1866" s="1280"/>
      <c r="L1866" s="801"/>
      <c r="M1866" s="1295"/>
      <c r="N1866" s="1280"/>
      <c r="O1866" s="1277"/>
      <c r="P1866" s="1277"/>
      <c r="Q1866" s="1277"/>
      <c r="R1866" s="1280" t="s">
        <v>1130</v>
      </c>
      <c r="S1866" s="1277"/>
      <c r="T1866" s="1280" t="str">
        <f>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IF(T1869&lt;&gt;"","P","")</f>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IF(T1870&lt;&gt;"","P","")</f>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IF(T1871&lt;&gt;"","P","")</f>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37">IF(J1872&lt;&gt;"",A1872,"")</f>
        <v/>
      </c>
      <c r="J1872" s="1280"/>
      <c r="K1872" s="1280" t="str">
        <f t="shared" ref="K1872:K1880" si="238">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39">IF(T1873&lt;&gt;"","Q","")</f>
        <v/>
      </c>
      <c r="H1873" s="1280" t="s">
        <v>1982</v>
      </c>
      <c r="I1873" s="1241" t="str">
        <f t="shared" si="237"/>
        <v/>
      </c>
      <c r="J1873" s="1280"/>
      <c r="K1873" s="1280" t="str">
        <f t="shared" si="238"/>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39"/>
        <v/>
      </c>
      <c r="H1874" s="1280" t="s">
        <v>1982</v>
      </c>
      <c r="I1874" s="1241" t="str">
        <f t="shared" si="237"/>
        <v/>
      </c>
      <c r="J1874" s="1280" t="str">
        <f t="shared" ref="J1874:J1880" si="240">IF(M1874&lt;&gt;"",Q$1&amp;M1874,"")</f>
        <v/>
      </c>
      <c r="K1874" s="1280" t="str">
        <f t="shared" si="238"/>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39"/>
        <v/>
      </c>
      <c r="H1875" s="1280" t="s">
        <v>1982</v>
      </c>
      <c r="I1875" s="1241" t="str">
        <f t="shared" si="237"/>
        <v/>
      </c>
      <c r="J1875" s="1280" t="str">
        <f t="shared" si="240"/>
        <v/>
      </c>
      <c r="K1875" s="1280" t="str">
        <f t="shared" si="238"/>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39"/>
        <v/>
      </c>
      <c r="H1876" s="1280" t="s">
        <v>1982</v>
      </c>
      <c r="I1876" s="1241" t="str">
        <f t="shared" si="237"/>
        <v/>
      </c>
      <c r="J1876" s="1280" t="str">
        <f t="shared" si="240"/>
        <v/>
      </c>
      <c r="K1876" s="1280" t="str">
        <f t="shared" si="238"/>
        <v/>
      </c>
      <c r="L1876" s="801"/>
      <c r="M1876" s="1295"/>
      <c r="N1876" s="1280"/>
      <c r="O1876" s="1277"/>
      <c r="P1876" s="1277"/>
      <c r="Q1876" s="1277"/>
      <c r="R1876" s="1280" t="s">
        <v>395</v>
      </c>
      <c r="S1876" s="1277"/>
      <c r="T1876" s="1280" t="str">
        <f>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39"/>
        <v/>
      </c>
      <c r="H1877" s="1280" t="s">
        <v>1982</v>
      </c>
      <c r="I1877" s="1241" t="str">
        <f t="shared" si="237"/>
        <v/>
      </c>
      <c r="J1877" s="1280" t="str">
        <f t="shared" si="240"/>
        <v/>
      </c>
      <c r="K1877" s="1280" t="str">
        <f t="shared" si="238"/>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39"/>
        <v/>
      </c>
      <c r="H1878" s="1280" t="s">
        <v>1982</v>
      </c>
      <c r="I1878" s="1241" t="str">
        <f t="shared" si="237"/>
        <v/>
      </c>
      <c r="J1878" s="1280" t="str">
        <f t="shared" si="240"/>
        <v/>
      </c>
      <c r="K1878" s="1280" t="str">
        <f t="shared" si="238"/>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39"/>
        <v/>
      </c>
      <c r="H1879" s="1280" t="s">
        <v>1982</v>
      </c>
      <c r="I1879" s="1241" t="str">
        <f t="shared" si="237"/>
        <v/>
      </c>
      <c r="J1879" s="1280" t="str">
        <f t="shared" si="240"/>
        <v/>
      </c>
      <c r="K1879" s="1280" t="str">
        <f t="shared" si="238"/>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39"/>
        <v/>
      </c>
      <c r="H1880" s="1280" t="s">
        <v>1982</v>
      </c>
      <c r="I1880" s="1241" t="str">
        <f t="shared" si="237"/>
        <v/>
      </c>
      <c r="J1880" s="1280" t="str">
        <f t="shared" si="240"/>
        <v/>
      </c>
      <c r="K1880" s="1280" t="str">
        <f t="shared" si="238"/>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39"/>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39"/>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39"/>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39"/>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39"/>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41">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41"/>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41"/>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41"/>
        <v/>
      </c>
      <c r="H1890" s="1280" t="s">
        <v>1982</v>
      </c>
      <c r="I1890" s="240"/>
      <c r="J1890" s="1277"/>
      <c r="K1890" s="1277"/>
      <c r="L1890" s="1277"/>
      <c r="N1890" s="1277"/>
      <c r="O1890" s="1277"/>
      <c r="P1890" s="1277"/>
      <c r="Q1890" s="1277"/>
      <c r="R1890" s="1280" t="s">
        <v>1523</v>
      </c>
      <c r="S1890" s="1277"/>
      <c r="T1890" s="1280" t="str">
        <f>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41"/>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41"/>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41"/>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41"/>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41"/>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41"/>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41"/>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41"/>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41"/>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IF(J1900&lt;&gt;"",A1900,"")</f>
        <v/>
      </c>
      <c r="J1900" s="1280"/>
      <c r="K1900" s="1280" t="str">
        <f>IF(J1900&lt;&gt;"",E1900,"")</f>
        <v/>
      </c>
      <c r="L1900" s="801"/>
      <c r="M1900" s="1295"/>
      <c r="N1900" s="1280"/>
      <c r="O1900" s="1277"/>
      <c r="P1900" s="1277"/>
      <c r="Q1900" s="1277"/>
      <c r="R1900" s="1280" t="s">
        <v>1692</v>
      </c>
      <c r="S1900" s="1277"/>
      <c r="T1900" s="1280" t="str">
        <f t="shared" ref="T1900:T1905" si="242">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242"/>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242"/>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242"/>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242"/>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242"/>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IF(Q$1069="Yes",28,"")</f>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IF(Q$1069="Yes",28,"")</f>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IF(Q$1069="Yes",28,"")</f>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IF(Q$1069="Yes",28,"")</f>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243">IF(J1911&lt;&gt;"",A1911,"")</f>
        <v/>
      </c>
      <c r="J1911" s="1280"/>
      <c r="K1911" s="1280" t="str">
        <f t="shared" ref="K1911:K1921" si="244">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245">IF(T1912&lt;&gt;"","AB","")</f>
        <v/>
      </c>
      <c r="H1912" s="1280" t="s">
        <v>1982</v>
      </c>
      <c r="I1912" s="1241" t="str">
        <f t="shared" si="243"/>
        <v/>
      </c>
      <c r="J1912" s="1280"/>
      <c r="K1912" s="1280" t="str">
        <f t="shared" si="244"/>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245"/>
        <v/>
      </c>
      <c r="H1913" s="1280" t="s">
        <v>1982</v>
      </c>
      <c r="I1913" s="1241" t="str">
        <f t="shared" si="243"/>
        <v/>
      </c>
      <c r="J1913" s="1280"/>
      <c r="K1913" s="1280" t="str">
        <f t="shared" si="244"/>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245"/>
        <v/>
      </c>
      <c r="H1914" s="1280" t="s">
        <v>1982</v>
      </c>
      <c r="I1914" s="1241" t="str">
        <f t="shared" si="243"/>
        <v/>
      </c>
      <c r="J1914" s="1280"/>
      <c r="K1914" s="1280" t="str">
        <f t="shared" si="244"/>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245"/>
        <v/>
      </c>
      <c r="H1915" s="1280" t="s">
        <v>1982</v>
      </c>
      <c r="I1915" s="1241" t="str">
        <f t="shared" si="243"/>
        <v/>
      </c>
      <c r="J1915" s="1280"/>
      <c r="K1915" s="1280" t="str">
        <f t="shared" si="244"/>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245"/>
        <v/>
      </c>
      <c r="H1916" s="1280" t="s">
        <v>1982</v>
      </c>
      <c r="I1916" s="1241" t="str">
        <f t="shared" si="243"/>
        <v/>
      </c>
      <c r="J1916" s="1280"/>
      <c r="K1916" s="1280" t="str">
        <f t="shared" si="244"/>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245"/>
        <v/>
      </c>
      <c r="H1917" s="1280" t="s">
        <v>1982</v>
      </c>
      <c r="I1917" s="1241" t="str">
        <f t="shared" si="243"/>
        <v/>
      </c>
      <c r="J1917" s="1280"/>
      <c r="K1917" s="1280" t="str">
        <f t="shared" si="244"/>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245"/>
        <v/>
      </c>
      <c r="H1918" s="1280" t="s">
        <v>1982</v>
      </c>
      <c r="I1918" s="1241" t="str">
        <f t="shared" si="243"/>
        <v/>
      </c>
      <c r="J1918" s="1280"/>
      <c r="K1918" s="1280" t="str">
        <f t="shared" si="244"/>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245"/>
        <v/>
      </c>
      <c r="H1919" s="1280" t="s">
        <v>1982</v>
      </c>
      <c r="I1919" s="1241" t="str">
        <f t="shared" si="243"/>
        <v/>
      </c>
      <c r="J1919" s="1280"/>
      <c r="K1919" s="1280" t="str">
        <f t="shared" si="244"/>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245"/>
        <v/>
      </c>
      <c r="H1920" s="1280" t="s">
        <v>1982</v>
      </c>
      <c r="I1920" s="1241" t="str">
        <f t="shared" si="243"/>
        <v/>
      </c>
      <c r="J1920" s="1280"/>
      <c r="K1920" s="1280" t="str">
        <f t="shared" si="244"/>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245"/>
        <v/>
      </c>
      <c r="H1921" s="1280" t="s">
        <v>1982</v>
      </c>
      <c r="I1921" s="1241" t="str">
        <f t="shared" si="243"/>
        <v/>
      </c>
      <c r="J1921" s="1280"/>
      <c r="K1921" s="1280" t="str">
        <f t="shared" si="244"/>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246">IF(T1923&lt;&gt;"","AJ","")</f>
        <v/>
      </c>
      <c r="H1923" s="1280" t="s">
        <v>1982</v>
      </c>
      <c r="I1923" s="1241"/>
      <c r="J1923" s="1280"/>
      <c r="K1923" s="1280"/>
      <c r="L1923" s="1280"/>
      <c r="M1923" s="1295"/>
      <c r="N1923" s="1280"/>
      <c r="O1923" s="1277"/>
      <c r="P1923" s="1277"/>
      <c r="Q1923" s="1277"/>
      <c r="R1923" s="1280" t="s">
        <v>847</v>
      </c>
      <c r="S1923" s="1277"/>
      <c r="T1923" s="1280" t="str">
        <f>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246"/>
        <v/>
      </c>
      <c r="H1924" s="1280" t="s">
        <v>1982</v>
      </c>
      <c r="I1924" s="1241"/>
      <c r="J1924" s="1280"/>
      <c r="K1924" s="1280"/>
      <c r="L1924" s="1280"/>
      <c r="M1924" s="1295"/>
      <c r="N1924" s="1280"/>
      <c r="O1924" s="1277"/>
      <c r="P1924" s="1277"/>
      <c r="Q1924" s="1277"/>
      <c r="R1924" s="1280" t="s">
        <v>1517</v>
      </c>
      <c r="S1924" s="1277"/>
      <c r="T1924" s="1280" t="str">
        <f>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246"/>
        <v/>
      </c>
      <c r="H1925" s="1280" t="s">
        <v>1982</v>
      </c>
      <c r="I1925" s="1241"/>
      <c r="J1925" s="1280"/>
      <c r="K1925" s="1280"/>
      <c r="L1925" s="1280"/>
      <c r="M1925" s="1295"/>
      <c r="N1925" s="1280"/>
      <c r="O1925" s="1277"/>
      <c r="P1925" s="1277"/>
      <c r="Q1925" s="1277"/>
      <c r="R1925" s="1280" t="s">
        <v>1517</v>
      </c>
      <c r="S1925" s="1277"/>
      <c r="T1925" s="1280" t="str">
        <f>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246"/>
        <v/>
      </c>
      <c r="H1926" s="1280" t="s">
        <v>1982</v>
      </c>
      <c r="I1926" s="1241"/>
      <c r="J1926" s="1280"/>
      <c r="K1926" s="1280"/>
      <c r="L1926" s="1280"/>
      <c r="M1926" s="1295"/>
      <c r="N1926" s="1280"/>
      <c r="O1926" s="1277"/>
      <c r="P1926" s="1277"/>
      <c r="Q1926" s="1277"/>
      <c r="R1926" s="1280" t="s">
        <v>1523</v>
      </c>
      <c r="S1926" s="1277"/>
      <c r="T1926" s="1280" t="str">
        <f>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246"/>
        <v/>
      </c>
      <c r="H1927" s="1280" t="s">
        <v>1982</v>
      </c>
      <c r="I1927" s="1241"/>
      <c r="J1927" s="1280"/>
      <c r="K1927" s="1280"/>
      <c r="L1927" s="1280"/>
      <c r="M1927" s="1295"/>
      <c r="N1927" s="1280"/>
      <c r="O1927" s="1277"/>
      <c r="P1927" s="1277"/>
      <c r="Q1927" s="1277"/>
      <c r="R1927" s="1280" t="s">
        <v>1523</v>
      </c>
      <c r="S1927" s="1277"/>
      <c r="T1927" s="1280" t="str">
        <f>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246"/>
        <v/>
      </c>
      <c r="H1928" s="1280" t="s">
        <v>1982</v>
      </c>
      <c r="I1928" s="1241"/>
      <c r="J1928" s="1280"/>
      <c r="K1928" s="1280"/>
      <c r="L1928" s="1280"/>
      <c r="M1928" s="1295"/>
      <c r="N1928" s="1280"/>
      <c r="O1928" s="1277"/>
      <c r="P1928" s="1277"/>
      <c r="Q1928" s="1277"/>
      <c r="R1928" s="1280" t="s">
        <v>395</v>
      </c>
      <c r="S1928" s="1277"/>
      <c r="T1928" s="1280" t="str">
        <f>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246"/>
        <v/>
      </c>
      <c r="H1929" s="1280" t="s">
        <v>1982</v>
      </c>
      <c r="I1929" s="1241"/>
      <c r="J1929" s="1280"/>
      <c r="K1929" s="1280"/>
      <c r="L1929" s="1280"/>
      <c r="M1929" s="1295"/>
      <c r="N1929" s="1280"/>
      <c r="O1929" s="1277"/>
      <c r="P1929" s="1277"/>
      <c r="Q1929" s="1277"/>
      <c r="R1929" s="1280" t="s">
        <v>395</v>
      </c>
      <c r="S1929" s="1277"/>
      <c r="T1929" s="1280" t="str">
        <f>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246"/>
        <v/>
      </c>
      <c r="H1930" s="1280" t="s">
        <v>1982</v>
      </c>
      <c r="I1930" s="1241"/>
      <c r="J1930" s="1280"/>
      <c r="K1930" s="1280"/>
      <c r="L1930" s="1280"/>
      <c r="M1930" s="1295"/>
      <c r="N1930" s="1280"/>
      <c r="O1930" s="1277"/>
      <c r="P1930" s="1277"/>
      <c r="Q1930" s="1277"/>
      <c r="R1930" s="1280" t="s">
        <v>395</v>
      </c>
      <c r="S1930" s="1277"/>
      <c r="T1930" s="1280" t="str">
        <f>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246"/>
        <v/>
      </c>
      <c r="H1931" s="1280" t="s">
        <v>1982</v>
      </c>
      <c r="I1931" s="1241"/>
      <c r="J1931" s="1280"/>
      <c r="K1931" s="1280"/>
      <c r="L1931" s="1280"/>
      <c r="M1931" s="1295"/>
      <c r="N1931" s="1280"/>
      <c r="O1931" s="1277"/>
      <c r="P1931" s="1277"/>
      <c r="Q1931" s="1277"/>
      <c r="R1931" s="1280" t="s">
        <v>395</v>
      </c>
      <c r="S1931" s="1277"/>
      <c r="T1931" s="1280" t="str">
        <f>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246"/>
        <v/>
      </c>
      <c r="H1932" s="1280" t="s">
        <v>1982</v>
      </c>
      <c r="I1932" s="1241"/>
      <c r="J1932" s="1280"/>
      <c r="K1932" s="1280"/>
      <c r="L1932" s="1280"/>
      <c r="M1932" s="1295"/>
      <c r="N1932" s="1280"/>
      <c r="O1932" s="1277"/>
      <c r="P1932" s="1277"/>
      <c r="Q1932" s="1277"/>
      <c r="R1932" s="1280" t="s">
        <v>395</v>
      </c>
      <c r="S1932" s="1277"/>
      <c r="T1932" s="1280" t="str">
        <f>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246"/>
        <v/>
      </c>
      <c r="H1933" s="1280" t="s">
        <v>1982</v>
      </c>
      <c r="I1933" s="1241"/>
      <c r="J1933" s="1280"/>
      <c r="K1933" s="1280"/>
      <c r="L1933" s="1280"/>
      <c r="M1933" s="1295"/>
      <c r="N1933" s="1280"/>
      <c r="O1933" s="1277"/>
      <c r="P1933" s="1277"/>
      <c r="Q1933" s="1277"/>
      <c r="R1933" s="1280" t="s">
        <v>1688</v>
      </c>
      <c r="S1933" s="1277"/>
      <c r="T1933" s="1280" t="str">
        <f>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247">IF(J1934&lt;&gt;"",A1934,"")</f>
        <v/>
      </c>
      <c r="J1934" s="1280"/>
      <c r="K1934" s="1280" t="str">
        <f t="shared" ref="K1934:K1944" si="248">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249">IF(T1935&lt;&gt;"","AP","")</f>
        <v/>
      </c>
      <c r="H1935" s="1280" t="s">
        <v>1982</v>
      </c>
      <c r="I1935" s="1241" t="str">
        <f t="shared" si="247"/>
        <v/>
      </c>
      <c r="J1935" s="1280"/>
      <c r="K1935" s="1280" t="str">
        <f t="shared" si="248"/>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249"/>
        <v/>
      </c>
      <c r="H1936" s="1280" t="s">
        <v>1982</v>
      </c>
      <c r="I1936" s="1241" t="str">
        <f t="shared" si="247"/>
        <v/>
      </c>
      <c r="J1936" s="1280"/>
      <c r="K1936" s="1280" t="str">
        <f t="shared" si="248"/>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249"/>
        <v/>
      </c>
      <c r="H1937" s="1280" t="s">
        <v>1982</v>
      </c>
      <c r="I1937" s="1241" t="str">
        <f t="shared" si="247"/>
        <v/>
      </c>
      <c r="J1937" s="1280"/>
      <c r="K1937" s="1280" t="str">
        <f t="shared" si="248"/>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249"/>
        <v/>
      </c>
      <c r="H1938" s="1280" t="s">
        <v>1982</v>
      </c>
      <c r="I1938" s="1241" t="str">
        <f t="shared" si="247"/>
        <v/>
      </c>
      <c r="J1938" s="1280"/>
      <c r="K1938" s="1280" t="str">
        <f t="shared" si="248"/>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249"/>
        <v/>
      </c>
      <c r="H1939" s="1280" t="s">
        <v>1982</v>
      </c>
      <c r="I1939" s="1241" t="str">
        <f t="shared" si="247"/>
        <v/>
      </c>
      <c r="J1939" s="1280"/>
      <c r="K1939" s="1280" t="str">
        <f t="shared" si="248"/>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249"/>
        <v/>
      </c>
      <c r="H1940" s="1280" t="s">
        <v>1982</v>
      </c>
      <c r="I1940" s="1241" t="str">
        <f t="shared" si="247"/>
        <v/>
      </c>
      <c r="J1940" s="1280"/>
      <c r="K1940" s="1280" t="str">
        <f t="shared" si="248"/>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249"/>
        <v/>
      </c>
      <c r="H1941" s="1280" t="s">
        <v>1982</v>
      </c>
      <c r="I1941" s="1241" t="str">
        <f t="shared" si="247"/>
        <v/>
      </c>
      <c r="J1941" s="1280"/>
      <c r="K1941" s="1280" t="str">
        <f t="shared" si="248"/>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249"/>
        <v/>
      </c>
      <c r="H1942" s="1280" t="s">
        <v>1982</v>
      </c>
      <c r="I1942" s="1241" t="str">
        <f t="shared" si="247"/>
        <v/>
      </c>
      <c r="J1942" s="1280"/>
      <c r="K1942" s="1280" t="str">
        <f t="shared" si="248"/>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249"/>
        <v/>
      </c>
      <c r="H1943" s="1280" t="s">
        <v>1982</v>
      </c>
      <c r="I1943" s="1241" t="str">
        <f t="shared" si="247"/>
        <v/>
      </c>
      <c r="J1943" s="1280"/>
      <c r="K1943" s="1280" t="str">
        <f t="shared" si="248"/>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249"/>
        <v/>
      </c>
      <c r="H1944" s="1280" t="s">
        <v>1982</v>
      </c>
      <c r="I1944" s="1241" t="str">
        <f t="shared" si="247"/>
        <v/>
      </c>
      <c r="J1944" s="1280"/>
      <c r="K1944" s="1280" t="str">
        <f t="shared" si="248"/>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250">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250"/>
        <v/>
      </c>
      <c r="H1947" s="1280" t="s">
        <v>1982</v>
      </c>
      <c r="I1947" s="1241"/>
      <c r="J1947" s="1280"/>
      <c r="K1947" s="1280"/>
      <c r="L1947" s="801"/>
      <c r="M1947" s="1295"/>
      <c r="N1947" s="1280"/>
      <c r="O1947" s="1277"/>
      <c r="P1947" s="1277"/>
      <c r="Q1947" s="1277"/>
      <c r="R1947" s="571" t="s">
        <v>847</v>
      </c>
      <c r="S1947" s="1277"/>
      <c r="T1947" s="1280" t="str">
        <f>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250"/>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250"/>
        <v/>
      </c>
      <c r="H1949" s="1280" t="s">
        <v>1982</v>
      </c>
      <c r="I1949" s="1241"/>
      <c r="J1949" s="1280"/>
      <c r="K1949" s="1280"/>
      <c r="L1949" s="801"/>
      <c r="M1949" s="1295"/>
      <c r="N1949" s="1280"/>
      <c r="O1949" s="1277"/>
      <c r="P1949" s="1277"/>
      <c r="Q1949" s="1277"/>
      <c r="R1949" s="1280" t="s">
        <v>395</v>
      </c>
      <c r="S1949" s="1277"/>
      <c r="T1949" s="1280" t="str">
        <f>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250"/>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250"/>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250"/>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250"/>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251">IF(J1954&lt;&gt;"",A1954,"")</f>
        <v/>
      </c>
      <c r="J1954" s="1280"/>
      <c r="K1954" s="1280" t="str">
        <f t="shared" ref="K1954:K1988" si="252">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253">IF(T1955&lt;&gt;"","AS","")</f>
        <v/>
      </c>
      <c r="H1955" s="1280" t="s">
        <v>1982</v>
      </c>
      <c r="I1955" s="1241" t="str">
        <f t="shared" si="251"/>
        <v/>
      </c>
      <c r="J1955" s="1280"/>
      <c r="K1955" s="1280" t="str">
        <f t="shared" si="252"/>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253"/>
        <v/>
      </c>
      <c r="H1956" s="1280" t="s">
        <v>1982</v>
      </c>
      <c r="I1956" s="1241" t="str">
        <f t="shared" si="251"/>
        <v/>
      </c>
      <c r="J1956" s="1280"/>
      <c r="K1956" s="1280" t="str">
        <f t="shared" si="252"/>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253"/>
        <v/>
      </c>
      <c r="H1957" s="1280" t="s">
        <v>1982</v>
      </c>
      <c r="I1957" s="1241" t="str">
        <f t="shared" si="251"/>
        <v/>
      </c>
      <c r="J1957" s="1280"/>
      <c r="K1957" s="1280" t="str">
        <f t="shared" si="252"/>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253"/>
        <v/>
      </c>
      <c r="H1958" s="1280" t="s">
        <v>1982</v>
      </c>
      <c r="I1958" s="1241" t="str">
        <f t="shared" si="251"/>
        <v/>
      </c>
      <c r="J1958" s="1280"/>
      <c r="K1958" s="1280" t="str">
        <f t="shared" si="252"/>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253"/>
        <v/>
      </c>
      <c r="H1959" s="1280" t="s">
        <v>1982</v>
      </c>
      <c r="I1959" s="1241" t="str">
        <f t="shared" si="251"/>
        <v/>
      </c>
      <c r="J1959" s="1280"/>
      <c r="K1959" s="1280" t="str">
        <f t="shared" si="252"/>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253"/>
        <v/>
      </c>
      <c r="H1960" s="1280" t="s">
        <v>1982</v>
      </c>
      <c r="I1960" s="1241" t="str">
        <f t="shared" si="251"/>
        <v/>
      </c>
      <c r="J1960" s="1280"/>
      <c r="K1960" s="1280" t="str">
        <f t="shared" si="252"/>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253"/>
        <v/>
      </c>
      <c r="H1961" s="1280" t="s">
        <v>1982</v>
      </c>
      <c r="I1961" s="1241" t="str">
        <f t="shared" si="251"/>
        <v/>
      </c>
      <c r="J1961" s="1280"/>
      <c r="K1961" s="1280" t="str">
        <f t="shared" si="252"/>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253"/>
        <v/>
      </c>
      <c r="H1962" s="1280" t="s">
        <v>1982</v>
      </c>
      <c r="I1962" s="1241" t="str">
        <f t="shared" si="251"/>
        <v/>
      </c>
      <c r="J1962" s="1280"/>
      <c r="K1962" s="1280" t="str">
        <f t="shared" si="252"/>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253"/>
        <v/>
      </c>
      <c r="H1963" s="1280" t="s">
        <v>1982</v>
      </c>
      <c r="I1963" s="1241" t="str">
        <f t="shared" si="251"/>
        <v/>
      </c>
      <c r="J1963" s="1280"/>
      <c r="K1963" s="1280" t="str">
        <f t="shared" si="252"/>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253"/>
        <v/>
      </c>
      <c r="H1964" s="1280" t="s">
        <v>1982</v>
      </c>
      <c r="I1964" s="1241" t="str">
        <f t="shared" si="251"/>
        <v/>
      </c>
      <c r="J1964" s="1280"/>
      <c r="K1964" s="1280" t="str">
        <f t="shared" si="252"/>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253"/>
        <v/>
      </c>
      <c r="H1965" s="1280" t="s">
        <v>1982</v>
      </c>
      <c r="I1965" s="1241" t="str">
        <f t="shared" si="251"/>
        <v/>
      </c>
      <c r="J1965" s="1280"/>
      <c r="K1965" s="1280" t="str">
        <f t="shared" si="252"/>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253"/>
        <v/>
      </c>
      <c r="H1966" s="1280" t="s">
        <v>1982</v>
      </c>
      <c r="I1966" s="1241" t="str">
        <f t="shared" si="251"/>
        <v/>
      </c>
      <c r="J1966" s="1280"/>
      <c r="K1966" s="1280" t="str">
        <f t="shared" si="252"/>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253"/>
        <v/>
      </c>
      <c r="H1967" s="1280" t="s">
        <v>1982</v>
      </c>
      <c r="I1967" s="1241" t="str">
        <f t="shared" si="251"/>
        <v/>
      </c>
      <c r="J1967" s="1280"/>
      <c r="K1967" s="1280" t="str">
        <f t="shared" si="252"/>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253"/>
        <v/>
      </c>
      <c r="H1968" s="1280" t="s">
        <v>1982</v>
      </c>
      <c r="I1968" s="1241" t="str">
        <f t="shared" si="251"/>
        <v/>
      </c>
      <c r="J1968" s="1280"/>
      <c r="K1968" s="1280" t="str">
        <f t="shared" si="252"/>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253"/>
        <v/>
      </c>
      <c r="H1969" s="1280" t="s">
        <v>1982</v>
      </c>
      <c r="I1969" s="1241" t="str">
        <f t="shared" si="251"/>
        <v/>
      </c>
      <c r="J1969" s="1280"/>
      <c r="K1969" s="1280" t="str">
        <f t="shared" si="252"/>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253"/>
        <v/>
      </c>
      <c r="H1970" s="1280" t="s">
        <v>1982</v>
      </c>
      <c r="I1970" s="1241" t="str">
        <f t="shared" si="251"/>
        <v/>
      </c>
      <c r="J1970" s="1280"/>
      <c r="K1970" s="1280" t="str">
        <f t="shared" si="252"/>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253"/>
        <v/>
      </c>
      <c r="H1971" s="1280" t="s">
        <v>1982</v>
      </c>
      <c r="I1971" s="1241" t="str">
        <f t="shared" si="251"/>
        <v/>
      </c>
      <c r="J1971" s="1280"/>
      <c r="K1971" s="1280" t="str">
        <f t="shared" si="252"/>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253"/>
        <v/>
      </c>
      <c r="H1972" s="1280" t="s">
        <v>1982</v>
      </c>
      <c r="I1972" s="1241" t="str">
        <f t="shared" si="251"/>
        <v/>
      </c>
      <c r="J1972" s="1280"/>
      <c r="K1972" s="1280" t="str">
        <f t="shared" si="252"/>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253"/>
        <v/>
      </c>
      <c r="H1973" s="1280" t="s">
        <v>1982</v>
      </c>
      <c r="I1973" s="1241" t="str">
        <f t="shared" si="251"/>
        <v/>
      </c>
      <c r="J1973" s="1280"/>
      <c r="K1973" s="1280" t="str">
        <f t="shared" si="252"/>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253"/>
        <v/>
      </c>
      <c r="H1974" s="1280" t="s">
        <v>1982</v>
      </c>
      <c r="I1974" s="1241" t="str">
        <f t="shared" si="251"/>
        <v/>
      </c>
      <c r="J1974" s="1280"/>
      <c r="K1974" s="1280" t="str">
        <f t="shared" si="252"/>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253"/>
        <v/>
      </c>
      <c r="H1975" s="1280" t="s">
        <v>1982</v>
      </c>
      <c r="I1975" s="1241" t="str">
        <f t="shared" si="251"/>
        <v/>
      </c>
      <c r="J1975" s="1280"/>
      <c r="K1975" s="1280" t="str">
        <f t="shared" si="252"/>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253"/>
        <v/>
      </c>
      <c r="H1976" s="1280" t="s">
        <v>1982</v>
      </c>
      <c r="I1976" s="1241" t="str">
        <f t="shared" si="251"/>
        <v/>
      </c>
      <c r="J1976" s="1280"/>
      <c r="K1976" s="1280" t="str">
        <f t="shared" si="252"/>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253"/>
        <v/>
      </c>
      <c r="H1977" s="1280" t="s">
        <v>1982</v>
      </c>
      <c r="I1977" s="1241" t="str">
        <f t="shared" si="251"/>
        <v/>
      </c>
      <c r="J1977" s="1280"/>
      <c r="K1977" s="1280" t="str">
        <f t="shared" si="252"/>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253"/>
        <v/>
      </c>
      <c r="H1978" s="1280" t="s">
        <v>1982</v>
      </c>
      <c r="I1978" s="1241" t="str">
        <f t="shared" si="251"/>
        <v/>
      </c>
      <c r="J1978" s="1280"/>
      <c r="K1978" s="1280" t="str">
        <f t="shared" si="252"/>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253"/>
        <v/>
      </c>
      <c r="H1979" s="1280" t="s">
        <v>1982</v>
      </c>
      <c r="I1979" s="1241" t="str">
        <f t="shared" si="251"/>
        <v/>
      </c>
      <c r="J1979" s="1280"/>
      <c r="K1979" s="1280" t="str">
        <f t="shared" si="252"/>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253"/>
        <v/>
      </c>
      <c r="H1980" s="1280" t="s">
        <v>1982</v>
      </c>
      <c r="I1980" s="1241" t="str">
        <f t="shared" si="251"/>
        <v/>
      </c>
      <c r="J1980" s="1280"/>
      <c r="K1980" s="1280" t="str">
        <f t="shared" si="252"/>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253"/>
        <v/>
      </c>
      <c r="H1981" s="1280" t="s">
        <v>1982</v>
      </c>
      <c r="I1981" s="1241" t="str">
        <f t="shared" si="251"/>
        <v/>
      </c>
      <c r="J1981" s="1280"/>
      <c r="K1981" s="1280" t="str">
        <f t="shared" si="252"/>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253"/>
        <v/>
      </c>
      <c r="H1982" s="1280" t="s">
        <v>1982</v>
      </c>
      <c r="I1982" s="1241" t="str">
        <f t="shared" si="251"/>
        <v/>
      </c>
      <c r="J1982" s="1280"/>
      <c r="K1982" s="1280" t="str">
        <f t="shared" si="252"/>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253"/>
        <v/>
      </c>
      <c r="H1983" s="1280" t="s">
        <v>1982</v>
      </c>
      <c r="I1983" s="1241" t="str">
        <f t="shared" si="251"/>
        <v/>
      </c>
      <c r="J1983" s="1280"/>
      <c r="K1983" s="1280" t="str">
        <f t="shared" si="252"/>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253"/>
        <v/>
      </c>
      <c r="H1984" s="1280" t="s">
        <v>1982</v>
      </c>
      <c r="I1984" s="1241" t="str">
        <f t="shared" si="251"/>
        <v/>
      </c>
      <c r="J1984" s="1280"/>
      <c r="K1984" s="1280" t="str">
        <f t="shared" si="252"/>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253"/>
        <v/>
      </c>
      <c r="H1985" s="1280" t="s">
        <v>1982</v>
      </c>
      <c r="I1985" s="1241" t="str">
        <f t="shared" si="251"/>
        <v/>
      </c>
      <c r="J1985" s="1280"/>
      <c r="K1985" s="1280" t="str">
        <f t="shared" si="252"/>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253"/>
        <v/>
      </c>
      <c r="H1986" s="1280" t="s">
        <v>1982</v>
      </c>
      <c r="I1986" s="1241" t="str">
        <f t="shared" si="251"/>
        <v/>
      </c>
      <c r="J1986" s="1280"/>
      <c r="K1986" s="1280" t="str">
        <f t="shared" si="252"/>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253"/>
        <v/>
      </c>
      <c r="H1987" s="1280" t="s">
        <v>1982</v>
      </c>
      <c r="I1987" s="1241" t="str">
        <f t="shared" si="251"/>
        <v/>
      </c>
      <c r="J1987" s="1280"/>
      <c r="K1987" s="1280" t="str">
        <f t="shared" si="252"/>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252"/>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2"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2">
        <f>'Configurable Tab'!H38</f>
        <v>503</v>
      </c>
      <c r="P1991" s="18" t="str">
        <f>'Configurable Tab'!J38</f>
        <v>No</v>
      </c>
      <c r="Q1991" s="1314" t="s">
        <v>648</v>
      </c>
      <c r="R1991" s="1316" t="s">
        <v>2034</v>
      </c>
      <c r="T1991" s="1319" t="str">
        <f t="shared" ref="T1991:T2000" si="254">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2" t="s">
        <v>726</v>
      </c>
      <c r="R1992" s="1316" t="s">
        <v>2034</v>
      </c>
      <c r="T1992" s="1319" t="str">
        <f t="shared" si="254"/>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2">
        <f>'Configurable Tab'!I38</f>
        <v>516</v>
      </c>
      <c r="R1993" s="1316" t="s">
        <v>2034</v>
      </c>
      <c r="T1993" s="1319" t="str">
        <f t="shared" si="254"/>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254"/>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254"/>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254"/>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254"/>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254"/>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254"/>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254"/>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2"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2">
        <f>'Configurable Tab'!H39</f>
        <v>517</v>
      </c>
      <c r="P2002" s="18" t="str">
        <f>'Configurable Tab'!J39</f>
        <v>No</v>
      </c>
      <c r="Q2002" s="1317" t="s">
        <v>648</v>
      </c>
      <c r="R2002" s="1316" t="s">
        <v>2035</v>
      </c>
      <c r="T2002" s="1319" t="str">
        <f t="shared" ref="T2002:T2011" si="255">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2" t="s">
        <v>726</v>
      </c>
      <c r="R2003" s="1316" t="s">
        <v>2035</v>
      </c>
      <c r="T2003" s="1524" t="str">
        <f t="shared" si="255"/>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2">
        <f>'Configurable Tab'!I39</f>
        <v>530</v>
      </c>
      <c r="R2004" s="1316" t="s">
        <v>2035</v>
      </c>
      <c r="T2004" s="1524" t="str">
        <f t="shared" si="255"/>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255"/>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255"/>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255"/>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IF(T2008&lt;&gt;"","S","")</f>
        <v/>
      </c>
      <c r="H2008" s="1319" t="s">
        <v>1982</v>
      </c>
      <c r="I2008" s="801"/>
      <c r="J2008" s="801"/>
      <c r="K2008" s="801"/>
      <c r="L2008" s="801" t="s">
        <v>1389</v>
      </c>
      <c r="M2008" s="1298">
        <v>1227</v>
      </c>
      <c r="N2008" s="801"/>
      <c r="R2008" s="1316" t="s">
        <v>2035</v>
      </c>
      <c r="T2008" s="1524" t="str">
        <f t="shared" si="255"/>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255"/>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255"/>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255"/>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2"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2">
        <f>'Configurable Tab'!H40</f>
        <v>531</v>
      </c>
      <c r="P2013" s="18" t="str">
        <f>'Configurable Tab'!J40</f>
        <v>No</v>
      </c>
      <c r="Q2013" s="1317" t="s">
        <v>648</v>
      </c>
      <c r="R2013" s="1316" t="s">
        <v>2036</v>
      </c>
      <c r="T2013" s="1319" t="str">
        <f t="shared" ref="T2013:T2022" si="256">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2" t="s">
        <v>726</v>
      </c>
      <c r="R2014" s="1316" t="s">
        <v>2036</v>
      </c>
      <c r="T2014" s="1524" t="str">
        <f t="shared" si="256"/>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2">
        <f>'Configurable Tab'!I40</f>
        <v>544</v>
      </c>
      <c r="R2015" s="1316" t="s">
        <v>2036</v>
      </c>
      <c r="T2015" s="1524" t="str">
        <f t="shared" si="256"/>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256"/>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256"/>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256"/>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IF(T2019&lt;&gt;"","S","")</f>
        <v/>
      </c>
      <c r="H2019" s="1319" t="s">
        <v>1982</v>
      </c>
      <c r="I2019" s="801"/>
      <c r="J2019" s="801"/>
      <c r="K2019" s="801"/>
      <c r="L2019" s="801" t="s">
        <v>1389</v>
      </c>
      <c r="M2019" s="1298">
        <v>1238</v>
      </c>
      <c r="N2019" s="801"/>
      <c r="R2019" s="1316" t="s">
        <v>2036</v>
      </c>
      <c r="T2019" s="1524" t="str">
        <f t="shared" si="256"/>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256"/>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256"/>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256"/>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2"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2">
        <f>'Configurable Tab'!H41</f>
        <v>545</v>
      </c>
      <c r="P2024" s="18" t="str">
        <f>'Configurable Tab'!J41</f>
        <v>No</v>
      </c>
      <c r="Q2024" s="1317" t="s">
        <v>648</v>
      </c>
      <c r="R2024" s="1316" t="s">
        <v>2037</v>
      </c>
      <c r="T2024" s="1319" t="str">
        <f t="shared" ref="T2024:T2033" si="257">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2" t="s">
        <v>726</v>
      </c>
      <c r="R2025" s="1316" t="s">
        <v>2037</v>
      </c>
      <c r="T2025" s="1524" t="str">
        <f t="shared" si="257"/>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2">
        <f>'Configurable Tab'!I41</f>
        <v>558</v>
      </c>
      <c r="R2026" s="1316" t="s">
        <v>2037</v>
      </c>
      <c r="T2026" s="1524" t="str">
        <f t="shared" si="257"/>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257"/>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257"/>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257"/>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IF(T2030&lt;&gt;"","S","")</f>
        <v/>
      </c>
      <c r="H2030" s="1319" t="s">
        <v>1982</v>
      </c>
      <c r="I2030" s="801"/>
      <c r="J2030" s="801"/>
      <c r="K2030" s="801"/>
      <c r="L2030" s="801" t="s">
        <v>1389</v>
      </c>
      <c r="M2030" s="1298">
        <v>1249</v>
      </c>
      <c r="N2030" s="801"/>
      <c r="R2030" s="1316" t="s">
        <v>2037</v>
      </c>
      <c r="T2030" s="1524" t="str">
        <f t="shared" si="257"/>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257"/>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257"/>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257"/>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2"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2">
        <f>'Configurable Tab'!H42</f>
        <v>559</v>
      </c>
      <c r="P2035" s="18" t="str">
        <f>'Configurable Tab'!J42</f>
        <v>No</v>
      </c>
      <c r="Q2035" s="1317" t="s">
        <v>648</v>
      </c>
      <c r="R2035" s="1316" t="s">
        <v>2038</v>
      </c>
      <c r="T2035" s="1319" t="str">
        <f t="shared" ref="T2035:T2044" si="258">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2" t="s">
        <v>726</v>
      </c>
      <c r="R2036" s="1316" t="s">
        <v>2038</v>
      </c>
      <c r="T2036" s="1524" t="str">
        <f t="shared" si="258"/>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2">
        <f>'Configurable Tab'!I42</f>
        <v>572</v>
      </c>
      <c r="R2037" s="1316" t="s">
        <v>2038</v>
      </c>
      <c r="T2037" s="1524" t="str">
        <f t="shared" si="258"/>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258"/>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258"/>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258"/>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IF(T2041&lt;&gt;"","S","")</f>
        <v/>
      </c>
      <c r="H2041" s="1319" t="s">
        <v>1982</v>
      </c>
      <c r="I2041" s="801"/>
      <c r="J2041" s="801"/>
      <c r="K2041" s="801"/>
      <c r="L2041" s="801" t="s">
        <v>1389</v>
      </c>
      <c r="M2041" s="1298">
        <v>1260</v>
      </c>
      <c r="N2041" s="801"/>
      <c r="R2041" s="1316" t="s">
        <v>2038</v>
      </c>
      <c r="T2041" s="1524" t="str">
        <f t="shared" si="258"/>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258"/>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258"/>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258"/>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2"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2">
        <f>'Configurable Tab'!H43</f>
        <v>573</v>
      </c>
      <c r="P2046" s="18" t="str">
        <f>'Configurable Tab'!J43</f>
        <v>No</v>
      </c>
      <c r="Q2046" s="1317" t="s">
        <v>648</v>
      </c>
      <c r="R2046" s="1316" t="s">
        <v>2039</v>
      </c>
      <c r="T2046" s="1319" t="str">
        <f t="shared" ref="T2046:T2055" si="259">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2" t="s">
        <v>726</v>
      </c>
      <c r="R2047" s="1316" t="s">
        <v>2039</v>
      </c>
      <c r="T2047" s="1524" t="str">
        <f t="shared" si="259"/>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2">
        <f>'Configurable Tab'!I43</f>
        <v>586</v>
      </c>
      <c r="R2048" s="1316" t="s">
        <v>2039</v>
      </c>
      <c r="T2048" s="1524" t="str">
        <f t="shared" si="259"/>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259"/>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259"/>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259"/>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IF(T2052&lt;&gt;"","S","")</f>
        <v/>
      </c>
      <c r="H2052" s="1319" t="s">
        <v>1982</v>
      </c>
      <c r="I2052" s="801"/>
      <c r="J2052" s="801"/>
      <c r="K2052" s="801"/>
      <c r="L2052" s="801" t="s">
        <v>1389</v>
      </c>
      <c r="M2052" s="1298">
        <v>1271</v>
      </c>
      <c r="N2052" s="801"/>
      <c r="R2052" s="1316" t="s">
        <v>2039</v>
      </c>
      <c r="T2052" s="1524" t="str">
        <f t="shared" si="259"/>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259"/>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259"/>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259"/>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2"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2">
        <f>'Configurable Tab'!H44</f>
        <v>587</v>
      </c>
      <c r="P2057" s="18" t="str">
        <f>'Configurable Tab'!J44</f>
        <v>No</v>
      </c>
      <c r="Q2057" s="1317" t="s">
        <v>648</v>
      </c>
      <c r="R2057" s="1316" t="s">
        <v>2040</v>
      </c>
      <c r="T2057" s="1319" t="str">
        <f t="shared" ref="T2057:T2066" si="260">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2" t="s">
        <v>726</v>
      </c>
      <c r="R2058" s="1316" t="s">
        <v>2040</v>
      </c>
      <c r="T2058" s="1524" t="str">
        <f t="shared" si="260"/>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2">
        <f>'Configurable Tab'!I44</f>
        <v>600</v>
      </c>
      <c r="R2059" s="1316" t="s">
        <v>2040</v>
      </c>
      <c r="T2059" s="1524" t="str">
        <f t="shared" si="260"/>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260"/>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260"/>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260"/>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IF(T2063&lt;&gt;"","S","")</f>
        <v/>
      </c>
      <c r="H2063" s="1319" t="s">
        <v>1982</v>
      </c>
      <c r="I2063" s="801"/>
      <c r="J2063" s="801"/>
      <c r="K2063" s="801"/>
      <c r="L2063" s="801" t="s">
        <v>1389</v>
      </c>
      <c r="M2063" s="1298">
        <v>1282</v>
      </c>
      <c r="N2063" s="801"/>
      <c r="R2063" s="1316" t="s">
        <v>2040</v>
      </c>
      <c r="T2063" s="1524" t="str">
        <f t="shared" si="260"/>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260"/>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260"/>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260"/>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2"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2">
        <f>'Configurable Tab'!H45</f>
        <v>601</v>
      </c>
      <c r="P2068" s="18" t="str">
        <f>'Configurable Tab'!J45</f>
        <v>No</v>
      </c>
      <c r="Q2068" s="1317" t="s">
        <v>648</v>
      </c>
      <c r="R2068" s="1316" t="s">
        <v>2041</v>
      </c>
      <c r="T2068" s="1319" t="str">
        <f t="shared" ref="T2068:T2077" si="261">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2" t="s">
        <v>726</v>
      </c>
      <c r="R2069" s="1316" t="s">
        <v>2041</v>
      </c>
      <c r="T2069" s="1524" t="str">
        <f t="shared" si="261"/>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2">
        <f>'Configurable Tab'!I45</f>
        <v>614</v>
      </c>
      <c r="R2070" s="1316" t="s">
        <v>2041</v>
      </c>
      <c r="T2070" s="1524" t="str">
        <f t="shared" si="261"/>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261"/>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261"/>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261"/>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IF(T2074&lt;&gt;"","S","")</f>
        <v/>
      </c>
      <c r="H2074" s="1319" t="s">
        <v>1982</v>
      </c>
      <c r="I2074" s="801"/>
      <c r="J2074" s="801"/>
      <c r="K2074" s="801"/>
      <c r="L2074" s="801" t="s">
        <v>1389</v>
      </c>
      <c r="M2074" s="1298">
        <v>1293</v>
      </c>
      <c r="N2074" s="801"/>
      <c r="R2074" s="1316" t="s">
        <v>2041</v>
      </c>
      <c r="T2074" s="1524" t="str">
        <f t="shared" si="261"/>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261"/>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261"/>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261"/>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2"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2">
        <f>'Configurable Tab'!H46</f>
        <v>615</v>
      </c>
      <c r="P2079" s="18" t="str">
        <f>'Configurable Tab'!J46</f>
        <v>No</v>
      </c>
      <c r="Q2079" s="1317" t="s">
        <v>648</v>
      </c>
      <c r="R2079" s="1316" t="s">
        <v>2042</v>
      </c>
      <c r="T2079" s="1319" t="str">
        <f t="shared" ref="T2079:T2088" si="262">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2" t="s">
        <v>726</v>
      </c>
      <c r="R2080" s="1316" t="s">
        <v>2042</v>
      </c>
      <c r="T2080" s="1524" t="str">
        <f t="shared" si="262"/>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2">
        <f>'Configurable Tab'!I46</f>
        <v>628</v>
      </c>
      <c r="R2081" s="1316" t="s">
        <v>2042</v>
      </c>
      <c r="T2081" s="1524" t="str">
        <f t="shared" si="262"/>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262"/>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262"/>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262"/>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IF(T2085&lt;&gt;"","S","")</f>
        <v/>
      </c>
      <c r="H2085" s="1319" t="s">
        <v>1982</v>
      </c>
      <c r="I2085" s="801"/>
      <c r="J2085" s="801"/>
      <c r="K2085" s="801"/>
      <c r="L2085" s="801" t="s">
        <v>1389</v>
      </c>
      <c r="M2085" s="1298">
        <v>1304</v>
      </c>
      <c r="N2085" s="801"/>
      <c r="R2085" s="1316" t="s">
        <v>2042</v>
      </c>
      <c r="T2085" s="1524" t="str">
        <f t="shared" si="262"/>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262"/>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262"/>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262"/>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263">IF(J2089&lt;&gt;"",A2089,"")</f>
        <v/>
      </c>
      <c r="J2089" s="1316" t="str">
        <f>IFERROR(IF($Q$1991="Yes",Q$1&amp;M1991,""),"")</f>
        <v/>
      </c>
      <c r="K2089" s="1316" t="str">
        <f t="shared" ref="K2089:K2152" si="264">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263"/>
        <v/>
      </c>
      <c r="J2090" s="1316" t="str">
        <f>IF($Q$1991="Yes",Q$1&amp;M1992,"")</f>
        <v/>
      </c>
      <c r="K2090" s="1316" t="str">
        <f t="shared" si="264"/>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263"/>
        <v/>
      </c>
      <c r="J2091" s="1316" t="str">
        <f t="shared" ref="J2091:J2098" si="265">IF($Q$1991="Yes",Q$1&amp;M1993,"")</f>
        <v/>
      </c>
      <c r="K2091" s="1316" t="str">
        <f t="shared" si="264"/>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263"/>
        <v/>
      </c>
      <c r="J2092" s="1316" t="str">
        <f t="shared" si="265"/>
        <v/>
      </c>
      <c r="K2092" s="1316" t="str">
        <f t="shared" si="264"/>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263"/>
        <v/>
      </c>
      <c r="J2093" s="1316" t="str">
        <f t="shared" si="265"/>
        <v/>
      </c>
      <c r="K2093" s="1316" t="str">
        <f t="shared" si="264"/>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263"/>
        <v/>
      </c>
      <c r="J2094" s="1316" t="str">
        <f t="shared" si="265"/>
        <v/>
      </c>
      <c r="K2094" s="1316" t="str">
        <f t="shared" si="264"/>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263"/>
        <v/>
      </c>
      <c r="J2095" s="1316" t="str">
        <f t="shared" si="265"/>
        <v/>
      </c>
      <c r="K2095" s="1316" t="str">
        <f t="shared" si="264"/>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263"/>
        <v/>
      </c>
      <c r="J2096" s="1316" t="str">
        <f t="shared" si="265"/>
        <v/>
      </c>
      <c r="K2096" s="1316" t="str">
        <f t="shared" si="264"/>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263"/>
        <v/>
      </c>
      <c r="J2097" s="1316" t="str">
        <f t="shared" si="265"/>
        <v/>
      </c>
      <c r="K2097" s="1316" t="str">
        <f t="shared" si="264"/>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263"/>
        <v/>
      </c>
      <c r="J2098" s="1316" t="str">
        <f t="shared" si="265"/>
        <v/>
      </c>
      <c r="K2098" s="1316" t="str">
        <f t="shared" si="264"/>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263"/>
        <v/>
      </c>
      <c r="J2099" s="1316" t="str">
        <f>IF($Q$2002="Yes",Q$1&amp;M2002,"")</f>
        <v/>
      </c>
      <c r="K2099" s="1316" t="str">
        <f t="shared" si="264"/>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263"/>
        <v/>
      </c>
      <c r="J2100" s="1316" t="str">
        <f t="shared" ref="J2100:J2108" si="266">IF($Q$2002="Yes",Q$1&amp;M2003,"")</f>
        <v/>
      </c>
      <c r="K2100" s="1316" t="str">
        <f t="shared" si="264"/>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263"/>
        <v/>
      </c>
      <c r="J2101" s="1316" t="str">
        <f t="shared" si="266"/>
        <v/>
      </c>
      <c r="K2101" s="1316" t="str">
        <f t="shared" si="264"/>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263"/>
        <v/>
      </c>
      <c r="J2102" s="1316" t="str">
        <f t="shared" si="266"/>
        <v/>
      </c>
      <c r="K2102" s="1316" t="str">
        <f t="shared" si="264"/>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263"/>
        <v/>
      </c>
      <c r="J2103" s="1316" t="str">
        <f t="shared" si="266"/>
        <v/>
      </c>
      <c r="K2103" s="1316" t="str">
        <f t="shared" si="264"/>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263"/>
        <v/>
      </c>
      <c r="J2104" s="1316" t="str">
        <f t="shared" si="266"/>
        <v/>
      </c>
      <c r="K2104" s="1316" t="str">
        <f t="shared" si="264"/>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263"/>
        <v/>
      </c>
      <c r="J2105" s="1316" t="str">
        <f t="shared" si="266"/>
        <v/>
      </c>
      <c r="K2105" s="1316" t="str">
        <f t="shared" si="264"/>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263"/>
        <v/>
      </c>
      <c r="J2106" s="1316" t="str">
        <f t="shared" si="266"/>
        <v/>
      </c>
      <c r="K2106" s="1316" t="str">
        <f t="shared" si="264"/>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263"/>
        <v/>
      </c>
      <c r="J2107" s="1316" t="str">
        <f t="shared" si="266"/>
        <v/>
      </c>
      <c r="K2107" s="1316" t="str">
        <f t="shared" si="264"/>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263"/>
        <v/>
      </c>
      <c r="J2108" s="1316" t="str">
        <f t="shared" si="266"/>
        <v/>
      </c>
      <c r="K2108" s="1316" t="str">
        <f t="shared" si="264"/>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263"/>
        <v/>
      </c>
      <c r="J2109" s="1316" t="str">
        <f>IF($Q$2013="Yes",Q$1&amp;M2013,"")</f>
        <v/>
      </c>
      <c r="K2109" s="1316" t="str">
        <f t="shared" si="264"/>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263"/>
        <v/>
      </c>
      <c r="J2110" s="1316" t="str">
        <f t="shared" ref="J2110:J2118" si="267">IF($Q$2013="Yes",Q$1&amp;M2014,"")</f>
        <v/>
      </c>
      <c r="K2110" s="1316" t="str">
        <f t="shared" si="264"/>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263"/>
        <v/>
      </c>
      <c r="J2111" s="1316" t="str">
        <f t="shared" si="267"/>
        <v/>
      </c>
      <c r="K2111" s="1316" t="str">
        <f t="shared" si="264"/>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263"/>
        <v/>
      </c>
      <c r="J2112" s="1316" t="str">
        <f t="shared" si="267"/>
        <v/>
      </c>
      <c r="K2112" s="1316" t="str">
        <f t="shared" si="264"/>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263"/>
        <v/>
      </c>
      <c r="J2113" s="1316" t="str">
        <f t="shared" si="267"/>
        <v/>
      </c>
      <c r="K2113" s="1316" t="str">
        <f t="shared" si="264"/>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263"/>
        <v/>
      </c>
      <c r="J2114" s="1316" t="str">
        <f t="shared" si="267"/>
        <v/>
      </c>
      <c r="K2114" s="1316" t="str">
        <f t="shared" si="264"/>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263"/>
        <v/>
      </c>
      <c r="J2115" s="1316" t="str">
        <f t="shared" si="267"/>
        <v/>
      </c>
      <c r="K2115" s="1316" t="str">
        <f t="shared" si="264"/>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263"/>
        <v/>
      </c>
      <c r="J2116" s="1316" t="str">
        <f t="shared" si="267"/>
        <v/>
      </c>
      <c r="K2116" s="1316" t="str">
        <f t="shared" si="264"/>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263"/>
        <v/>
      </c>
      <c r="J2117" s="1316" t="str">
        <f t="shared" si="267"/>
        <v/>
      </c>
      <c r="K2117" s="1316" t="str">
        <f t="shared" si="264"/>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263"/>
        <v/>
      </c>
      <c r="J2118" s="1316" t="str">
        <f t="shared" si="267"/>
        <v/>
      </c>
      <c r="K2118" s="1316" t="str">
        <f t="shared" si="264"/>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263"/>
        <v/>
      </c>
      <c r="J2119" s="1316" t="str">
        <f>IF($Q$2024="Yes",Q$1&amp;M2024,"")</f>
        <v/>
      </c>
      <c r="K2119" s="1316" t="str">
        <f t="shared" si="264"/>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263"/>
        <v/>
      </c>
      <c r="J2120" s="1316" t="str">
        <f t="shared" ref="J2120:J2128" si="268">IF($Q$2024="Yes",Q$1&amp;M2025,"")</f>
        <v/>
      </c>
      <c r="K2120" s="1316" t="str">
        <f t="shared" si="264"/>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263"/>
        <v/>
      </c>
      <c r="J2121" s="1316" t="str">
        <f t="shared" si="268"/>
        <v/>
      </c>
      <c r="K2121" s="1316" t="str">
        <f t="shared" si="264"/>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263"/>
        <v/>
      </c>
      <c r="J2122" s="1316" t="str">
        <f t="shared" si="268"/>
        <v/>
      </c>
      <c r="K2122" s="1316" t="str">
        <f t="shared" si="264"/>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263"/>
        <v/>
      </c>
      <c r="J2123" s="1316" t="str">
        <f t="shared" si="268"/>
        <v/>
      </c>
      <c r="K2123" s="1316" t="str">
        <f t="shared" si="264"/>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263"/>
        <v/>
      </c>
      <c r="J2124" s="1316" t="str">
        <f t="shared" si="268"/>
        <v/>
      </c>
      <c r="K2124" s="1316" t="str">
        <f t="shared" si="264"/>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263"/>
        <v/>
      </c>
      <c r="J2125" s="1316" t="str">
        <f t="shared" si="268"/>
        <v/>
      </c>
      <c r="K2125" s="1316" t="str">
        <f t="shared" si="264"/>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263"/>
        <v/>
      </c>
      <c r="J2126" s="1316" t="str">
        <f t="shared" si="268"/>
        <v/>
      </c>
      <c r="K2126" s="1316" t="str">
        <f t="shared" si="264"/>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263"/>
        <v/>
      </c>
      <c r="J2127" s="1316" t="str">
        <f t="shared" si="268"/>
        <v/>
      </c>
      <c r="K2127" s="1316" t="str">
        <f t="shared" si="264"/>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263"/>
        <v/>
      </c>
      <c r="J2128" s="1316" t="str">
        <f t="shared" si="268"/>
        <v/>
      </c>
      <c r="K2128" s="1316" t="str">
        <f t="shared" si="264"/>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263"/>
        <v/>
      </c>
      <c r="J2129" s="1316" t="str">
        <f>IF($Q$2035="Yes",Q$1&amp;M2035,"")</f>
        <v/>
      </c>
      <c r="K2129" s="1316" t="str">
        <f t="shared" si="264"/>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263"/>
        <v/>
      </c>
      <c r="J2130" s="1316" t="str">
        <f t="shared" ref="J2130:J2138" si="269">IF($Q$2035="Yes",Q$1&amp;M2036,"")</f>
        <v/>
      </c>
      <c r="K2130" s="1316" t="str">
        <f t="shared" si="264"/>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263"/>
        <v/>
      </c>
      <c r="J2131" s="1316" t="str">
        <f t="shared" si="269"/>
        <v/>
      </c>
      <c r="K2131" s="1316" t="str">
        <f t="shared" si="264"/>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263"/>
        <v/>
      </c>
      <c r="J2132" s="1316" t="str">
        <f t="shared" si="269"/>
        <v/>
      </c>
      <c r="K2132" s="1316" t="str">
        <f t="shared" si="264"/>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263"/>
        <v/>
      </c>
      <c r="J2133" s="1316" t="str">
        <f t="shared" si="269"/>
        <v/>
      </c>
      <c r="K2133" s="1316" t="str">
        <f t="shared" si="264"/>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263"/>
        <v/>
      </c>
      <c r="J2134" s="1316" t="str">
        <f t="shared" si="269"/>
        <v/>
      </c>
      <c r="K2134" s="1316" t="str">
        <f t="shared" si="264"/>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263"/>
        <v/>
      </c>
      <c r="J2135" s="1316" t="str">
        <f t="shared" si="269"/>
        <v/>
      </c>
      <c r="K2135" s="1316" t="str">
        <f t="shared" si="264"/>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263"/>
        <v/>
      </c>
      <c r="J2136" s="1316" t="str">
        <f t="shared" si="269"/>
        <v/>
      </c>
      <c r="K2136" s="1316" t="str">
        <f t="shared" si="264"/>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263"/>
        <v/>
      </c>
      <c r="J2137" s="1316" t="str">
        <f t="shared" si="269"/>
        <v/>
      </c>
      <c r="K2137" s="1316" t="str">
        <f t="shared" si="264"/>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263"/>
        <v/>
      </c>
      <c r="J2138" s="1316" t="str">
        <f t="shared" si="269"/>
        <v/>
      </c>
      <c r="K2138" s="1316" t="str">
        <f t="shared" si="264"/>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263"/>
        <v/>
      </c>
      <c r="J2139" s="1316" t="str">
        <f>IF($Q$2046="Yes",Q$1&amp;M2046,"")</f>
        <v/>
      </c>
      <c r="K2139" s="1316" t="str">
        <f t="shared" si="264"/>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263"/>
        <v/>
      </c>
      <c r="J2140" s="1316" t="str">
        <f t="shared" ref="J2140:J2148" si="270">IF($Q$2046="Yes",Q$1&amp;M2047,"")</f>
        <v/>
      </c>
      <c r="K2140" s="1316" t="str">
        <f t="shared" si="264"/>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263"/>
        <v/>
      </c>
      <c r="J2141" s="1316" t="str">
        <f t="shared" si="270"/>
        <v/>
      </c>
      <c r="K2141" s="1316" t="str">
        <f t="shared" si="264"/>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263"/>
        <v/>
      </c>
      <c r="J2142" s="1316" t="str">
        <f t="shared" si="270"/>
        <v/>
      </c>
      <c r="K2142" s="1316" t="str">
        <f t="shared" si="264"/>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263"/>
        <v/>
      </c>
      <c r="J2143" s="1316" t="str">
        <f t="shared" si="270"/>
        <v/>
      </c>
      <c r="K2143" s="1316" t="str">
        <f t="shared" si="264"/>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263"/>
        <v/>
      </c>
      <c r="J2144" s="1316" t="str">
        <f t="shared" si="270"/>
        <v/>
      </c>
      <c r="K2144" s="1316" t="str">
        <f t="shared" si="264"/>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263"/>
        <v/>
      </c>
      <c r="J2145" s="1316" t="str">
        <f t="shared" si="270"/>
        <v/>
      </c>
      <c r="K2145" s="1316" t="str">
        <f t="shared" si="264"/>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263"/>
        <v/>
      </c>
      <c r="J2146" s="1316" t="str">
        <f t="shared" si="270"/>
        <v/>
      </c>
      <c r="K2146" s="1316" t="str">
        <f t="shared" si="264"/>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263"/>
        <v/>
      </c>
      <c r="J2147" s="1316" t="str">
        <f t="shared" si="270"/>
        <v/>
      </c>
      <c r="K2147" s="1316" t="str">
        <f t="shared" si="264"/>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263"/>
        <v/>
      </c>
      <c r="J2148" s="1316" t="str">
        <f t="shared" si="270"/>
        <v/>
      </c>
      <c r="K2148" s="1316" t="str">
        <f t="shared" si="264"/>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263"/>
        <v/>
      </c>
      <c r="J2149" s="1316" t="str">
        <f>IF($Q$2057="Yes",Q$1&amp;M2057,"")</f>
        <v/>
      </c>
      <c r="K2149" s="1316" t="str">
        <f t="shared" si="264"/>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263"/>
        <v/>
      </c>
      <c r="J2150" s="1316" t="str">
        <f t="shared" ref="J2150:J2158" si="271">IF($Q$2057="Yes",Q$1&amp;M2058,"")</f>
        <v/>
      </c>
      <c r="K2150" s="1316" t="str">
        <f t="shared" si="264"/>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263"/>
        <v/>
      </c>
      <c r="J2151" s="1316" t="str">
        <f t="shared" si="271"/>
        <v/>
      </c>
      <c r="K2151" s="1316" t="str">
        <f t="shared" si="264"/>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263"/>
        <v/>
      </c>
      <c r="J2152" s="1316" t="str">
        <f t="shared" si="271"/>
        <v/>
      </c>
      <c r="K2152" s="1316" t="str">
        <f t="shared" si="264"/>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272">IF(J2153&lt;&gt;"",A2153,"")</f>
        <v/>
      </c>
      <c r="J2153" s="1316" t="str">
        <f t="shared" si="271"/>
        <v/>
      </c>
      <c r="K2153" s="1316" t="str">
        <f t="shared" ref="K2153:K2178" si="273">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272"/>
        <v/>
      </c>
      <c r="J2154" s="1316" t="str">
        <f t="shared" si="271"/>
        <v/>
      </c>
      <c r="K2154" s="1316" t="str">
        <f t="shared" si="273"/>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272"/>
        <v/>
      </c>
      <c r="J2155" s="1316" t="str">
        <f t="shared" si="271"/>
        <v/>
      </c>
      <c r="K2155" s="1316" t="str">
        <f t="shared" si="273"/>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272"/>
        <v/>
      </c>
      <c r="J2156" s="1316" t="str">
        <f t="shared" si="271"/>
        <v/>
      </c>
      <c r="K2156" s="1316" t="str">
        <f t="shared" si="273"/>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272"/>
        <v/>
      </c>
      <c r="J2157" s="1316" t="str">
        <f t="shared" si="271"/>
        <v/>
      </c>
      <c r="K2157" s="1316" t="str">
        <f t="shared" si="273"/>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272"/>
        <v/>
      </c>
      <c r="J2158" s="1316" t="str">
        <f t="shared" si="271"/>
        <v/>
      </c>
      <c r="K2158" s="1316" t="str">
        <f t="shared" si="273"/>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272"/>
        <v/>
      </c>
      <c r="J2159" s="1316" t="str">
        <f>IF($Q$2068="Yes",Q$1&amp;M2068,"")</f>
        <v/>
      </c>
      <c r="K2159" s="1316" t="str">
        <f t="shared" si="273"/>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272"/>
        <v/>
      </c>
      <c r="J2160" s="1316" t="str">
        <f t="shared" ref="J2160:J2168" si="274">IF($Q$2068="Yes",Q$1&amp;M2069,"")</f>
        <v/>
      </c>
      <c r="K2160" s="1316" t="str">
        <f t="shared" si="273"/>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272"/>
        <v/>
      </c>
      <c r="J2161" s="1316" t="str">
        <f t="shared" si="274"/>
        <v/>
      </c>
      <c r="K2161" s="1316" t="str">
        <f t="shared" si="273"/>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272"/>
        <v/>
      </c>
      <c r="J2162" s="1316" t="str">
        <f t="shared" si="274"/>
        <v/>
      </c>
      <c r="K2162" s="1316" t="str">
        <f t="shared" si="273"/>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272"/>
        <v/>
      </c>
      <c r="J2163" s="1316" t="str">
        <f t="shared" si="274"/>
        <v/>
      </c>
      <c r="K2163" s="1316" t="str">
        <f t="shared" si="273"/>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272"/>
        <v/>
      </c>
      <c r="J2164" s="1316" t="str">
        <f t="shared" si="274"/>
        <v/>
      </c>
      <c r="K2164" s="1316" t="str">
        <f t="shared" si="273"/>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272"/>
        <v/>
      </c>
      <c r="J2165" s="1316" t="str">
        <f t="shared" si="274"/>
        <v/>
      </c>
      <c r="K2165" s="1316" t="str">
        <f t="shared" si="273"/>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272"/>
        <v/>
      </c>
      <c r="J2166" s="1316" t="str">
        <f t="shared" si="274"/>
        <v/>
      </c>
      <c r="K2166" s="1316" t="str">
        <f t="shared" si="273"/>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272"/>
        <v/>
      </c>
      <c r="J2167" s="1316" t="str">
        <f t="shared" si="274"/>
        <v/>
      </c>
      <c r="K2167" s="1316" t="str">
        <f t="shared" si="273"/>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272"/>
        <v/>
      </c>
      <c r="J2168" s="1316" t="str">
        <f t="shared" si="274"/>
        <v/>
      </c>
      <c r="K2168" s="1316" t="str">
        <f t="shared" si="273"/>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272"/>
        <v/>
      </c>
      <c r="J2169" s="1316" t="str">
        <f>IF($Q$2079="Yes",Q$1&amp;M2079,"")</f>
        <v/>
      </c>
      <c r="K2169" s="1316" t="str">
        <f t="shared" si="273"/>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272"/>
        <v/>
      </c>
      <c r="J2170" s="1316" t="str">
        <f t="shared" ref="J2170:J2178" si="275">IF($Q$2079="Yes",Q$1&amp;M2080,"")</f>
        <v/>
      </c>
      <c r="K2170" s="1316" t="str">
        <f t="shared" si="273"/>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272"/>
        <v/>
      </c>
      <c r="J2171" s="1316" t="str">
        <f t="shared" si="275"/>
        <v/>
      </c>
      <c r="K2171" s="1316" t="str">
        <f t="shared" si="273"/>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272"/>
        <v/>
      </c>
      <c r="J2172" s="1316" t="str">
        <f t="shared" si="275"/>
        <v/>
      </c>
      <c r="K2172" s="1316" t="str">
        <f t="shared" si="273"/>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272"/>
        <v/>
      </c>
      <c r="J2173" s="1316" t="str">
        <f t="shared" si="275"/>
        <v/>
      </c>
      <c r="K2173" s="1316" t="str">
        <f t="shared" si="273"/>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272"/>
        <v/>
      </c>
      <c r="J2174" s="1316" t="str">
        <f t="shared" si="275"/>
        <v/>
      </c>
      <c r="K2174" s="1316" t="str">
        <f t="shared" si="273"/>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272"/>
        <v/>
      </c>
      <c r="J2175" s="1316" t="str">
        <f t="shared" si="275"/>
        <v/>
      </c>
      <c r="K2175" s="1316" t="str">
        <f t="shared" si="273"/>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272"/>
        <v/>
      </c>
      <c r="J2176" s="1316" t="str">
        <f t="shared" si="275"/>
        <v/>
      </c>
      <c r="K2176" s="1316" t="str">
        <f t="shared" si="273"/>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272"/>
        <v/>
      </c>
      <c r="J2177" s="1316" t="str">
        <f t="shared" si="275"/>
        <v/>
      </c>
      <c r="K2177" s="1316" t="str">
        <f t="shared" si="273"/>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272"/>
        <v/>
      </c>
      <c r="J2178" s="1316" t="str">
        <f t="shared" si="275"/>
        <v/>
      </c>
      <c r="K2178" s="1316" t="str">
        <f t="shared" si="273"/>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IF(T2181&lt;&gt;"","AW","")</f>
        <v/>
      </c>
      <c r="H2181" s="1356" t="s">
        <v>1982</v>
      </c>
      <c r="I2181" s="1241"/>
      <c r="J2181" s="1356"/>
      <c r="K2181" s="1356"/>
      <c r="L2181" s="801"/>
      <c r="M2181" s="1357"/>
      <c r="N2181" s="1356"/>
      <c r="R2181" s="1356" t="s">
        <v>481</v>
      </c>
      <c r="T2181" s="1356" t="str">
        <f>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IF(T2182&lt;&gt;"","AW","")</f>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IF(T2183&lt;&gt;"","AW","")</f>
        <v/>
      </c>
      <c r="H2183" s="1356" t="s">
        <v>1982</v>
      </c>
      <c r="I2183" s="1241"/>
      <c r="J2183" s="1356"/>
      <c r="K2183" s="1356"/>
      <c r="L2183" s="801"/>
      <c r="M2183" s="1357"/>
      <c r="N2183" s="1356"/>
      <c r="R2183" s="1356" t="s">
        <v>1692</v>
      </c>
      <c r="T2183" s="1356" t="str">
        <f>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IF(T2184&lt;&gt;"","AW","")</f>
        <v/>
      </c>
      <c r="H2184" s="1356" t="s">
        <v>1982</v>
      </c>
      <c r="I2184" s="1241"/>
      <c r="J2184" s="1356"/>
      <c r="K2184" s="1356"/>
      <c r="L2184" s="801"/>
      <c r="M2184" s="1357"/>
      <c r="N2184" s="1356"/>
      <c r="R2184" s="1356" t="s">
        <v>1692</v>
      </c>
      <c r="T2184" s="1356" t="str">
        <f>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IF(J2185&lt;&gt;"",A2185,"")</f>
        <v>Initial Terms Expiration Date</v>
      </c>
      <c r="J2185" s="1366" t="str">
        <f>IF(M2185&lt;&gt;"",Q$1&amp;M2185,"")</f>
        <v>F1208</v>
      </c>
      <c r="K2185" s="1366" t="str">
        <f>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276">IF(M2189&lt;&gt;"",Q$1&amp;M2189,"")</f>
        <v>F1309</v>
      </c>
      <c r="K2189" s="1508"/>
      <c r="L2189" s="1508"/>
      <c r="M2189" s="1509">
        <v>1309</v>
      </c>
      <c r="N2189" s="1508"/>
      <c r="R2189" s="1508" t="s">
        <v>847</v>
      </c>
      <c r="T2189" s="1510" t="str">
        <f>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277">IF(T2190&lt;&gt;"","AM","")</f>
        <v/>
      </c>
      <c r="H2190" s="1510" t="s">
        <v>1982</v>
      </c>
      <c r="I2190" s="1508"/>
      <c r="J2190" s="1508" t="str">
        <f t="shared" si="276"/>
        <v>F1310</v>
      </c>
      <c r="K2190" s="1508"/>
      <c r="L2190" s="1508"/>
      <c r="M2190" s="1509">
        <v>1310</v>
      </c>
      <c r="N2190" s="1508"/>
      <c r="R2190" s="1508" t="s">
        <v>847</v>
      </c>
      <c r="T2190" s="1510" t="str">
        <f>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277"/>
        <v/>
      </c>
      <c r="H2191" s="1510" t="s">
        <v>1982</v>
      </c>
      <c r="I2191" s="1508"/>
      <c r="J2191" s="1508" t="str">
        <f t="shared" si="276"/>
        <v>F1311</v>
      </c>
      <c r="K2191" s="1508"/>
      <c r="L2191" s="1508"/>
      <c r="M2191" s="1509">
        <v>1311</v>
      </c>
      <c r="N2191" s="1508"/>
      <c r="R2191" s="1508" t="s">
        <v>847</v>
      </c>
      <c r="T2191" s="1510" t="str">
        <f>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277"/>
        <v/>
      </c>
      <c r="H2192" s="1510" t="s">
        <v>1982</v>
      </c>
      <c r="I2192" s="1508"/>
      <c r="J2192" s="1508" t="str">
        <f t="shared" si="276"/>
        <v>F1312</v>
      </c>
      <c r="K2192" s="1508"/>
      <c r="L2192" s="1508"/>
      <c r="M2192" s="1509">
        <v>1312</v>
      </c>
      <c r="N2192" s="1508"/>
      <c r="R2192" s="1508" t="s">
        <v>847</v>
      </c>
      <c r="T2192" s="1510" t="str">
        <f>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277"/>
        <v/>
      </c>
      <c r="H2193" s="1510" t="s">
        <v>1982</v>
      </c>
      <c r="I2193" s="1508"/>
      <c r="J2193" s="1508" t="str">
        <f t="shared" si="276"/>
        <v>F1313</v>
      </c>
      <c r="K2193" s="1508"/>
      <c r="L2193" s="1508"/>
      <c r="M2193" s="1509">
        <v>1313</v>
      </c>
      <c r="N2193" s="1508"/>
      <c r="R2193" s="1508" t="s">
        <v>847</v>
      </c>
      <c r="T2193" s="1510" t="str">
        <f>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277"/>
        <v/>
      </c>
      <c r="H2194" s="1510" t="s">
        <v>1982</v>
      </c>
      <c r="I2194" s="1508"/>
      <c r="J2194" s="1508" t="str">
        <f t="shared" si="276"/>
        <v>F1314</v>
      </c>
      <c r="K2194" s="1508"/>
      <c r="L2194" s="1508"/>
      <c r="M2194" s="1509">
        <v>1314</v>
      </c>
      <c r="N2194" s="1508"/>
      <c r="R2194" s="571" t="s">
        <v>847</v>
      </c>
      <c r="T2194" s="1510" t="str">
        <f>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277"/>
        <v/>
      </c>
      <c r="H2195" s="1510" t="s">
        <v>1982</v>
      </c>
      <c r="I2195" s="1508"/>
      <c r="J2195" s="1508" t="str">
        <f t="shared" si="276"/>
        <v>F1315</v>
      </c>
      <c r="K2195" s="1508"/>
      <c r="L2195" s="1508"/>
      <c r="M2195" s="1509">
        <v>1315</v>
      </c>
      <c r="N2195" s="1508"/>
      <c r="R2195" s="1508" t="s">
        <v>1517</v>
      </c>
      <c r="T2195" s="1510" t="str">
        <f>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277"/>
        <v/>
      </c>
      <c r="H2196" s="1510" t="s">
        <v>1982</v>
      </c>
      <c r="I2196" s="1508"/>
      <c r="J2196" s="1508" t="str">
        <f t="shared" si="276"/>
        <v>F1316</v>
      </c>
      <c r="K2196" s="1508"/>
      <c r="L2196" s="1508"/>
      <c r="M2196" s="1509">
        <v>1316</v>
      </c>
      <c r="N2196" s="1508"/>
      <c r="R2196" s="1508" t="s">
        <v>1517</v>
      </c>
      <c r="T2196" s="1510" t="str">
        <f>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277"/>
        <v/>
      </c>
      <c r="H2197" s="1510" t="s">
        <v>1982</v>
      </c>
      <c r="I2197" s="1508"/>
      <c r="J2197" s="1508" t="str">
        <f t="shared" si="276"/>
        <v>F1317</v>
      </c>
      <c r="K2197" s="1508"/>
      <c r="L2197" s="1508"/>
      <c r="M2197" s="1509">
        <v>1317</v>
      </c>
      <c r="N2197" s="1508"/>
      <c r="R2197" s="1508" t="s">
        <v>1517</v>
      </c>
      <c r="T2197" s="1510" t="str">
        <f>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277"/>
        <v/>
      </c>
      <c r="H2198" s="1510" t="s">
        <v>1982</v>
      </c>
      <c r="I2198" s="1508"/>
      <c r="J2198" s="1508" t="str">
        <f t="shared" si="276"/>
        <v>F1318</v>
      </c>
      <c r="K2198" s="1508"/>
      <c r="L2198" s="1508"/>
      <c r="M2198" s="1509">
        <v>1318</v>
      </c>
      <c r="N2198" s="1508"/>
      <c r="R2198" s="1508" t="s">
        <v>1517</v>
      </c>
      <c r="T2198" s="1510" t="str">
        <f>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277"/>
        <v/>
      </c>
      <c r="H2199" s="1510" t="s">
        <v>1982</v>
      </c>
      <c r="I2199" s="1508"/>
      <c r="J2199" s="1508" t="str">
        <f t="shared" si="276"/>
        <v>F1319</v>
      </c>
      <c r="K2199" s="1508"/>
      <c r="L2199" s="1508"/>
      <c r="M2199" s="1509">
        <v>1319</v>
      </c>
      <c r="N2199" s="1508"/>
      <c r="R2199" s="1508" t="s">
        <v>1523</v>
      </c>
      <c r="T2199" s="1510" t="str">
        <f>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277"/>
        <v/>
      </c>
      <c r="H2200" s="1510" t="s">
        <v>1982</v>
      </c>
      <c r="I2200" s="1508"/>
      <c r="J2200" s="1508" t="str">
        <f t="shared" si="276"/>
        <v>F1320</v>
      </c>
      <c r="K2200" s="1508"/>
      <c r="L2200" s="1508"/>
      <c r="M2200" s="1509">
        <v>1320</v>
      </c>
      <c r="N2200" s="1508"/>
      <c r="R2200" s="1508" t="s">
        <v>1523</v>
      </c>
      <c r="T2200" s="1510" t="str">
        <f>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277"/>
        <v/>
      </c>
      <c r="H2201" s="1510" t="s">
        <v>1982</v>
      </c>
      <c r="I2201" s="1508"/>
      <c r="J2201" s="1508" t="str">
        <f t="shared" si="276"/>
        <v>F1321</v>
      </c>
      <c r="K2201" s="1508"/>
      <c r="L2201" s="1508"/>
      <c r="M2201" s="1509">
        <v>1321</v>
      </c>
      <c r="N2201" s="1508"/>
      <c r="R2201" s="1508" t="s">
        <v>1523</v>
      </c>
      <c r="T2201" s="1510" t="str">
        <f>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277"/>
        <v/>
      </c>
      <c r="H2202" s="1510" t="s">
        <v>1982</v>
      </c>
      <c r="I2202" s="1508"/>
      <c r="J2202" s="1508" t="str">
        <f t="shared" si="276"/>
        <v>F1322</v>
      </c>
      <c r="K2202" s="1508"/>
      <c r="L2202" s="1508"/>
      <c r="M2202" s="1509">
        <v>1322</v>
      </c>
      <c r="N2202" s="1508"/>
      <c r="R2202" s="1508" t="s">
        <v>1523</v>
      </c>
      <c r="T2202" s="1510" t="str">
        <f>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277"/>
        <v/>
      </c>
      <c r="H2203" s="1510" t="s">
        <v>1982</v>
      </c>
      <c r="I2203" s="1508"/>
      <c r="J2203" s="1508" t="str">
        <f t="shared" si="276"/>
        <v>F1323</v>
      </c>
      <c r="K2203" s="1508"/>
      <c r="L2203" s="1508"/>
      <c r="M2203" s="1509">
        <v>1323</v>
      </c>
      <c r="N2203" s="1508"/>
      <c r="R2203" s="1508" t="s">
        <v>1523</v>
      </c>
      <c r="T2203" s="1510" t="str">
        <f>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277"/>
        <v/>
      </c>
      <c r="H2204" s="1510" t="s">
        <v>1982</v>
      </c>
      <c r="I2204" s="1508"/>
      <c r="J2204" s="1508" t="str">
        <f t="shared" si="276"/>
        <v>F1324</v>
      </c>
      <c r="K2204" s="1508"/>
      <c r="L2204" s="1508"/>
      <c r="M2204" s="1509">
        <v>1324</v>
      </c>
      <c r="N2204" s="1508"/>
      <c r="R2204" s="1508" t="s">
        <v>1523</v>
      </c>
      <c r="T2204" s="1510" t="str">
        <f>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277"/>
        <v/>
      </c>
      <c r="H2205" s="1510" t="s">
        <v>1982</v>
      </c>
      <c r="I2205" s="1508"/>
      <c r="J2205" s="1508" t="str">
        <f t="shared" si="276"/>
        <v>F1325</v>
      </c>
      <c r="K2205" s="1508"/>
      <c r="L2205" s="1508"/>
      <c r="M2205" s="1509">
        <v>1325</v>
      </c>
      <c r="N2205" s="1508"/>
      <c r="R2205" s="1508" t="s">
        <v>395</v>
      </c>
      <c r="T2205" s="1510" t="str">
        <f>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277"/>
        <v/>
      </c>
      <c r="H2206" s="1510" t="s">
        <v>1982</v>
      </c>
      <c r="I2206" s="1508"/>
      <c r="J2206" s="1508" t="str">
        <f t="shared" si="276"/>
        <v>F1326</v>
      </c>
      <c r="K2206" s="1508"/>
      <c r="L2206" s="1508"/>
      <c r="M2206" s="1509">
        <v>1326</v>
      </c>
      <c r="N2206" s="1508"/>
      <c r="R2206" s="1508" t="s">
        <v>395</v>
      </c>
      <c r="T2206" s="1510" t="str">
        <f>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277"/>
        <v/>
      </c>
      <c r="H2207" s="1510" t="s">
        <v>1982</v>
      </c>
      <c r="I2207" s="1508"/>
      <c r="J2207" s="1508" t="str">
        <f t="shared" si="276"/>
        <v>F1327</v>
      </c>
      <c r="K2207" s="1508"/>
      <c r="L2207" s="1508"/>
      <c r="M2207" s="1509">
        <v>1327</v>
      </c>
      <c r="N2207" s="1508"/>
      <c r="R2207" s="1508" t="s">
        <v>395</v>
      </c>
      <c r="T2207" s="1510" t="str">
        <f>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277"/>
        <v/>
      </c>
      <c r="H2208" s="1510" t="s">
        <v>1982</v>
      </c>
      <c r="I2208" s="1508"/>
      <c r="J2208" s="1508" t="str">
        <f t="shared" si="276"/>
        <v>F1328</v>
      </c>
      <c r="K2208" s="1508"/>
      <c r="L2208" s="1508"/>
      <c r="M2208" s="1509">
        <v>1328</v>
      </c>
      <c r="N2208" s="1508"/>
      <c r="R2208" s="1508" t="s">
        <v>395</v>
      </c>
      <c r="T2208" s="1510" t="str">
        <f>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277"/>
        <v/>
      </c>
      <c r="H2209" s="1510" t="s">
        <v>1982</v>
      </c>
      <c r="I2209" s="1508"/>
      <c r="J2209" s="1508" t="str">
        <f t="shared" si="276"/>
        <v>F1329</v>
      </c>
      <c r="K2209" s="1508"/>
      <c r="L2209" s="1508"/>
      <c r="M2209" s="1509">
        <v>1329</v>
      </c>
      <c r="N2209" s="1508"/>
      <c r="R2209" s="1508" t="s">
        <v>395</v>
      </c>
      <c r="T2209" s="1510" t="str">
        <f>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277"/>
        <v/>
      </c>
      <c r="H2210" s="1510" t="s">
        <v>1982</v>
      </c>
      <c r="I2210" s="1508"/>
      <c r="J2210" s="1508" t="str">
        <f t="shared" si="276"/>
        <v>F1330</v>
      </c>
      <c r="K2210" s="1508"/>
      <c r="L2210" s="1508"/>
      <c r="M2210" s="1509">
        <v>1330</v>
      </c>
      <c r="N2210" s="1508"/>
      <c r="R2210" s="1508" t="s">
        <v>1688</v>
      </c>
      <c r="T2210" s="1510" t="str">
        <f>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277"/>
        <v/>
      </c>
      <c r="H2211" s="1510" t="s">
        <v>1982</v>
      </c>
      <c r="I2211" s="1508"/>
      <c r="J2211" s="1508" t="str">
        <f t="shared" si="276"/>
        <v>F1331</v>
      </c>
      <c r="K2211" s="1508"/>
      <c r="L2211" s="1508"/>
      <c r="M2211" s="1509">
        <v>1331</v>
      </c>
      <c r="N2211" s="1508"/>
      <c r="R2211" s="1508" t="s">
        <v>1094</v>
      </c>
      <c r="T2211" s="1510" t="str">
        <f>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277"/>
        <v/>
      </c>
      <c r="H2212" s="1510" t="s">
        <v>1982</v>
      </c>
      <c r="I2212" s="1508"/>
      <c r="J2212" s="1508" t="str">
        <f t="shared" si="276"/>
        <v>F1332</v>
      </c>
      <c r="K2212" s="1508"/>
      <c r="L2212" s="1508"/>
      <c r="M2212" s="1509">
        <v>1332</v>
      </c>
      <c r="N2212" s="1508"/>
      <c r="R2212" s="1508" t="s">
        <v>1094</v>
      </c>
      <c r="T2212" s="1510" t="str">
        <f>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278">IF(T2213&lt;&gt;"","AS","")</f>
        <v/>
      </c>
      <c r="H2213" s="1520" t="s">
        <v>1982</v>
      </c>
      <c r="I2213" s="1241" t="str">
        <f t="shared" ref="I2213:I2221" si="279">IF(J2213&lt;&gt;"",A2213,"")</f>
        <v/>
      </c>
      <c r="J2213" s="1520"/>
      <c r="K2213" s="1520" t="str">
        <f t="shared" ref="K2213:K2221" si="280">IF(J2213&lt;&gt;"",E2213,"")</f>
        <v/>
      </c>
      <c r="L2213" s="801"/>
      <c r="M2213" s="1521"/>
      <c r="N2213" s="1524"/>
      <c r="R2213" s="1524" t="s">
        <v>2034</v>
      </c>
      <c r="T2213" s="1522" t="str">
        <f>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278"/>
        <v/>
      </c>
      <c r="H2214" s="1520" t="s">
        <v>1982</v>
      </c>
      <c r="I2214" s="1241" t="str">
        <f t="shared" si="279"/>
        <v/>
      </c>
      <c r="J2214" s="1520"/>
      <c r="K2214" s="1520" t="str">
        <f t="shared" si="280"/>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278"/>
        <v/>
      </c>
      <c r="H2215" s="1520" t="s">
        <v>1982</v>
      </c>
      <c r="I2215" s="1241" t="str">
        <f t="shared" si="279"/>
        <v/>
      </c>
      <c r="J2215" s="1520"/>
      <c r="K2215" s="1520" t="str">
        <f t="shared" si="280"/>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278"/>
        <v/>
      </c>
      <c r="H2216" s="1520" t="s">
        <v>1982</v>
      </c>
      <c r="I2216" s="1241" t="str">
        <f t="shared" si="279"/>
        <v/>
      </c>
      <c r="J2216" s="1520"/>
      <c r="K2216" s="1520" t="str">
        <f t="shared" si="280"/>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278"/>
        <v/>
      </c>
      <c r="H2217" s="1520" t="s">
        <v>1982</v>
      </c>
      <c r="I2217" s="1241" t="str">
        <f t="shared" si="279"/>
        <v/>
      </c>
      <c r="J2217" s="1520"/>
      <c r="K2217" s="1520" t="str">
        <f t="shared" si="280"/>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278"/>
        <v/>
      </c>
      <c r="H2218" s="1520" t="s">
        <v>1982</v>
      </c>
      <c r="I2218" s="1241" t="str">
        <f t="shared" si="279"/>
        <v/>
      </c>
      <c r="J2218" s="1520"/>
      <c r="K2218" s="1520" t="str">
        <f t="shared" si="280"/>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278"/>
        <v/>
      </c>
      <c r="H2219" s="1520" t="s">
        <v>1982</v>
      </c>
      <c r="I2219" s="1241" t="str">
        <f t="shared" si="279"/>
        <v/>
      </c>
      <c r="J2219" s="1520"/>
      <c r="K2219" s="1520" t="str">
        <f t="shared" si="280"/>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278"/>
        <v/>
      </c>
      <c r="H2220" s="1520" t="s">
        <v>1982</v>
      </c>
      <c r="I2220" s="1241" t="str">
        <f t="shared" si="279"/>
        <v/>
      </c>
      <c r="J2220" s="1520"/>
      <c r="K2220" s="1520" t="str">
        <f t="shared" si="280"/>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278"/>
        <v/>
      </c>
      <c r="H2221" s="1520" t="s">
        <v>1982</v>
      </c>
      <c r="I2221" s="1241" t="str">
        <f t="shared" si="279"/>
        <v/>
      </c>
      <c r="J2221" s="1520"/>
      <c r="K2221" s="1520" t="str">
        <f t="shared" si="280"/>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28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28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28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28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28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IF(T2227&lt;&gt;"","AB","")</f>
        <v/>
      </c>
      <c r="H2227" s="1524" t="s">
        <v>1982</v>
      </c>
      <c r="I2227" s="1241"/>
      <c r="J2227" s="1524"/>
      <c r="K2227" s="1524"/>
      <c r="L2227" s="801"/>
      <c r="M2227" s="1525"/>
      <c r="N2227" s="1524"/>
      <c r="O2227" s="595"/>
      <c r="P2227" s="595"/>
      <c r="Q2227" s="595"/>
      <c r="R2227" s="1524" t="s">
        <v>2034</v>
      </c>
      <c r="T2227" s="1524" t="str">
        <f t="shared" si="28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IF(T2228&lt;&gt;"","AP","")</f>
        <v/>
      </c>
      <c r="H2228" s="1524" t="s">
        <v>1982</v>
      </c>
      <c r="I2228" s="1241"/>
      <c r="J2228" s="1524"/>
      <c r="K2228" s="1524"/>
      <c r="L2228" s="801"/>
      <c r="M2228" s="1525"/>
      <c r="N2228" s="1524"/>
      <c r="O2228" s="595"/>
      <c r="P2228" s="595"/>
      <c r="Q2228" s="595"/>
      <c r="R2228" s="1524" t="s">
        <v>2034</v>
      </c>
      <c r="T2228" s="1524" t="str">
        <f t="shared" si="28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282">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282"/>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282"/>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282"/>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282"/>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IF(T2234&lt;&gt;"","AB","")</f>
        <v/>
      </c>
      <c r="H2234" s="1524" t="s">
        <v>1982</v>
      </c>
      <c r="I2234" s="1241"/>
      <c r="J2234" s="1524"/>
      <c r="K2234" s="1524"/>
      <c r="L2234" s="801"/>
      <c r="M2234" s="1525"/>
      <c r="N2234" s="1524"/>
      <c r="O2234" s="595"/>
      <c r="P2234" s="595"/>
      <c r="Q2234" s="595"/>
      <c r="R2234" s="1524" t="s">
        <v>2035</v>
      </c>
      <c r="T2234" s="1524" t="str">
        <f t="shared" si="282"/>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IF(T2235&lt;&gt;"","AP","")</f>
        <v/>
      </c>
      <c r="H2235" s="1524" t="s">
        <v>1982</v>
      </c>
      <c r="I2235" s="1241"/>
      <c r="J2235" s="1524"/>
      <c r="K2235" s="1524"/>
      <c r="L2235" s="801"/>
      <c r="M2235" s="1525"/>
      <c r="N2235" s="1524"/>
      <c r="O2235" s="595"/>
      <c r="P2235" s="595"/>
      <c r="Q2235" s="595"/>
      <c r="R2235" s="1524" t="s">
        <v>2035</v>
      </c>
      <c r="T2235" s="1524" t="str">
        <f t="shared" si="282"/>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283">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283"/>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283"/>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283"/>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283"/>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IF(T2241&lt;&gt;"","AB","")</f>
        <v/>
      </c>
      <c r="H2241" s="1524" t="s">
        <v>1982</v>
      </c>
      <c r="I2241" s="1241"/>
      <c r="J2241" s="1524"/>
      <c r="K2241" s="1524"/>
      <c r="L2241" s="801"/>
      <c r="M2241" s="1525"/>
      <c r="N2241" s="1524"/>
      <c r="O2241" s="595"/>
      <c r="P2241" s="595"/>
      <c r="Q2241" s="595"/>
      <c r="R2241" s="1524" t="s">
        <v>2036</v>
      </c>
      <c r="T2241" s="1524" t="str">
        <f t="shared" si="283"/>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IF(T2242&lt;&gt;"","AP","")</f>
        <v/>
      </c>
      <c r="H2242" s="1524" t="s">
        <v>1982</v>
      </c>
      <c r="I2242" s="1241"/>
      <c r="J2242" s="1524"/>
      <c r="K2242" s="1524"/>
      <c r="L2242" s="801"/>
      <c r="M2242" s="1525"/>
      <c r="N2242" s="1524"/>
      <c r="O2242" s="595"/>
      <c r="P2242" s="595"/>
      <c r="Q2242" s="595"/>
      <c r="R2242" s="1524" t="s">
        <v>2036</v>
      </c>
      <c r="T2242" s="1524" t="str">
        <f t="shared" si="283"/>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284">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284"/>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284"/>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284"/>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284"/>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IF(T2248&lt;&gt;"","AB","")</f>
        <v/>
      </c>
      <c r="H2248" s="1524" t="s">
        <v>1982</v>
      </c>
      <c r="I2248" s="1241"/>
      <c r="J2248" s="1524"/>
      <c r="K2248" s="1524"/>
      <c r="L2248" s="801"/>
      <c r="M2248" s="1525"/>
      <c r="N2248" s="1524"/>
      <c r="R2248" s="1524" t="s">
        <v>2037</v>
      </c>
      <c r="T2248" s="1524" t="str">
        <f t="shared" si="284"/>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IF(T2249&lt;&gt;"","AP","")</f>
        <v/>
      </c>
      <c r="H2249" s="1524" t="s">
        <v>1982</v>
      </c>
      <c r="I2249" s="1241"/>
      <c r="J2249" s="1524"/>
      <c r="K2249" s="1524"/>
      <c r="L2249" s="801"/>
      <c r="M2249" s="1525"/>
      <c r="N2249" s="1524"/>
      <c r="R2249" s="1524" t="s">
        <v>2037</v>
      </c>
      <c r="T2249" s="1524" t="str">
        <f t="shared" si="284"/>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285">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285"/>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285"/>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285"/>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285"/>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IF(T2255&lt;&gt;"","AB","")</f>
        <v/>
      </c>
      <c r="H2255" s="1524" t="s">
        <v>1982</v>
      </c>
      <c r="I2255" s="1241"/>
      <c r="J2255" s="1524"/>
      <c r="K2255" s="1524"/>
      <c r="L2255" s="801"/>
      <c r="M2255" s="1525"/>
      <c r="N2255" s="1524"/>
      <c r="O2255" s="595"/>
      <c r="P2255" s="595"/>
      <c r="Q2255" s="595"/>
      <c r="R2255" s="1524" t="s">
        <v>2038</v>
      </c>
      <c r="T2255" s="1524" t="str">
        <f t="shared" si="285"/>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IF(T2256&lt;&gt;"","AP","")</f>
        <v/>
      </c>
      <c r="H2256" s="1524" t="s">
        <v>1982</v>
      </c>
      <c r="I2256" s="1241"/>
      <c r="J2256" s="1524"/>
      <c r="K2256" s="1524"/>
      <c r="L2256" s="801"/>
      <c r="M2256" s="1525"/>
      <c r="N2256" s="1524"/>
      <c r="O2256" s="595"/>
      <c r="P2256" s="595"/>
      <c r="Q2256" s="595"/>
      <c r="R2256" s="1524" t="s">
        <v>2038</v>
      </c>
      <c r="T2256" s="1524" t="str">
        <f t="shared" si="285"/>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28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28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28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28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28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IF(T2262&lt;&gt;"","AB","")</f>
        <v/>
      </c>
      <c r="H2262" s="1524" t="s">
        <v>1982</v>
      </c>
      <c r="I2262" s="1241"/>
      <c r="J2262" s="1524"/>
      <c r="K2262" s="1524"/>
      <c r="L2262" s="801"/>
      <c r="M2262" s="1525"/>
      <c r="N2262" s="1524"/>
      <c r="O2262" s="595"/>
      <c r="P2262" s="595"/>
      <c r="Q2262" s="595"/>
      <c r="R2262" s="1524" t="s">
        <v>2039</v>
      </c>
      <c r="T2262" s="1524" t="str">
        <f t="shared" si="28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IF(T2263&lt;&gt;"","AP","")</f>
        <v/>
      </c>
      <c r="H2263" s="1524" t="s">
        <v>1982</v>
      </c>
      <c r="I2263" s="1241"/>
      <c r="J2263" s="1524"/>
      <c r="K2263" s="1524"/>
      <c r="L2263" s="801"/>
      <c r="M2263" s="1525"/>
      <c r="N2263" s="1524"/>
      <c r="O2263" s="595"/>
      <c r="P2263" s="595"/>
      <c r="Q2263" s="595"/>
      <c r="R2263" s="1524" t="s">
        <v>2039</v>
      </c>
      <c r="T2263" s="1524" t="str">
        <f t="shared" si="28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287">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287"/>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287"/>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287"/>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287"/>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IF(T2269&lt;&gt;"","AB","")</f>
        <v/>
      </c>
      <c r="H2269" s="1524" t="s">
        <v>1982</v>
      </c>
      <c r="I2269" s="1241"/>
      <c r="J2269" s="1524"/>
      <c r="K2269" s="1524"/>
      <c r="L2269" s="801"/>
      <c r="M2269" s="1525"/>
      <c r="N2269" s="1524"/>
      <c r="O2269" s="595"/>
      <c r="P2269" s="595"/>
      <c r="Q2269" s="595"/>
      <c r="R2269" s="1524" t="s">
        <v>2040</v>
      </c>
      <c r="T2269" s="1524" t="str">
        <f t="shared" si="287"/>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IF(T2270&lt;&gt;"","AP","")</f>
        <v/>
      </c>
      <c r="H2270" s="1524" t="s">
        <v>1982</v>
      </c>
      <c r="I2270" s="1241"/>
      <c r="J2270" s="1524"/>
      <c r="K2270" s="1524"/>
      <c r="L2270" s="801"/>
      <c r="M2270" s="1525"/>
      <c r="N2270" s="1524"/>
      <c r="O2270" s="595"/>
      <c r="P2270" s="595"/>
      <c r="Q2270" s="595"/>
      <c r="R2270" s="1524" t="s">
        <v>2040</v>
      </c>
      <c r="T2270" s="1524" t="str">
        <f t="shared" si="287"/>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288">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288"/>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288"/>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288"/>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288"/>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IF(T2276&lt;&gt;"","AB","")</f>
        <v/>
      </c>
      <c r="H2276" s="1524" t="s">
        <v>1982</v>
      </c>
      <c r="I2276" s="1241"/>
      <c r="J2276" s="1524"/>
      <c r="K2276" s="1524"/>
      <c r="L2276" s="801"/>
      <c r="M2276" s="1525"/>
      <c r="N2276" s="1524"/>
      <c r="R2276" s="1524" t="s">
        <v>2041</v>
      </c>
      <c r="T2276" s="1524" t="str">
        <f t="shared" si="288"/>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IF(T2277&lt;&gt;"","AP","")</f>
        <v/>
      </c>
      <c r="H2277" s="1524" t="s">
        <v>1982</v>
      </c>
      <c r="I2277" s="1241"/>
      <c r="J2277" s="1524"/>
      <c r="K2277" s="1524"/>
      <c r="L2277" s="801"/>
      <c r="M2277" s="1525"/>
      <c r="N2277" s="1524"/>
      <c r="R2277" s="1524" t="s">
        <v>2041</v>
      </c>
      <c r="T2277" s="1524" t="str">
        <f t="shared" si="288"/>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289">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289"/>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289"/>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289"/>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289"/>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IF(T2283&lt;&gt;"","AB","")</f>
        <v/>
      </c>
      <c r="H2283" s="1524" t="s">
        <v>1982</v>
      </c>
      <c r="I2283" s="1241"/>
      <c r="J2283" s="1524"/>
      <c r="K2283" s="1524"/>
      <c r="L2283" s="801"/>
      <c r="M2283" s="1525"/>
      <c r="N2283" s="1524"/>
      <c r="O2283" s="595"/>
      <c r="P2283" s="595"/>
      <c r="Q2283" s="595"/>
      <c r="R2283" s="1524" t="s">
        <v>2042</v>
      </c>
      <c r="T2283" s="1524" t="str">
        <f t="shared" si="289"/>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IF(T2284&lt;&gt;"","AP","")</f>
        <v/>
      </c>
      <c r="H2284" s="1524" t="s">
        <v>1982</v>
      </c>
      <c r="I2284" s="1241"/>
      <c r="J2284" s="1524"/>
      <c r="K2284" s="1524"/>
      <c r="L2284" s="801"/>
      <c r="M2284" s="1525"/>
      <c r="N2284" s="1524"/>
      <c r="O2284" s="595"/>
      <c r="P2284" s="595"/>
      <c r="Q2284" s="595"/>
      <c r="R2284" s="1524" t="s">
        <v>2042</v>
      </c>
      <c r="T2284" s="1524" t="str">
        <f t="shared" si="289"/>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290">IF(T2286&lt;&gt;"","AZ","")</f>
        <v/>
      </c>
      <c r="H2286" s="1528" t="s">
        <v>1982</v>
      </c>
      <c r="I2286" s="1241"/>
      <c r="J2286" s="1528"/>
      <c r="K2286" s="1528"/>
      <c r="L2286" s="801" t="s">
        <v>2126</v>
      </c>
      <c r="M2286" s="1529">
        <v>1334</v>
      </c>
      <c r="N2286" s="1528"/>
      <c r="O2286" s="595"/>
      <c r="P2286" s="595"/>
      <c r="Q2286" s="595"/>
      <c r="R2286" s="1528" t="s">
        <v>2035</v>
      </c>
      <c r="T2286" s="1528" t="str">
        <f>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290"/>
        <v/>
      </c>
      <c r="H2287" s="1528" t="s">
        <v>1982</v>
      </c>
      <c r="I2287" s="1241"/>
      <c r="J2287" s="1528"/>
      <c r="K2287" s="1528"/>
      <c r="L2287" s="801" t="s">
        <v>2126</v>
      </c>
      <c r="M2287" s="1529">
        <v>1335</v>
      </c>
      <c r="N2287" s="1528"/>
      <c r="O2287" s="595"/>
      <c r="P2287" s="595"/>
      <c r="Q2287" s="595"/>
      <c r="R2287" s="1528" t="s">
        <v>2036</v>
      </c>
      <c r="T2287" s="1528" t="str">
        <f>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290"/>
        <v/>
      </c>
      <c r="H2288" s="1528" t="s">
        <v>1982</v>
      </c>
      <c r="I2288" s="1241"/>
      <c r="J2288" s="1528"/>
      <c r="K2288" s="1528"/>
      <c r="L2288" s="801" t="s">
        <v>2126</v>
      </c>
      <c r="M2288" s="1529">
        <v>1336</v>
      </c>
      <c r="N2288" s="1528"/>
      <c r="O2288" s="595"/>
      <c r="P2288" s="595"/>
      <c r="Q2288" s="595"/>
      <c r="R2288" s="1528" t="s">
        <v>2037</v>
      </c>
      <c r="T2288" s="1528" t="str">
        <f>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290"/>
        <v/>
      </c>
      <c r="H2289" s="1528" t="s">
        <v>1982</v>
      </c>
      <c r="I2289" s="1241"/>
      <c r="J2289" s="1528"/>
      <c r="K2289" s="1528"/>
      <c r="L2289" s="801" t="s">
        <v>2126</v>
      </c>
      <c r="M2289" s="1529">
        <v>1337</v>
      </c>
      <c r="N2289" s="1528"/>
      <c r="O2289" s="595"/>
      <c r="P2289" s="595"/>
      <c r="Q2289" s="595"/>
      <c r="R2289" s="1528" t="s">
        <v>2038</v>
      </c>
      <c r="T2289" s="1528" t="str">
        <f>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290"/>
        <v/>
      </c>
      <c r="H2290" s="1528" t="s">
        <v>1982</v>
      </c>
      <c r="I2290" s="1241"/>
      <c r="J2290" s="1528"/>
      <c r="K2290" s="1528"/>
      <c r="L2290" s="801" t="s">
        <v>2126</v>
      </c>
      <c r="M2290" s="1529">
        <v>1338</v>
      </c>
      <c r="N2290" s="1528"/>
      <c r="O2290" s="595"/>
      <c r="P2290" s="595"/>
      <c r="Q2290" s="595"/>
      <c r="R2290" s="1528" t="s">
        <v>2039</v>
      </c>
      <c r="T2290" s="1528" t="str">
        <f>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290"/>
        <v/>
      </c>
      <c r="H2291" s="1528" t="s">
        <v>1982</v>
      </c>
      <c r="I2291" s="1241"/>
      <c r="J2291" s="1528"/>
      <c r="K2291" s="1528"/>
      <c r="L2291" s="801" t="s">
        <v>2126</v>
      </c>
      <c r="M2291" s="1529">
        <v>1339</v>
      </c>
      <c r="N2291" s="1528"/>
      <c r="O2291" s="595"/>
      <c r="P2291" s="595"/>
      <c r="Q2291" s="595"/>
      <c r="R2291" s="1528" t="s">
        <v>2040</v>
      </c>
      <c r="T2291" s="1528" t="str">
        <f>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290"/>
        <v/>
      </c>
      <c r="H2292" s="1528" t="s">
        <v>1982</v>
      </c>
      <c r="I2292" s="1241"/>
      <c r="J2292" s="1528"/>
      <c r="K2292" s="1528"/>
      <c r="L2292" s="801" t="s">
        <v>2126</v>
      </c>
      <c r="M2292" s="1529">
        <v>1340</v>
      </c>
      <c r="N2292" s="1528"/>
      <c r="O2292" s="595"/>
      <c r="P2292" s="595"/>
      <c r="Q2292" s="595"/>
      <c r="R2292" s="1528" t="s">
        <v>2041</v>
      </c>
      <c r="T2292" s="1528" t="str">
        <f>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290"/>
        <v/>
      </c>
      <c r="H2293" s="1528" t="s">
        <v>1982</v>
      </c>
      <c r="I2293" s="1241"/>
      <c r="J2293" s="1528"/>
      <c r="K2293" s="1528"/>
      <c r="L2293" s="801" t="s">
        <v>2126</v>
      </c>
      <c r="M2293" s="1529">
        <v>1341</v>
      </c>
      <c r="N2293" s="1528"/>
      <c r="O2293" s="595"/>
      <c r="P2293" s="595"/>
      <c r="Q2293" s="595"/>
      <c r="R2293" s="1528" t="s">
        <v>2042</v>
      </c>
      <c r="T2293" s="1528" t="str">
        <f>IF(Q$2079="Yes",44,"")</f>
        <v/>
      </c>
    </row>
    <row r="2294" spans="1:20" s="1545"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6" t="s">
        <v>1483</v>
      </c>
      <c r="G2294" s="1546" t="str">
        <f>IF(T2294&lt;&gt;"","A","")</f>
        <v/>
      </c>
      <c r="H2294" s="1546" t="s">
        <v>1982</v>
      </c>
      <c r="I2294" s="1241" t="str">
        <f t="shared" ref="I2294:I2315" si="291">IF(J2294&lt;&gt;"",A2294,"")</f>
        <v/>
      </c>
      <c r="J2294" s="1546"/>
      <c r="K2294" s="1546" t="str">
        <f t="shared" ref="K2294:K2315" si="292">IF(J2294&lt;&gt;"",E2294,"")</f>
        <v/>
      </c>
      <c r="L2294" s="801" t="s">
        <v>1483</v>
      </c>
      <c r="M2294" s="1547">
        <v>1342</v>
      </c>
      <c r="N2294" s="1546"/>
      <c r="O2294" s="1545">
        <f>'Configurable Tab'!H57</f>
        <v>769</v>
      </c>
      <c r="R2294" s="1546" t="s">
        <v>2214</v>
      </c>
      <c r="T2294" s="1546" t="str">
        <f>IF(Q$2295="Yes",55,"")</f>
        <v/>
      </c>
    </row>
    <row r="2295" spans="1:20" s="1545"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6"/>
      <c r="G2295" s="1546"/>
      <c r="H2295" s="1546"/>
      <c r="I2295" s="1241" t="str">
        <f t="shared" si="291"/>
        <v/>
      </c>
      <c r="J2295" s="1546" t="str">
        <f>IF(M2295&lt;&gt;"",IF($Q$2295="Yes",Q$1&amp;M2295,""))</f>
        <v/>
      </c>
      <c r="K2295" s="1546" t="str">
        <f t="shared" si="292"/>
        <v/>
      </c>
      <c r="L2295" s="801" t="s">
        <v>1697</v>
      </c>
      <c r="M2295" s="1547">
        <v>1343</v>
      </c>
      <c r="N2295" s="1546"/>
      <c r="O2295" s="1545" t="s">
        <v>726</v>
      </c>
      <c r="P2295" s="18" t="str">
        <f>'Configurable Tab'!J57</f>
        <v>Yes</v>
      </c>
      <c r="Q2295" s="1545" t="s">
        <v>648</v>
      </c>
      <c r="R2295" s="1688" t="s">
        <v>2214</v>
      </c>
      <c r="T2295" s="1688" t="str">
        <f t="shared" ref="T2295:T2306" si="293">IF(Q$2295="Yes",55,"")</f>
        <v/>
      </c>
    </row>
    <row r="2296" spans="1:20" s="1545"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6" t="s">
        <v>1376</v>
      </c>
      <c r="G2296" s="1546" t="str">
        <f>IF(T2296&lt;&gt;"","B","")</f>
        <v/>
      </c>
      <c r="H2296" s="1546" t="s">
        <v>1982</v>
      </c>
      <c r="I2296" s="1241" t="str">
        <f t="shared" si="291"/>
        <v/>
      </c>
      <c r="J2296" s="1691"/>
      <c r="K2296" s="1546" t="str">
        <f t="shared" si="292"/>
        <v/>
      </c>
      <c r="L2296" s="801" t="s">
        <v>1376</v>
      </c>
      <c r="M2296" s="1547">
        <v>1344</v>
      </c>
      <c r="N2296" s="1546"/>
      <c r="O2296" s="1545">
        <f>'Configurable Tab'!I57</f>
        <v>782</v>
      </c>
      <c r="R2296" s="1688" t="s">
        <v>2214</v>
      </c>
      <c r="T2296" s="1688" t="str">
        <f t="shared" si="293"/>
        <v/>
      </c>
    </row>
    <row r="2297" spans="1:20" s="1545" customFormat="1" x14ac:dyDescent="0.25">
      <c r="A2297" s="818" t="s">
        <v>1373</v>
      </c>
      <c r="B2297" s="801" t="str">
        <f t="shared" ref="B2297:B2302" ca="1" si="294">_xlfn.CONCAT(IFERROR(SUBSTITUTE(ADDRESS(1,MATCH(A2297,INDIRECT("'"&amp;E2297&amp;"'"&amp;"!A" &amp; $O$2294+2 &amp; ":Z"&amp;$O$2294+2 ),0),4),1,""),""),$O$2294+2)</f>
        <v>H771</v>
      </c>
      <c r="C2297" s="801" t="str">
        <f t="shared" ref="C2297:C2302" ca="1" si="295">_xlfn.CONCAT(IFERROR(SUBSTITUTE(ADDRESS(1,MATCH(A2297,INDIRECT("'"&amp;E2297&amp;"'"&amp;"!A" &amp; $O$2294+2 &amp; ":Z"&amp;$O$2294+2 ),0),4),1,""),""),$O$2294+3)</f>
        <v>H772</v>
      </c>
      <c r="D2297" s="801" t="s">
        <v>1343</v>
      </c>
      <c r="E2297" s="801" t="s">
        <v>1508</v>
      </c>
      <c r="F2297" s="1546" t="s">
        <v>1983</v>
      </c>
      <c r="G2297" s="1546" t="str">
        <f>IF(T2297&lt;&gt;"","E","")</f>
        <v/>
      </c>
      <c r="H2297" s="1546" t="s">
        <v>1982</v>
      </c>
      <c r="I2297" s="1241" t="str">
        <f t="shared" si="291"/>
        <v/>
      </c>
      <c r="J2297" s="1691" t="str">
        <f t="shared" ref="J2297:J2306" si="296">IF(M2297&lt;&gt;"",IF($Q$2295="Yes",Q$1&amp;M2297,""))</f>
        <v/>
      </c>
      <c r="K2297" s="1546" t="str">
        <f t="shared" si="292"/>
        <v/>
      </c>
      <c r="L2297" s="801" t="s">
        <v>1373</v>
      </c>
      <c r="M2297" s="1547">
        <v>1345</v>
      </c>
      <c r="N2297" s="1546"/>
      <c r="O2297" s="1545" t="s">
        <v>2134</v>
      </c>
      <c r="R2297" s="1688" t="s">
        <v>2214</v>
      </c>
      <c r="T2297" s="1688" t="str">
        <f t="shared" si="293"/>
        <v/>
      </c>
    </row>
    <row r="2298" spans="1:20" s="1545" customFormat="1" x14ac:dyDescent="0.25">
      <c r="A2298" s="818" t="s">
        <v>1374</v>
      </c>
      <c r="B2298" s="801" t="str">
        <f t="shared" ca="1" si="294"/>
        <v>J771</v>
      </c>
      <c r="C2298" s="801" t="str">
        <f t="shared" ca="1" si="295"/>
        <v>J772</v>
      </c>
      <c r="D2298" s="801" t="s">
        <v>1343</v>
      </c>
      <c r="E2298" s="801" t="s">
        <v>1508</v>
      </c>
      <c r="F2298" s="1546" t="s">
        <v>1984</v>
      </c>
      <c r="G2298" s="1546" t="str">
        <f>IF(T2298&lt;&gt;"","I","")</f>
        <v/>
      </c>
      <c r="H2298" s="1546" t="s">
        <v>1982</v>
      </c>
      <c r="I2298" s="1241" t="str">
        <f t="shared" si="291"/>
        <v/>
      </c>
      <c r="J2298" s="1691" t="str">
        <f t="shared" si="296"/>
        <v/>
      </c>
      <c r="K2298" s="1546" t="str">
        <f t="shared" si="292"/>
        <v/>
      </c>
      <c r="L2298" s="801" t="s">
        <v>1374</v>
      </c>
      <c r="M2298" s="1547">
        <v>1346</v>
      </c>
      <c r="N2298" s="1546"/>
      <c r="R2298" s="1688" t="s">
        <v>2214</v>
      </c>
      <c r="T2298" s="1688" t="str">
        <f t="shared" si="293"/>
        <v/>
      </c>
    </row>
    <row r="2299" spans="1:20" s="1545" customFormat="1" x14ac:dyDescent="0.25">
      <c r="A2299" s="818" t="s">
        <v>1390</v>
      </c>
      <c r="B2299" s="801" t="str">
        <f t="shared" ca="1" si="294"/>
        <v>L771</v>
      </c>
      <c r="C2299" s="801" t="str">
        <f t="shared" ca="1" si="295"/>
        <v>L772</v>
      </c>
      <c r="D2299" s="801" t="s">
        <v>1343</v>
      </c>
      <c r="E2299" s="801" t="s">
        <v>1508</v>
      </c>
      <c r="F2299" s="1546" t="s">
        <v>1985</v>
      </c>
      <c r="G2299" s="1546" t="str">
        <f>IF(T2299&lt;&gt;"","H","")</f>
        <v/>
      </c>
      <c r="H2299" s="1546" t="s">
        <v>1982</v>
      </c>
      <c r="I2299" s="1241" t="str">
        <f t="shared" si="291"/>
        <v/>
      </c>
      <c r="J2299" s="1691" t="str">
        <f t="shared" si="296"/>
        <v/>
      </c>
      <c r="K2299" s="1546" t="str">
        <f t="shared" si="292"/>
        <v/>
      </c>
      <c r="L2299" s="801" t="s">
        <v>1390</v>
      </c>
      <c r="M2299" s="1547">
        <v>1347</v>
      </c>
      <c r="N2299" s="1546"/>
      <c r="R2299" s="1688" t="s">
        <v>2214</v>
      </c>
      <c r="T2299" s="1688" t="str">
        <f t="shared" si="293"/>
        <v/>
      </c>
    </row>
    <row r="2300" spans="1:20" s="1545" customFormat="1" x14ac:dyDescent="0.25">
      <c r="A2300" s="818" t="s">
        <v>1375</v>
      </c>
      <c r="B2300" s="801" t="str">
        <f t="shared" ca="1" si="294"/>
        <v>N771</v>
      </c>
      <c r="C2300" s="801" t="str">
        <f t="shared" ca="1" si="295"/>
        <v>N772</v>
      </c>
      <c r="D2300" s="801" t="s">
        <v>1343</v>
      </c>
      <c r="E2300" s="801" t="s">
        <v>1508</v>
      </c>
      <c r="F2300" s="1546" t="s">
        <v>1375</v>
      </c>
      <c r="G2300" s="1546" t="str">
        <f>IF(T2300&lt;&gt;"",IF(Q2298="Credit Memo","J",IF(Q2298="Check","K","")),"")</f>
        <v/>
      </c>
      <c r="H2300" s="1546" t="s">
        <v>1982</v>
      </c>
      <c r="I2300" s="1241" t="str">
        <f t="shared" si="291"/>
        <v/>
      </c>
      <c r="J2300" s="1691" t="str">
        <f t="shared" si="296"/>
        <v/>
      </c>
      <c r="K2300" s="1546" t="str">
        <f t="shared" si="292"/>
        <v/>
      </c>
      <c r="L2300" s="801" t="s">
        <v>1375</v>
      </c>
      <c r="M2300" s="1547">
        <v>1348</v>
      </c>
      <c r="N2300" s="1546"/>
      <c r="R2300" s="1688" t="s">
        <v>2214</v>
      </c>
      <c r="T2300" s="1688" t="str">
        <f t="shared" si="293"/>
        <v/>
      </c>
    </row>
    <row r="2301" spans="1:20" s="1545" customFormat="1" x14ac:dyDescent="0.25">
      <c r="A2301" s="818" t="s">
        <v>1479</v>
      </c>
      <c r="B2301" s="801" t="str">
        <f t="shared" ca="1" si="294"/>
        <v>R771</v>
      </c>
      <c r="C2301" s="801" t="str">
        <f t="shared" ca="1" si="295"/>
        <v>R772</v>
      </c>
      <c r="D2301" s="801" t="s">
        <v>1343</v>
      </c>
      <c r="E2301" s="801" t="s">
        <v>1508</v>
      </c>
      <c r="F2301" s="1546" t="s">
        <v>1987</v>
      </c>
      <c r="G2301" s="1546" t="str">
        <f>IF(T2301&lt;&gt;"","G","")</f>
        <v/>
      </c>
      <c r="H2301" s="1546" t="s">
        <v>1982</v>
      </c>
      <c r="I2301" s="1241" t="str">
        <f t="shared" si="291"/>
        <v/>
      </c>
      <c r="J2301" s="1691" t="str">
        <f t="shared" si="296"/>
        <v/>
      </c>
      <c r="K2301" s="1546" t="str">
        <f t="shared" si="292"/>
        <v/>
      </c>
      <c r="L2301" s="801" t="s">
        <v>1479</v>
      </c>
      <c r="M2301" s="1547">
        <v>1349</v>
      </c>
      <c r="N2301" s="1546"/>
      <c r="R2301" s="1688" t="s">
        <v>2214</v>
      </c>
      <c r="T2301" s="1688" t="str">
        <f t="shared" si="293"/>
        <v/>
      </c>
    </row>
    <row r="2302" spans="1:20" s="1545" customFormat="1" x14ac:dyDescent="0.25">
      <c r="A2302" s="818" t="s">
        <v>1480</v>
      </c>
      <c r="B2302" s="801" t="str">
        <f t="shared" ca="1" si="294"/>
        <v>T771</v>
      </c>
      <c r="C2302" s="801" t="str">
        <f t="shared" ca="1" si="295"/>
        <v>T772</v>
      </c>
      <c r="D2302" s="801" t="s">
        <v>1343</v>
      </c>
      <c r="E2302" s="801" t="s">
        <v>1508</v>
      </c>
      <c r="F2302" s="813" t="s">
        <v>1480</v>
      </c>
      <c r="G2302" s="1546" t="str">
        <f>IF(T2302&lt;&gt;"","AW","")</f>
        <v/>
      </c>
      <c r="H2302" s="1546" t="s">
        <v>1982</v>
      </c>
      <c r="I2302" s="1241" t="str">
        <f t="shared" si="291"/>
        <v/>
      </c>
      <c r="J2302" s="1691" t="str">
        <f t="shared" si="296"/>
        <v/>
      </c>
      <c r="K2302" s="1546" t="str">
        <f t="shared" si="292"/>
        <v/>
      </c>
      <c r="L2302" s="801" t="s">
        <v>1480</v>
      </c>
      <c r="M2302" s="1547">
        <v>1350</v>
      </c>
      <c r="N2302" s="1546"/>
      <c r="R2302" s="1688" t="s">
        <v>2214</v>
      </c>
      <c r="T2302" s="1688" t="str">
        <f t="shared" si="293"/>
        <v/>
      </c>
    </row>
    <row r="2303" spans="1:20" s="1545"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6" t="s">
        <v>1378</v>
      </c>
      <c r="G2303" s="1546" t="str">
        <f>IF(T2303&lt;&gt;"","C","")</f>
        <v/>
      </c>
      <c r="H2303" s="1546" t="s">
        <v>1982</v>
      </c>
      <c r="I2303" s="1241" t="str">
        <f t="shared" si="291"/>
        <v/>
      </c>
      <c r="J2303" s="1691" t="str">
        <f t="shared" si="296"/>
        <v/>
      </c>
      <c r="K2303" s="1546" t="str">
        <f t="shared" si="292"/>
        <v/>
      </c>
      <c r="L2303" s="801" t="s">
        <v>1378</v>
      </c>
      <c r="M2303" s="1547">
        <v>1351</v>
      </c>
      <c r="N2303" s="1546"/>
      <c r="R2303" s="1688" t="s">
        <v>2214</v>
      </c>
      <c r="T2303" s="1688" t="str">
        <f t="shared" si="293"/>
        <v/>
      </c>
    </row>
    <row r="2304" spans="1:20" s="1545"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6" t="s">
        <v>1379</v>
      </c>
      <c r="G2304" s="1546" t="str">
        <f>IF(T2304&lt;&gt;"","D","")</f>
        <v/>
      </c>
      <c r="H2304" s="1546" t="s">
        <v>1982</v>
      </c>
      <c r="I2304" s="1241" t="str">
        <f t="shared" si="291"/>
        <v/>
      </c>
      <c r="J2304" s="1691" t="str">
        <f t="shared" si="296"/>
        <v/>
      </c>
      <c r="K2304" s="1546" t="str">
        <f t="shared" si="292"/>
        <v/>
      </c>
      <c r="L2304" s="801" t="s">
        <v>1379</v>
      </c>
      <c r="M2304" s="1547">
        <v>1352</v>
      </c>
      <c r="N2304" s="1546"/>
      <c r="R2304" s="1688" t="s">
        <v>2214</v>
      </c>
      <c r="T2304" s="1688" t="str">
        <f t="shared" si="293"/>
        <v/>
      </c>
    </row>
    <row r="2305" spans="1:20" s="1545"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6" t="s">
        <v>1487</v>
      </c>
      <c r="G2305" s="1546" t="str">
        <f>IF(T2305&lt;&gt;"","AN","")</f>
        <v/>
      </c>
      <c r="H2305" s="1546" t="s">
        <v>1982</v>
      </c>
      <c r="I2305" s="1241" t="str">
        <f t="shared" si="291"/>
        <v/>
      </c>
      <c r="J2305" s="1691" t="str">
        <f t="shared" si="296"/>
        <v/>
      </c>
      <c r="K2305" s="1546" t="str">
        <f t="shared" si="292"/>
        <v/>
      </c>
      <c r="L2305" s="801" t="s">
        <v>1487</v>
      </c>
      <c r="M2305" s="1547">
        <v>1353</v>
      </c>
      <c r="N2305" s="1546"/>
      <c r="P2305" s="1546" t="str" cm="1">
        <f t="array" aca="1" ref="P2305" ca="1">_xlfn.CONCAT("F",RIGHT(B2305, LEN(B2305) - MAX(IF(ISNUMBER(MID(B2305, ROW(INDIRECT("1:"&amp;LEN(B2305))), 1) *1)=FALSE, ROW(INDIRECT("1:"&amp;LEN(B2305))), 0))))</f>
        <v>F779</v>
      </c>
      <c r="Q2305" s="1546" t="str" cm="1">
        <f t="array" aca="1" ref="Q2305" ca="1">_xlfn.CONCAT("E",RIGHT(C2305, LEN(C2305) - MAX(IF(ISNUMBER(MID(C2305, ROW(INDIRECT("1:"&amp;LEN(C2305))), 1) *1)=FALSE, ROW(INDIRECT("1:"&amp;LEN(C2305))), 0))))</f>
        <v>E779</v>
      </c>
      <c r="R2305" s="1688" t="s">
        <v>2214</v>
      </c>
      <c r="T2305" s="1688" t="str">
        <f t="shared" si="293"/>
        <v/>
      </c>
    </row>
    <row r="2306" spans="1:20" s="1545"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6" t="s">
        <v>1904</v>
      </c>
      <c r="G2306" s="1546" t="str">
        <f>IF(T2306&lt;&gt;"","O","")</f>
        <v/>
      </c>
      <c r="H2306" s="1546" t="s">
        <v>1982</v>
      </c>
      <c r="I2306" s="1241" t="str">
        <f t="shared" si="291"/>
        <v/>
      </c>
      <c r="J2306" s="1691" t="str">
        <f t="shared" si="296"/>
        <v/>
      </c>
      <c r="K2306" s="1546" t="str">
        <f t="shared" si="292"/>
        <v/>
      </c>
      <c r="L2306" s="801" t="s">
        <v>1382</v>
      </c>
      <c r="M2306" s="1547">
        <v>1354</v>
      </c>
      <c r="N2306" s="1546"/>
      <c r="R2306" s="1688" t="s">
        <v>2214</v>
      </c>
      <c r="T2306" s="1688" t="str">
        <f t="shared" si="293"/>
        <v/>
      </c>
    </row>
    <row r="2307" spans="1:20" s="1604" customFormat="1" x14ac:dyDescent="0.25">
      <c r="A2307" s="982" t="s">
        <v>523</v>
      </c>
      <c r="B2307" s="1241" t="str">
        <f>IFERROR(_xlfn.CONCAT("D",('Configurable Tab'!$C$42+1)),"")</f>
        <v>D435</v>
      </c>
      <c r="C2307" s="1241" t="str">
        <f>IFERROR(_xlfn.CONCAT("E",('Configurable Tab'!$C$42+1)),"")</f>
        <v>E435</v>
      </c>
      <c r="D2307" s="1605" t="s">
        <v>1343</v>
      </c>
      <c r="E2307" s="766" t="s">
        <v>1734</v>
      </c>
      <c r="F2307" s="1605"/>
      <c r="G2307" s="1605"/>
      <c r="H2307" s="1605"/>
      <c r="I2307" s="1241" t="str">
        <f t="shared" si="291"/>
        <v>Offer this Incentive?</v>
      </c>
      <c r="J2307" s="1605" t="str">
        <f>$Q$1&amp;T2307</f>
        <v>F</v>
      </c>
      <c r="K2307" s="1605" t="str">
        <f t="shared" si="292"/>
        <v>Incentives</v>
      </c>
      <c r="L2307" s="1605"/>
      <c r="M2307" s="1605"/>
      <c r="N2307" s="1605"/>
      <c r="O2307" s="1604" t="s">
        <v>2135</v>
      </c>
      <c r="P2307" s="18" t="str">
        <f>'Configurable Tab'!E42</f>
        <v>Yes</v>
      </c>
      <c r="Q2307" s="1241" t="str">
        <f>IFERROR(_xlfn.CONCAT("C",('Configurable Tab'!$C42+1)),"")</f>
        <v>C435</v>
      </c>
      <c r="R2307" s="1688" t="s">
        <v>2214</v>
      </c>
      <c r="T2307" s="1688" t="str">
        <f>IF(Q$2295="Yes",M2295,"")</f>
        <v/>
      </c>
    </row>
    <row r="2308" spans="1:20" s="1604" customFormat="1" x14ac:dyDescent="0.25">
      <c r="A2308" s="983" t="s">
        <v>1376</v>
      </c>
      <c r="B2308" s="1241" t="str">
        <f>IFERROR(_xlfn.CONCAT("D",('Configurable Tab'!$C$42+2)),"")</f>
        <v>D436</v>
      </c>
      <c r="C2308" s="1241" t="str">
        <f>IFERROR(_xlfn.CONCAT("E",('Configurable Tab'!$C$42+2)),"")</f>
        <v>E436</v>
      </c>
      <c r="D2308" s="1605" t="s">
        <v>1343</v>
      </c>
      <c r="E2308" s="766" t="s">
        <v>1734</v>
      </c>
      <c r="F2308" s="1605"/>
      <c r="G2308" s="1605"/>
      <c r="H2308" s="1605"/>
      <c r="I2308" s="1241" t="str">
        <f t="shared" si="291"/>
        <v>Incentive Type</v>
      </c>
      <c r="J2308" s="1605" t="str">
        <f t="shared" ref="J2308:J2315" si="297">$Q$1&amp;T2308</f>
        <v>F</v>
      </c>
      <c r="K2308" s="1605" t="str">
        <f t="shared" si="292"/>
        <v>Incentives</v>
      </c>
      <c r="L2308" s="1605"/>
      <c r="M2308" s="1605"/>
      <c r="N2308" s="1605"/>
      <c r="R2308" s="1688" t="s">
        <v>2214</v>
      </c>
      <c r="T2308" s="1688" t="str">
        <f>IF(Q$2295="Yes",M2296,"")</f>
        <v/>
      </c>
    </row>
    <row r="2309" spans="1:20" s="1604" customFormat="1" x14ac:dyDescent="0.25">
      <c r="A2309" s="983" t="s">
        <v>1378</v>
      </c>
      <c r="B2309" s="1241" t="str">
        <f>IFERROR(_xlfn.CONCAT("D",('Configurable Tab'!$C$42+4)),"")</f>
        <v>D438</v>
      </c>
      <c r="C2309" s="1241" t="str">
        <f>IFERROR(_xlfn.CONCAT("E",('Configurable Tab'!$C$42+4)),"")</f>
        <v>E438</v>
      </c>
      <c r="D2309" s="1605" t="s">
        <v>1343</v>
      </c>
      <c r="E2309" s="766" t="s">
        <v>1734</v>
      </c>
      <c r="F2309" s="1605"/>
      <c r="G2309" s="1605"/>
      <c r="H2309" s="1605"/>
      <c r="I2309" s="1241" t="str">
        <f t="shared" si="291"/>
        <v>Incentive Effective Date</v>
      </c>
      <c r="J2309" s="1605" t="str">
        <f t="shared" si="297"/>
        <v>F</v>
      </c>
      <c r="K2309" s="1605" t="str">
        <f t="shared" si="292"/>
        <v>Incentives</v>
      </c>
      <c r="L2309" s="1605"/>
      <c r="M2309" s="1605"/>
      <c r="N2309" s="1605"/>
      <c r="R2309" s="1688" t="s">
        <v>2214</v>
      </c>
      <c r="T2309" s="1688" t="str">
        <f>IF(Q$2295="Yes",M2303,"")</f>
        <v/>
      </c>
    </row>
    <row r="2310" spans="1:20" s="1604" customFormat="1" x14ac:dyDescent="0.25">
      <c r="A2310" s="983" t="s">
        <v>1379</v>
      </c>
      <c r="B2310" s="1241" t="str">
        <f>IFERROR(_xlfn.CONCAT("D",('Configurable Tab'!$C$42+5)),"")</f>
        <v>D439</v>
      </c>
      <c r="C2310" s="1241" t="str">
        <f>IFERROR(_xlfn.CONCAT("E",('Configurable Tab'!$C$42+5)),"")</f>
        <v>E439</v>
      </c>
      <c r="D2310" s="1605" t="s">
        <v>1343</v>
      </c>
      <c r="E2310" s="766" t="s">
        <v>1734</v>
      </c>
      <c r="F2310" s="1605"/>
      <c r="G2310" s="1605"/>
      <c r="H2310" s="1605"/>
      <c r="I2310" s="1241" t="str">
        <f t="shared" si="291"/>
        <v>Incentive Expiration Date</v>
      </c>
      <c r="J2310" s="1605" t="str">
        <f t="shared" si="297"/>
        <v>F</v>
      </c>
      <c r="K2310" s="1605" t="str">
        <f t="shared" si="292"/>
        <v>Incentives</v>
      </c>
      <c r="L2310" s="1605"/>
      <c r="M2310" s="1605"/>
      <c r="N2310" s="1605"/>
      <c r="R2310" s="1688" t="s">
        <v>2214</v>
      </c>
      <c r="T2310" s="1688" t="str">
        <f>IF(Q$2295="Yes",M2304,"")</f>
        <v/>
      </c>
    </row>
    <row r="2311" spans="1:20" s="1604" customFormat="1" x14ac:dyDescent="0.25">
      <c r="A2311" s="983" t="s">
        <v>1373</v>
      </c>
      <c r="B2311" s="1241" t="str">
        <f>IFERROR(_xlfn.CONCAT("G",('Configurable Tab'!$C$42+1)),"")</f>
        <v>G435</v>
      </c>
      <c r="C2311" s="1241" t="str">
        <f>IFERROR(_xlfn.CONCAT("G",('Configurable Tab'!$C$42+2)),"")</f>
        <v>G436</v>
      </c>
      <c r="D2311" s="1605" t="s">
        <v>1343</v>
      </c>
      <c r="E2311" s="766" t="s">
        <v>1734</v>
      </c>
      <c r="F2311" s="1603"/>
      <c r="G2311" s="1040"/>
      <c r="H2311" s="1605"/>
      <c r="I2311" s="1241" t="str">
        <f t="shared" si="291"/>
        <v>Incentive Period</v>
      </c>
      <c r="J2311" s="1605" t="str">
        <f t="shared" si="297"/>
        <v>F</v>
      </c>
      <c r="K2311" s="1605" t="str">
        <f t="shared" si="292"/>
        <v>Incentives</v>
      </c>
      <c r="L2311" s="1605"/>
      <c r="M2311" s="1605"/>
      <c r="N2311" s="1605"/>
      <c r="R2311" s="1688" t="s">
        <v>2214</v>
      </c>
      <c r="T2311" s="1688" t="str">
        <f>IF(Q$2295="Yes",M2297,"")</f>
        <v/>
      </c>
    </row>
    <row r="2312" spans="1:20" s="1604" customFormat="1" x14ac:dyDescent="0.25">
      <c r="A2312" s="983" t="s">
        <v>1374</v>
      </c>
      <c r="B2312" s="1241" t="str">
        <f>IFERROR(_xlfn.CONCAT("I",('Configurable Tab'!$C$42+1)),"")</f>
        <v>I435</v>
      </c>
      <c r="C2312" s="1241" t="str">
        <f>IFERROR(_xlfn.CONCAT("I",('Configurable Tab'!$C$42+2)),"")</f>
        <v>I436</v>
      </c>
      <c r="D2312" s="1605" t="s">
        <v>1343</v>
      </c>
      <c r="E2312" s="766" t="s">
        <v>1734</v>
      </c>
      <c r="F2312" s="1605"/>
      <c r="G2312" s="1605"/>
      <c r="H2312" s="1605"/>
      <c r="I2312" s="1241" t="str">
        <f t="shared" si="291"/>
        <v>Payment Method</v>
      </c>
      <c r="J2312" s="1605" t="str">
        <f t="shared" si="297"/>
        <v>F</v>
      </c>
      <c r="K2312" s="1605" t="str">
        <f t="shared" si="292"/>
        <v>Incentives</v>
      </c>
      <c r="L2312" s="1605"/>
      <c r="M2312" s="1605"/>
      <c r="N2312" s="1605"/>
      <c r="R2312" s="1688" t="s">
        <v>2214</v>
      </c>
      <c r="T2312" s="1688" t="str">
        <f>IF(Q$2295="Yes",M2298,"")</f>
        <v/>
      </c>
    </row>
    <row r="2313" spans="1:20" s="1604" customFormat="1" x14ac:dyDescent="0.25">
      <c r="A2313" s="983" t="s">
        <v>833</v>
      </c>
      <c r="B2313" s="1241" t="str">
        <f>IFERROR(_xlfn.CONCAT("K",('Configurable Tab'!$C$42+1)),"")</f>
        <v>K435</v>
      </c>
      <c r="C2313" s="1241" t="str">
        <f>IFERROR(_xlfn.CONCAT("K",('Configurable Tab'!$C$42+2)),"")</f>
        <v>K436</v>
      </c>
      <c r="D2313" s="1605" t="s">
        <v>1343</v>
      </c>
      <c r="E2313" s="766" t="s">
        <v>1734</v>
      </c>
      <c r="F2313" s="1605"/>
      <c r="G2313" s="1605"/>
      <c r="H2313" s="1605"/>
      <c r="I2313" s="1241" t="str">
        <f t="shared" si="291"/>
        <v>Paid to:</v>
      </c>
      <c r="J2313" s="1605" t="str">
        <f t="shared" si="297"/>
        <v>F</v>
      </c>
      <c r="K2313" s="1605" t="str">
        <f t="shared" si="292"/>
        <v>Incentives</v>
      </c>
      <c r="L2313" s="1605"/>
      <c r="M2313" s="1605"/>
      <c r="N2313" s="1605"/>
      <c r="R2313" s="1688" t="s">
        <v>2214</v>
      </c>
      <c r="T2313" s="1688" t="str">
        <f>IF(Q$2295="Yes",M2299,"")</f>
        <v/>
      </c>
    </row>
    <row r="2314" spans="1:20" s="1604" customFormat="1" x14ac:dyDescent="0.25">
      <c r="A2314" s="983" t="s">
        <v>1375</v>
      </c>
      <c r="B2314" s="1241" t="str">
        <f>IFERROR(_xlfn.CONCAT("M",('Configurable Tab'!$C$42+1)),"")</f>
        <v>M435</v>
      </c>
      <c r="C2314" s="1241" t="str">
        <f>IFERROR(_xlfn.CONCAT("M",('Configurable Tab'!$C$42+2)),"")</f>
        <v>M436</v>
      </c>
      <c r="D2314" s="1605" t="s">
        <v>1343</v>
      </c>
      <c r="E2314" s="766" t="s">
        <v>1734</v>
      </c>
      <c r="F2314" s="1605"/>
      <c r="G2314" s="1605"/>
      <c r="H2314" s="1605"/>
      <c r="I2314" s="1241" t="str">
        <f t="shared" si="291"/>
        <v>AP/AR Vendor Number</v>
      </c>
      <c r="J2314" s="1605" t="str">
        <f t="shared" si="297"/>
        <v>F</v>
      </c>
      <c r="K2314" s="1605" t="str">
        <f t="shared" si="292"/>
        <v>Incentives</v>
      </c>
      <c r="L2314" s="1605"/>
      <c r="M2314" s="1605"/>
      <c r="N2314" s="1605"/>
      <c r="R2314" s="1688" t="s">
        <v>2214</v>
      </c>
      <c r="T2314" s="1688" t="str">
        <f>IF(Q$2295="Yes",M2300,"")</f>
        <v/>
      </c>
    </row>
    <row r="2315" spans="1:20" s="1604" customFormat="1" x14ac:dyDescent="0.25">
      <c r="A2315" s="983" t="s">
        <v>1382</v>
      </c>
      <c r="B2315" s="1241" t="str">
        <f>IFERROR(_xlfn.CONCAT("K",('Configurable Tab'!$C$42+4)),"")</f>
        <v>K438</v>
      </c>
      <c r="C2315" s="1241" t="str">
        <f>IFERROR(_xlfn.CONCAT("K",('Configurable Tab'!$C$42+5)),"")</f>
        <v>K439</v>
      </c>
      <c r="D2315" s="1605" t="s">
        <v>1343</v>
      </c>
      <c r="E2315" s="766" t="s">
        <v>1734</v>
      </c>
      <c r="F2315" s="1605"/>
      <c r="G2315" s="1605"/>
      <c r="H2315" s="1605"/>
      <c r="I2315" s="1241" t="str">
        <f t="shared" si="291"/>
        <v>Rate % of Sales</v>
      </c>
      <c r="J2315" s="1605" t="str">
        <f t="shared" si="297"/>
        <v>F</v>
      </c>
      <c r="K2315" s="1605" t="str">
        <f t="shared" si="292"/>
        <v>Incentives</v>
      </c>
      <c r="L2315" s="1605"/>
      <c r="M2315" s="1605"/>
      <c r="N2315" s="1605"/>
      <c r="R2315" s="1688" t="s">
        <v>2214</v>
      </c>
      <c r="T2315" s="1688" t="str">
        <f>IF(Q$2295="Yes",M2306,"")</f>
        <v/>
      </c>
    </row>
    <row r="2316" spans="1:20" s="1613"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5" t="s">
        <v>1483</v>
      </c>
      <c r="G2316" s="1615" t="str">
        <f>IF(T2316&lt;&gt;"","A","")</f>
        <v/>
      </c>
      <c r="H2316" s="1615" t="s">
        <v>1982</v>
      </c>
      <c r="I2316" s="1241" t="str">
        <f t="shared" ref="I2316:I2379" si="298">IF(J2316&lt;&gt;"",A2316,"")</f>
        <v/>
      </c>
      <c r="J2316" s="1615"/>
      <c r="K2316" s="1615" t="str">
        <f t="shared" ref="K2316:K2379" si="299">IF(J2316&lt;&gt;"",E2316,"")</f>
        <v/>
      </c>
      <c r="L2316" s="801" t="s">
        <v>1483</v>
      </c>
      <c r="M2316" s="1619">
        <v>1355</v>
      </c>
      <c r="N2316" s="1615"/>
      <c r="O2316" s="1613">
        <f>'Configurable Tab'!H58</f>
        <v>783</v>
      </c>
      <c r="R2316" s="1688" t="s">
        <v>2215</v>
      </c>
      <c r="T2316" s="1615" t="str">
        <f>IF(Q$2317="Yes",56,"")</f>
        <v/>
      </c>
    </row>
    <row r="2317" spans="1:20" s="1613"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5"/>
      <c r="G2317" s="1615"/>
      <c r="H2317" s="1615"/>
      <c r="I2317" s="1241" t="str">
        <f t="shared" si="298"/>
        <v/>
      </c>
      <c r="J2317" s="1615" t="str">
        <f>IF(M2317&lt;&gt;"",IF($Q$2317="Yes",Q$1&amp;M2317,""))</f>
        <v/>
      </c>
      <c r="K2317" s="1615" t="str">
        <f t="shared" si="299"/>
        <v/>
      </c>
      <c r="L2317" s="801" t="s">
        <v>1697</v>
      </c>
      <c r="M2317" s="1619">
        <v>1356</v>
      </c>
      <c r="N2317" s="1615"/>
      <c r="O2317" s="1613" t="s">
        <v>726</v>
      </c>
      <c r="P2317" s="18" t="str">
        <f>'Configurable Tab'!J58</f>
        <v>Yes</v>
      </c>
      <c r="Q2317" s="1613" t="s">
        <v>648</v>
      </c>
      <c r="R2317" s="1688" t="s">
        <v>2215</v>
      </c>
      <c r="T2317" s="1688" t="str">
        <f t="shared" ref="T2317:T2328" si="300">IF(Q$2317="Yes",56,"")</f>
        <v/>
      </c>
    </row>
    <row r="2318" spans="1:20" s="1613"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5" t="s">
        <v>1376</v>
      </c>
      <c r="G2318" s="1615" t="str">
        <f>IF(T2318&lt;&gt;"","B","")</f>
        <v/>
      </c>
      <c r="H2318" s="1615" t="s">
        <v>1982</v>
      </c>
      <c r="I2318" s="1241" t="str">
        <f t="shared" si="298"/>
        <v/>
      </c>
      <c r="J2318" s="1691"/>
      <c r="K2318" s="1615" t="str">
        <f t="shared" si="299"/>
        <v/>
      </c>
      <c r="L2318" s="801" t="s">
        <v>1376</v>
      </c>
      <c r="M2318" s="1619">
        <v>1357</v>
      </c>
      <c r="N2318" s="1615"/>
      <c r="O2318" s="1613">
        <f>'Configurable Tab'!I58</f>
        <v>796</v>
      </c>
      <c r="R2318" s="1688" t="s">
        <v>2215</v>
      </c>
      <c r="T2318" s="1688" t="str">
        <f t="shared" si="300"/>
        <v/>
      </c>
    </row>
    <row r="2319" spans="1:20" s="1613" customFormat="1" x14ac:dyDescent="0.25">
      <c r="A2319" s="818" t="s">
        <v>1373</v>
      </c>
      <c r="B2319" s="801" t="str">
        <f t="shared" ref="B2319:B2324" ca="1" si="301">_xlfn.CONCAT(IFERROR(SUBSTITUTE(ADDRESS(1,MATCH(A2319,INDIRECT("'"&amp;E2319&amp;"'"&amp;"!A" &amp; $O$2316+2 &amp; ":Z"&amp;$O$2316+2 ),0),4),1,""),""),$O$2316+2)</f>
        <v>H785</v>
      </c>
      <c r="C2319" s="801" t="str">
        <f t="shared" ref="C2319:C2324" ca="1" si="302">_xlfn.CONCAT(IFERROR(SUBSTITUTE(ADDRESS(1,MATCH(A2319,INDIRECT("'"&amp;E2319&amp;"'"&amp;"!A" &amp; $O$2316+2 &amp; ":Z"&amp;$O$2316+2 ),0),4),1,""),""),$O$2316+3)</f>
        <v>H786</v>
      </c>
      <c r="D2319" s="801" t="s">
        <v>1343</v>
      </c>
      <c r="E2319" s="801" t="s">
        <v>1508</v>
      </c>
      <c r="F2319" s="1615" t="s">
        <v>1983</v>
      </c>
      <c r="G2319" s="1615" t="str">
        <f>IF(T2319&lt;&gt;"","E","")</f>
        <v/>
      </c>
      <c r="H2319" s="1615" t="s">
        <v>1982</v>
      </c>
      <c r="I2319" s="1241" t="str">
        <f t="shared" si="298"/>
        <v/>
      </c>
      <c r="J2319" s="1691" t="str">
        <f t="shared" ref="J2319:J2328" si="303">IF(M2319&lt;&gt;"",IF($Q$2317="Yes",Q$1&amp;M2319,""))</f>
        <v/>
      </c>
      <c r="K2319" s="1615" t="str">
        <f t="shared" si="299"/>
        <v/>
      </c>
      <c r="L2319" s="801" t="s">
        <v>1373</v>
      </c>
      <c r="M2319" s="1619">
        <v>1358</v>
      </c>
      <c r="N2319" s="1615"/>
      <c r="O2319" s="1613" t="s">
        <v>2144</v>
      </c>
      <c r="R2319" s="1688" t="s">
        <v>2215</v>
      </c>
      <c r="T2319" s="1688" t="str">
        <f t="shared" si="300"/>
        <v/>
      </c>
    </row>
    <row r="2320" spans="1:20" s="1613" customFormat="1" x14ac:dyDescent="0.25">
      <c r="A2320" s="818" t="s">
        <v>1374</v>
      </c>
      <c r="B2320" s="801" t="str">
        <f t="shared" ca="1" si="301"/>
        <v>J785</v>
      </c>
      <c r="C2320" s="801" t="str">
        <f t="shared" ca="1" si="302"/>
        <v>J786</v>
      </c>
      <c r="D2320" s="801" t="s">
        <v>1343</v>
      </c>
      <c r="E2320" s="801" t="s">
        <v>1508</v>
      </c>
      <c r="F2320" s="1615" t="s">
        <v>1984</v>
      </c>
      <c r="G2320" s="1615" t="str">
        <f>IF(T2320&lt;&gt;"","I","")</f>
        <v/>
      </c>
      <c r="H2320" s="1615" t="s">
        <v>1982</v>
      </c>
      <c r="I2320" s="1241" t="str">
        <f t="shared" si="298"/>
        <v/>
      </c>
      <c r="J2320" s="1691" t="str">
        <f t="shared" si="303"/>
        <v/>
      </c>
      <c r="K2320" s="1615" t="str">
        <f t="shared" si="299"/>
        <v/>
      </c>
      <c r="L2320" s="801" t="s">
        <v>1374</v>
      </c>
      <c r="M2320" s="1619">
        <v>1359</v>
      </c>
      <c r="N2320" s="1615"/>
      <c r="R2320" s="1688" t="s">
        <v>2215</v>
      </c>
      <c r="T2320" s="1688" t="str">
        <f t="shared" si="300"/>
        <v/>
      </c>
    </row>
    <row r="2321" spans="1:20" s="1613" customFormat="1" x14ac:dyDescent="0.25">
      <c r="A2321" s="818" t="s">
        <v>1390</v>
      </c>
      <c r="B2321" s="801" t="str">
        <f t="shared" ca="1" si="301"/>
        <v>L785</v>
      </c>
      <c r="C2321" s="801" t="str">
        <f t="shared" ca="1" si="302"/>
        <v>L786</v>
      </c>
      <c r="D2321" s="801" t="s">
        <v>1343</v>
      </c>
      <c r="E2321" s="801" t="s">
        <v>1508</v>
      </c>
      <c r="F2321" s="1615" t="s">
        <v>1985</v>
      </c>
      <c r="G2321" s="1615" t="str">
        <f>IF(T2321&lt;&gt;"","H","")</f>
        <v/>
      </c>
      <c r="H2321" s="1615" t="s">
        <v>1982</v>
      </c>
      <c r="I2321" s="1241" t="str">
        <f t="shared" si="298"/>
        <v/>
      </c>
      <c r="J2321" s="1691" t="str">
        <f t="shared" si="303"/>
        <v/>
      </c>
      <c r="K2321" s="1615" t="str">
        <f t="shared" si="299"/>
        <v/>
      </c>
      <c r="L2321" s="801" t="s">
        <v>1390</v>
      </c>
      <c r="M2321" s="1619">
        <v>1360</v>
      </c>
      <c r="N2321" s="1615"/>
      <c r="R2321" s="1688" t="s">
        <v>2215</v>
      </c>
      <c r="T2321" s="1688" t="str">
        <f t="shared" si="300"/>
        <v/>
      </c>
    </row>
    <row r="2322" spans="1:20" s="1613" customFormat="1" x14ac:dyDescent="0.25">
      <c r="A2322" s="818" t="s">
        <v>1375</v>
      </c>
      <c r="B2322" s="801" t="str">
        <f t="shared" ca="1" si="301"/>
        <v>N785</v>
      </c>
      <c r="C2322" s="801" t="str">
        <f t="shared" ca="1" si="302"/>
        <v>N786</v>
      </c>
      <c r="D2322" s="801" t="s">
        <v>1343</v>
      </c>
      <c r="E2322" s="801" t="s">
        <v>1508</v>
      </c>
      <c r="F2322" s="1615" t="s">
        <v>1375</v>
      </c>
      <c r="G2322" s="1615" t="str">
        <f>IF(T2322&lt;&gt;"",IF(Q2320="Credit Memo","J",IF(Q2320="Check","K","")),"")</f>
        <v/>
      </c>
      <c r="H2322" s="1615" t="s">
        <v>1982</v>
      </c>
      <c r="I2322" s="1241" t="str">
        <f t="shared" si="298"/>
        <v/>
      </c>
      <c r="J2322" s="1691" t="str">
        <f t="shared" si="303"/>
        <v/>
      </c>
      <c r="K2322" s="1615" t="str">
        <f t="shared" si="299"/>
        <v/>
      </c>
      <c r="L2322" s="801" t="s">
        <v>1375</v>
      </c>
      <c r="M2322" s="1619">
        <v>1361</v>
      </c>
      <c r="N2322" s="1615"/>
      <c r="R2322" s="1688" t="s">
        <v>2215</v>
      </c>
      <c r="T2322" s="1688" t="str">
        <f t="shared" si="300"/>
        <v/>
      </c>
    </row>
    <row r="2323" spans="1:20" s="1613" customFormat="1" x14ac:dyDescent="0.25">
      <c r="A2323" s="818" t="s">
        <v>1479</v>
      </c>
      <c r="B2323" s="801" t="str">
        <f t="shared" ca="1" si="301"/>
        <v>R785</v>
      </c>
      <c r="C2323" s="801" t="str">
        <f t="shared" ca="1" si="302"/>
        <v>R786</v>
      </c>
      <c r="D2323" s="801" t="s">
        <v>1343</v>
      </c>
      <c r="E2323" s="801" t="s">
        <v>1508</v>
      </c>
      <c r="F2323" s="1615" t="s">
        <v>1987</v>
      </c>
      <c r="G2323" s="1615" t="str">
        <f>IF(T2323&lt;&gt;"","G","")</f>
        <v/>
      </c>
      <c r="H2323" s="1615" t="s">
        <v>1982</v>
      </c>
      <c r="I2323" s="1241" t="str">
        <f t="shared" si="298"/>
        <v/>
      </c>
      <c r="J2323" s="1691" t="str">
        <f t="shared" si="303"/>
        <v/>
      </c>
      <c r="K2323" s="1615" t="str">
        <f t="shared" si="299"/>
        <v/>
      </c>
      <c r="L2323" s="801" t="s">
        <v>1479</v>
      </c>
      <c r="M2323" s="1619">
        <v>1362</v>
      </c>
      <c r="N2323" s="1615"/>
      <c r="R2323" s="1688" t="s">
        <v>2215</v>
      </c>
      <c r="T2323" s="1688" t="str">
        <f t="shared" si="300"/>
        <v/>
      </c>
    </row>
    <row r="2324" spans="1:20" s="1613" customFormat="1" x14ac:dyDescent="0.25">
      <c r="A2324" s="818" t="s">
        <v>1480</v>
      </c>
      <c r="B2324" s="801" t="str">
        <f t="shared" ca="1" si="301"/>
        <v>T785</v>
      </c>
      <c r="C2324" s="801" t="str">
        <f t="shared" ca="1" si="302"/>
        <v>T786</v>
      </c>
      <c r="D2324" s="801" t="s">
        <v>1343</v>
      </c>
      <c r="E2324" s="801" t="s">
        <v>1508</v>
      </c>
      <c r="F2324" s="813" t="s">
        <v>1480</v>
      </c>
      <c r="G2324" s="1615" t="str">
        <f>IF(T2324&lt;&gt;"","AW","")</f>
        <v/>
      </c>
      <c r="H2324" s="1615" t="s">
        <v>1982</v>
      </c>
      <c r="I2324" s="1241" t="str">
        <f t="shared" si="298"/>
        <v/>
      </c>
      <c r="J2324" s="1691" t="str">
        <f t="shared" si="303"/>
        <v/>
      </c>
      <c r="K2324" s="1615" t="str">
        <f t="shared" si="299"/>
        <v/>
      </c>
      <c r="L2324" s="801" t="s">
        <v>1480</v>
      </c>
      <c r="M2324" s="1619">
        <v>1363</v>
      </c>
      <c r="N2324" s="1615"/>
      <c r="R2324" s="1688" t="s">
        <v>2215</v>
      </c>
      <c r="T2324" s="1688" t="str">
        <f t="shared" si="300"/>
        <v/>
      </c>
    </row>
    <row r="2325" spans="1:20" s="1613"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5" t="s">
        <v>1378</v>
      </c>
      <c r="G2325" s="1615" t="str">
        <f>IF(T2325&lt;&gt;"","C","")</f>
        <v/>
      </c>
      <c r="H2325" s="1615" t="s">
        <v>1982</v>
      </c>
      <c r="I2325" s="1241" t="str">
        <f t="shared" si="298"/>
        <v/>
      </c>
      <c r="J2325" s="1691" t="str">
        <f t="shared" si="303"/>
        <v/>
      </c>
      <c r="K2325" s="1615" t="str">
        <f t="shared" si="299"/>
        <v/>
      </c>
      <c r="L2325" s="801" t="s">
        <v>1378</v>
      </c>
      <c r="M2325" s="1619">
        <v>1364</v>
      </c>
      <c r="N2325" s="1615"/>
      <c r="R2325" s="1688" t="s">
        <v>2215</v>
      </c>
      <c r="T2325" s="1688" t="str">
        <f t="shared" si="300"/>
        <v/>
      </c>
    </row>
    <row r="2326" spans="1:20" s="1613"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5" t="s">
        <v>1379</v>
      </c>
      <c r="G2326" s="1615" t="str">
        <f>IF(T2326&lt;&gt;"","D","")</f>
        <v/>
      </c>
      <c r="H2326" s="1615" t="s">
        <v>1982</v>
      </c>
      <c r="I2326" s="1241" t="str">
        <f t="shared" si="298"/>
        <v/>
      </c>
      <c r="J2326" s="1691" t="str">
        <f t="shared" si="303"/>
        <v/>
      </c>
      <c r="K2326" s="1615" t="str">
        <f t="shared" si="299"/>
        <v/>
      </c>
      <c r="L2326" s="801" t="s">
        <v>1379</v>
      </c>
      <c r="M2326" s="1619">
        <v>1365</v>
      </c>
      <c r="N2326" s="1615"/>
      <c r="R2326" s="1688" t="s">
        <v>2215</v>
      </c>
      <c r="T2326" s="1688" t="str">
        <f t="shared" si="300"/>
        <v/>
      </c>
    </row>
    <row r="2327" spans="1:20" s="1613"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5" t="s">
        <v>1487</v>
      </c>
      <c r="G2327" s="1615" t="str">
        <f>IF(T2327&lt;&gt;"","AN","")</f>
        <v/>
      </c>
      <c r="H2327" s="1615" t="s">
        <v>1982</v>
      </c>
      <c r="I2327" s="1241" t="str">
        <f t="shared" si="298"/>
        <v/>
      </c>
      <c r="J2327" s="1691" t="str">
        <f t="shared" si="303"/>
        <v/>
      </c>
      <c r="K2327" s="1615" t="str">
        <f t="shared" si="299"/>
        <v/>
      </c>
      <c r="L2327" s="801" t="s">
        <v>1487</v>
      </c>
      <c r="M2327" s="1619">
        <v>1366</v>
      </c>
      <c r="N2327" s="1615"/>
      <c r="P2327" s="1615" t="str" cm="1">
        <f t="array" aca="1" ref="P2327" ca="1">_xlfn.CONCAT("F",RIGHT(B2327, LEN(B2327) - MAX(IF(ISNUMBER(MID(B2327, ROW(INDIRECT("1:"&amp;LEN(B2327))), 1) *1)=FALSE, ROW(INDIRECT("1:"&amp;LEN(B2327))), 0))))</f>
        <v>F793</v>
      </c>
      <c r="Q2327" s="1615" t="str" cm="1">
        <f t="array" aca="1" ref="Q2327" ca="1">_xlfn.CONCAT("E",RIGHT(C2327, LEN(C2327) - MAX(IF(ISNUMBER(MID(C2327, ROW(INDIRECT("1:"&amp;LEN(C2327))), 1) *1)=FALSE, ROW(INDIRECT("1:"&amp;LEN(C2327))), 0))))</f>
        <v>E793</v>
      </c>
      <c r="R2327" s="1688" t="s">
        <v>2215</v>
      </c>
      <c r="T2327" s="1688" t="str">
        <f t="shared" si="300"/>
        <v/>
      </c>
    </row>
    <row r="2328" spans="1:20" s="1613"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5" t="s">
        <v>1904</v>
      </c>
      <c r="G2328" s="1615" t="str">
        <f>IF(T2328&lt;&gt;"","O","")</f>
        <v/>
      </c>
      <c r="H2328" s="1615" t="s">
        <v>1982</v>
      </c>
      <c r="I2328" s="1241" t="str">
        <f t="shared" si="298"/>
        <v/>
      </c>
      <c r="J2328" s="1691" t="str">
        <f t="shared" si="303"/>
        <v/>
      </c>
      <c r="K2328" s="1615" t="str">
        <f t="shared" si="299"/>
        <v/>
      </c>
      <c r="L2328" s="801" t="s">
        <v>1382</v>
      </c>
      <c r="M2328" s="1616">
        <v>1367</v>
      </c>
      <c r="N2328" s="1615"/>
      <c r="R2328" s="1688" t="s">
        <v>2215</v>
      </c>
      <c r="T2328" s="1688" t="str">
        <f t="shared" si="300"/>
        <v/>
      </c>
    </row>
    <row r="2329" spans="1:20" s="1613" customFormat="1" x14ac:dyDescent="0.25">
      <c r="A2329" s="982" t="s">
        <v>523</v>
      </c>
      <c r="B2329" s="1241" t="str">
        <f>IFERROR(_xlfn.CONCAT("D",('Configurable Tab'!$C$43+1)),"")</f>
        <v>D443</v>
      </c>
      <c r="C2329" s="1241" t="str">
        <f>IFERROR(_xlfn.CONCAT("E",('Configurable Tab'!$C$43+1)),"")</f>
        <v>E443</v>
      </c>
      <c r="D2329" s="1615" t="s">
        <v>1343</v>
      </c>
      <c r="E2329" s="766" t="s">
        <v>1734</v>
      </c>
      <c r="F2329" s="1615"/>
      <c r="G2329" s="1615"/>
      <c r="H2329" s="1615"/>
      <c r="I2329" s="1241" t="str">
        <f t="shared" si="298"/>
        <v>Offer this Incentive?</v>
      </c>
      <c r="J2329" s="1615" t="str">
        <f>$Q$1&amp;T2329</f>
        <v>F</v>
      </c>
      <c r="K2329" s="1615" t="str">
        <f t="shared" si="299"/>
        <v>Incentives</v>
      </c>
      <c r="L2329" s="1615"/>
      <c r="M2329" s="1615"/>
      <c r="N2329" s="1615"/>
      <c r="O2329" s="1613" t="s">
        <v>2135</v>
      </c>
      <c r="P2329" s="18" t="str">
        <f>'Configurable Tab'!E43</f>
        <v>Yes</v>
      </c>
      <c r="Q2329" s="1241" t="str">
        <f>IFERROR(_xlfn.CONCAT("C",('Configurable Tab'!$C43+1)),"")</f>
        <v>C443</v>
      </c>
      <c r="R2329" s="1688" t="s">
        <v>2215</v>
      </c>
      <c r="T2329" s="1688" t="str">
        <f>IF(Q$2317="Yes",M2317,"")</f>
        <v/>
      </c>
    </row>
    <row r="2330" spans="1:20" s="1613" customFormat="1" x14ac:dyDescent="0.25">
      <c r="A2330" s="983" t="s">
        <v>1376</v>
      </c>
      <c r="B2330" s="1241" t="str">
        <f>IFERROR(_xlfn.CONCAT("D",('Configurable Tab'!$C$43+2)),"")</f>
        <v>D444</v>
      </c>
      <c r="C2330" s="1241" t="str">
        <f>IFERROR(_xlfn.CONCAT("E",('Configurable Tab'!$C$43+2)),"")</f>
        <v>E444</v>
      </c>
      <c r="D2330" s="1615" t="s">
        <v>1343</v>
      </c>
      <c r="E2330" s="766" t="s">
        <v>1734</v>
      </c>
      <c r="F2330" s="1615"/>
      <c r="G2330" s="1615"/>
      <c r="H2330" s="1615"/>
      <c r="I2330" s="1241" t="str">
        <f t="shared" si="298"/>
        <v>Incentive Type</v>
      </c>
      <c r="J2330" s="1615" t="str">
        <f t="shared" ref="J2330:J2337" si="304">$Q$1&amp;T2330</f>
        <v>F</v>
      </c>
      <c r="K2330" s="1615" t="str">
        <f t="shared" si="299"/>
        <v>Incentives</v>
      </c>
      <c r="L2330" s="1615"/>
      <c r="M2330" s="1615"/>
      <c r="N2330" s="1615"/>
      <c r="R2330" s="1688" t="s">
        <v>2215</v>
      </c>
      <c r="T2330" s="1688" t="str">
        <f>IF(Q$2317="Yes",M2318,"")</f>
        <v/>
      </c>
    </row>
    <row r="2331" spans="1:20" s="1613" customFormat="1" x14ac:dyDescent="0.25">
      <c r="A2331" s="983" t="s">
        <v>1378</v>
      </c>
      <c r="B2331" s="1241" t="str">
        <f>IFERROR(_xlfn.CONCAT("D",('Configurable Tab'!$C$43+4)),"")</f>
        <v>D446</v>
      </c>
      <c r="C2331" s="1241" t="str">
        <f>IFERROR(_xlfn.CONCAT("E",('Configurable Tab'!$C$43+4)),"")</f>
        <v>E446</v>
      </c>
      <c r="D2331" s="1615" t="s">
        <v>1343</v>
      </c>
      <c r="E2331" s="766" t="s">
        <v>1734</v>
      </c>
      <c r="F2331" s="1615"/>
      <c r="G2331" s="1615"/>
      <c r="H2331" s="1615"/>
      <c r="I2331" s="1241" t="str">
        <f t="shared" si="298"/>
        <v>Incentive Effective Date</v>
      </c>
      <c r="J2331" s="1615" t="str">
        <f t="shared" si="304"/>
        <v>F</v>
      </c>
      <c r="K2331" s="1615" t="str">
        <f t="shared" si="299"/>
        <v>Incentives</v>
      </c>
      <c r="L2331" s="1615"/>
      <c r="M2331" s="1615"/>
      <c r="N2331" s="1615"/>
      <c r="R2331" s="1688" t="s">
        <v>2215</v>
      </c>
      <c r="T2331" s="1688" t="str">
        <f>IF(Q$2317="Yes",M2325,"")</f>
        <v/>
      </c>
    </row>
    <row r="2332" spans="1:20" s="1613" customFormat="1" x14ac:dyDescent="0.25">
      <c r="A2332" s="983" t="s">
        <v>1379</v>
      </c>
      <c r="B2332" s="1241" t="str">
        <f>IFERROR(_xlfn.CONCAT("D",('Configurable Tab'!$C$43+5)),"")</f>
        <v>D447</v>
      </c>
      <c r="C2332" s="1241" t="str">
        <f>IFERROR(_xlfn.CONCAT("E",('Configurable Tab'!$C$43+5)),"")</f>
        <v>E447</v>
      </c>
      <c r="D2332" s="1615" t="s">
        <v>1343</v>
      </c>
      <c r="E2332" s="766" t="s">
        <v>1734</v>
      </c>
      <c r="F2332" s="1615"/>
      <c r="G2332" s="1615"/>
      <c r="H2332" s="1615"/>
      <c r="I2332" s="1241" t="str">
        <f t="shared" si="298"/>
        <v>Incentive Expiration Date</v>
      </c>
      <c r="J2332" s="1615" t="str">
        <f t="shared" si="304"/>
        <v>F</v>
      </c>
      <c r="K2332" s="1615" t="str">
        <f t="shared" si="299"/>
        <v>Incentives</v>
      </c>
      <c r="L2332" s="1615"/>
      <c r="M2332" s="1615"/>
      <c r="N2332" s="1615"/>
      <c r="R2332" s="1688" t="s">
        <v>2215</v>
      </c>
      <c r="T2332" s="1688" t="str">
        <f>IF(Q$2317="Yes",M2326,"")</f>
        <v/>
      </c>
    </row>
    <row r="2333" spans="1:20" s="1613" customFormat="1" x14ac:dyDescent="0.25">
      <c r="A2333" s="983" t="s">
        <v>1373</v>
      </c>
      <c r="B2333" s="1241" t="str">
        <f>IFERROR(_xlfn.CONCAT("G",('Configurable Tab'!$C$43+1)),"")</f>
        <v>G443</v>
      </c>
      <c r="C2333" s="1241" t="str">
        <f>IFERROR(_xlfn.CONCAT("G",('Configurable Tab'!$C$43+2)),"")</f>
        <v>G444</v>
      </c>
      <c r="D2333" s="1615" t="s">
        <v>1343</v>
      </c>
      <c r="E2333" s="766" t="s">
        <v>1734</v>
      </c>
      <c r="F2333" s="1614"/>
      <c r="G2333" s="1040"/>
      <c r="H2333" s="1615"/>
      <c r="I2333" s="1241" t="str">
        <f t="shared" si="298"/>
        <v>Incentive Period</v>
      </c>
      <c r="J2333" s="1615" t="str">
        <f t="shared" si="304"/>
        <v>F</v>
      </c>
      <c r="K2333" s="1615" t="str">
        <f t="shared" si="299"/>
        <v>Incentives</v>
      </c>
      <c r="L2333" s="1615"/>
      <c r="M2333" s="1615"/>
      <c r="N2333" s="1615"/>
      <c r="R2333" s="1688" t="s">
        <v>2215</v>
      </c>
      <c r="T2333" s="1688" t="str">
        <f>IF(Q$2317="Yes",M2319,"")</f>
        <v/>
      </c>
    </row>
    <row r="2334" spans="1:20" s="1613" customFormat="1" x14ac:dyDescent="0.25">
      <c r="A2334" s="983" t="s">
        <v>1374</v>
      </c>
      <c r="B2334" s="1241" t="str">
        <f>IFERROR(_xlfn.CONCAT("I",('Configurable Tab'!$C$43+1)),"")</f>
        <v>I443</v>
      </c>
      <c r="C2334" s="1241" t="str">
        <f>IFERROR(_xlfn.CONCAT("I",('Configurable Tab'!$C$43+2)),"")</f>
        <v>I444</v>
      </c>
      <c r="D2334" s="1615" t="s">
        <v>1343</v>
      </c>
      <c r="E2334" s="766" t="s">
        <v>1734</v>
      </c>
      <c r="F2334" s="1615"/>
      <c r="G2334" s="1615"/>
      <c r="H2334" s="1615"/>
      <c r="I2334" s="1241" t="str">
        <f t="shared" si="298"/>
        <v>Payment Method</v>
      </c>
      <c r="J2334" s="1615" t="str">
        <f t="shared" si="304"/>
        <v>F</v>
      </c>
      <c r="K2334" s="1615" t="str">
        <f t="shared" si="299"/>
        <v>Incentives</v>
      </c>
      <c r="L2334" s="1615"/>
      <c r="M2334" s="1615"/>
      <c r="N2334" s="1615"/>
      <c r="R2334" s="1688" t="s">
        <v>2215</v>
      </c>
      <c r="T2334" s="1688" t="str">
        <f>IF(Q$2317="Yes",M2320,"")</f>
        <v/>
      </c>
    </row>
    <row r="2335" spans="1:20" s="1613" customFormat="1" x14ac:dyDescent="0.25">
      <c r="A2335" s="983" t="s">
        <v>833</v>
      </c>
      <c r="B2335" s="1241" t="str">
        <f>IFERROR(_xlfn.CONCAT("K",('Configurable Tab'!$C$43+1)),"")</f>
        <v>K443</v>
      </c>
      <c r="C2335" s="1241" t="str">
        <f>IFERROR(_xlfn.CONCAT("K",('Configurable Tab'!$C$43+2)),"")</f>
        <v>K444</v>
      </c>
      <c r="D2335" s="1615" t="s">
        <v>1343</v>
      </c>
      <c r="E2335" s="766" t="s">
        <v>1734</v>
      </c>
      <c r="F2335" s="1615"/>
      <c r="G2335" s="1615"/>
      <c r="H2335" s="1615"/>
      <c r="I2335" s="1241" t="str">
        <f t="shared" si="298"/>
        <v>Paid to:</v>
      </c>
      <c r="J2335" s="1615" t="str">
        <f t="shared" si="304"/>
        <v>F</v>
      </c>
      <c r="K2335" s="1615" t="str">
        <f t="shared" si="299"/>
        <v>Incentives</v>
      </c>
      <c r="L2335" s="1615"/>
      <c r="M2335" s="1615"/>
      <c r="N2335" s="1615"/>
      <c r="R2335" s="1688" t="s">
        <v>2215</v>
      </c>
      <c r="T2335" s="1688" t="str">
        <f>IF(Q$2317="Yes",M2321,"")</f>
        <v/>
      </c>
    </row>
    <row r="2336" spans="1:20" s="1613" customFormat="1" x14ac:dyDescent="0.25">
      <c r="A2336" s="983" t="s">
        <v>1375</v>
      </c>
      <c r="B2336" s="1241" t="str">
        <f>IFERROR(_xlfn.CONCAT("M",('Configurable Tab'!$C$43+1)),"")</f>
        <v>M443</v>
      </c>
      <c r="C2336" s="1241" t="str">
        <f>IFERROR(_xlfn.CONCAT("M",('Configurable Tab'!$C$43+2)),"")</f>
        <v>M444</v>
      </c>
      <c r="D2336" s="1615" t="s">
        <v>1343</v>
      </c>
      <c r="E2336" s="766" t="s">
        <v>1734</v>
      </c>
      <c r="F2336" s="1615"/>
      <c r="G2336" s="1615"/>
      <c r="H2336" s="1615"/>
      <c r="I2336" s="1241" t="str">
        <f t="shared" si="298"/>
        <v>AP/AR Vendor Number</v>
      </c>
      <c r="J2336" s="1615" t="str">
        <f t="shared" si="304"/>
        <v>F</v>
      </c>
      <c r="K2336" s="1615" t="str">
        <f t="shared" si="299"/>
        <v>Incentives</v>
      </c>
      <c r="L2336" s="1615"/>
      <c r="M2336" s="1615"/>
      <c r="N2336" s="1615"/>
      <c r="R2336" s="1688" t="s">
        <v>2215</v>
      </c>
      <c r="T2336" s="1688" t="str">
        <f>IF(Q$2317="Yes",M2322,"")</f>
        <v/>
      </c>
    </row>
    <row r="2337" spans="1:20" s="1613" customFormat="1" x14ac:dyDescent="0.25">
      <c r="A2337" s="983" t="s">
        <v>1382</v>
      </c>
      <c r="B2337" s="1241" t="str">
        <f>IFERROR(_xlfn.CONCAT("K",('Configurable Tab'!$C$43+4)),"")</f>
        <v>K446</v>
      </c>
      <c r="C2337" s="1241" t="str">
        <f>IFERROR(_xlfn.CONCAT("K",('Configurable Tab'!$C$43+5)),"")</f>
        <v>K447</v>
      </c>
      <c r="D2337" s="1615" t="s">
        <v>1343</v>
      </c>
      <c r="E2337" s="766" t="s">
        <v>1734</v>
      </c>
      <c r="F2337" s="1615"/>
      <c r="G2337" s="1615"/>
      <c r="H2337" s="1615"/>
      <c r="I2337" s="1241" t="str">
        <f t="shared" si="298"/>
        <v>Rate % of Sales</v>
      </c>
      <c r="J2337" s="1615" t="str">
        <f t="shared" si="304"/>
        <v>F</v>
      </c>
      <c r="K2337" s="1615" t="str">
        <f t="shared" si="299"/>
        <v>Incentives</v>
      </c>
      <c r="L2337" s="1615"/>
      <c r="M2337" s="1615"/>
      <c r="N2337" s="1615"/>
      <c r="R2337" s="1615" t="s">
        <v>2215</v>
      </c>
      <c r="T2337" s="1688" t="str">
        <f>IF(Q$2317="Yes",M2328,"")</f>
        <v/>
      </c>
    </row>
    <row r="2338" spans="1:20" s="1613"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5" t="s">
        <v>1483</v>
      </c>
      <c r="G2338" s="1615" t="str">
        <f>IF(T2338&lt;&gt;"","A","")</f>
        <v/>
      </c>
      <c r="H2338" s="1615" t="s">
        <v>1982</v>
      </c>
      <c r="I2338" s="1241" t="str">
        <f t="shared" si="298"/>
        <v/>
      </c>
      <c r="J2338" s="1615"/>
      <c r="K2338" s="1615" t="str">
        <f t="shared" si="299"/>
        <v/>
      </c>
      <c r="L2338" s="801" t="s">
        <v>1483</v>
      </c>
      <c r="M2338" s="1619">
        <v>1368</v>
      </c>
      <c r="N2338" s="1615"/>
      <c r="O2338" s="1613">
        <f>'Configurable Tab'!H59</f>
        <v>797</v>
      </c>
      <c r="R2338" s="1615" t="s">
        <v>2216</v>
      </c>
      <c r="T2338" s="1688" t="str">
        <f t="shared" ref="T2338:T2349" si="305">IF(Q$2339="Yes",57,"")</f>
        <v/>
      </c>
    </row>
    <row r="2339" spans="1:20" s="1613"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5"/>
      <c r="G2339" s="1615"/>
      <c r="H2339" s="1615"/>
      <c r="I2339" s="1241" t="str">
        <f t="shared" si="298"/>
        <v/>
      </c>
      <c r="J2339" s="1615" t="str">
        <f>IF(M2339&lt;&gt;"",IF($Q$2339="Yes",Q$1&amp;M2339,""))</f>
        <v/>
      </c>
      <c r="K2339" s="1615" t="str">
        <f t="shared" si="299"/>
        <v/>
      </c>
      <c r="L2339" s="801" t="s">
        <v>1697</v>
      </c>
      <c r="M2339" s="1619">
        <v>1369</v>
      </c>
      <c r="N2339" s="1615"/>
      <c r="O2339" s="1613" t="s">
        <v>726</v>
      </c>
      <c r="P2339" s="18" t="str">
        <f>'Configurable Tab'!J59</f>
        <v>Yes</v>
      </c>
      <c r="Q2339" s="1613" t="s">
        <v>648</v>
      </c>
      <c r="R2339" s="1688" t="s">
        <v>2216</v>
      </c>
      <c r="T2339" s="1688" t="str">
        <f t="shared" si="305"/>
        <v/>
      </c>
    </row>
    <row r="2340" spans="1:20" s="1613"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5" t="s">
        <v>1376</v>
      </c>
      <c r="G2340" s="1615" t="str">
        <f>IF(T2340&lt;&gt;"","B","")</f>
        <v/>
      </c>
      <c r="H2340" s="1615" t="s">
        <v>1982</v>
      </c>
      <c r="I2340" s="1241" t="str">
        <f t="shared" si="298"/>
        <v/>
      </c>
      <c r="J2340" s="1691"/>
      <c r="K2340" s="1615" t="str">
        <f t="shared" si="299"/>
        <v/>
      </c>
      <c r="L2340" s="801" t="s">
        <v>1376</v>
      </c>
      <c r="M2340" s="1619">
        <v>1370</v>
      </c>
      <c r="N2340" s="1615"/>
      <c r="O2340" s="1613">
        <f>'Configurable Tab'!I59</f>
        <v>810</v>
      </c>
      <c r="R2340" s="1688" t="s">
        <v>2216</v>
      </c>
      <c r="T2340" s="1688" t="str">
        <f t="shared" si="305"/>
        <v/>
      </c>
    </row>
    <row r="2341" spans="1:20" s="1613" customFormat="1" x14ac:dyDescent="0.25">
      <c r="A2341" s="818" t="s">
        <v>1373</v>
      </c>
      <c r="B2341" s="801" t="str">
        <f t="shared" ref="B2341:B2346" ca="1" si="306">_xlfn.CONCAT(IFERROR(SUBSTITUTE(ADDRESS(1,MATCH(A2341,INDIRECT("'"&amp;E2341&amp;"'"&amp;"!A" &amp; $O$2338+2 &amp; ":Z"&amp;$O$2338+2 ),0),4),1,""),""),$O$2338+2)</f>
        <v>H799</v>
      </c>
      <c r="C2341" s="801" t="str">
        <f t="shared" ref="C2341:C2346" ca="1" si="307">_xlfn.CONCAT(IFERROR(SUBSTITUTE(ADDRESS(1,MATCH(A2341,INDIRECT("'"&amp;E2341&amp;"'"&amp;"!A" &amp; $O$2338+2 &amp; ":Z"&amp;$O$2338+2 ),0),4),1,""),""),$O$2338+3)</f>
        <v>H800</v>
      </c>
      <c r="D2341" s="801" t="s">
        <v>1343</v>
      </c>
      <c r="E2341" s="801" t="s">
        <v>1508</v>
      </c>
      <c r="F2341" s="1615" t="s">
        <v>1983</v>
      </c>
      <c r="G2341" s="1615" t="str">
        <f>IF(T2341&lt;&gt;"","E","")</f>
        <v/>
      </c>
      <c r="H2341" s="1615" t="s">
        <v>1982</v>
      </c>
      <c r="I2341" s="1241" t="str">
        <f t="shared" si="298"/>
        <v/>
      </c>
      <c r="J2341" s="1691" t="str">
        <f t="shared" ref="J2341:J2350" si="308">IF(M2341&lt;&gt;"",IF($Q$2339="Yes",Q$1&amp;M2341,""))</f>
        <v/>
      </c>
      <c r="K2341" s="1615" t="str">
        <f t="shared" si="299"/>
        <v/>
      </c>
      <c r="L2341" s="801" t="s">
        <v>1373</v>
      </c>
      <c r="M2341" s="1619">
        <v>1371</v>
      </c>
      <c r="N2341" s="1615"/>
      <c r="O2341" s="1613" t="s">
        <v>2143</v>
      </c>
      <c r="R2341" s="1688" t="s">
        <v>2216</v>
      </c>
      <c r="T2341" s="1688" t="str">
        <f t="shared" si="305"/>
        <v/>
      </c>
    </row>
    <row r="2342" spans="1:20" s="1613" customFormat="1" x14ac:dyDescent="0.25">
      <c r="A2342" s="818" t="s">
        <v>1374</v>
      </c>
      <c r="B2342" s="801" t="str">
        <f t="shared" ca="1" si="306"/>
        <v>J799</v>
      </c>
      <c r="C2342" s="801" t="str">
        <f t="shared" ca="1" si="307"/>
        <v>J800</v>
      </c>
      <c r="D2342" s="801" t="s">
        <v>1343</v>
      </c>
      <c r="E2342" s="801" t="s">
        <v>1508</v>
      </c>
      <c r="F2342" s="1615" t="s">
        <v>1984</v>
      </c>
      <c r="G2342" s="1615" t="str">
        <f>IF(T2342&lt;&gt;"","I","")</f>
        <v/>
      </c>
      <c r="H2342" s="1615" t="s">
        <v>1982</v>
      </c>
      <c r="I2342" s="1241" t="str">
        <f t="shared" si="298"/>
        <v/>
      </c>
      <c r="J2342" s="1691" t="str">
        <f t="shared" si="308"/>
        <v/>
      </c>
      <c r="K2342" s="1615" t="str">
        <f t="shared" si="299"/>
        <v/>
      </c>
      <c r="L2342" s="801" t="s">
        <v>1374</v>
      </c>
      <c r="M2342" s="1619">
        <v>1372</v>
      </c>
      <c r="N2342" s="1615"/>
      <c r="R2342" s="1688" t="s">
        <v>2216</v>
      </c>
      <c r="T2342" s="1688" t="str">
        <f t="shared" si="305"/>
        <v/>
      </c>
    </row>
    <row r="2343" spans="1:20" s="1613" customFormat="1" x14ac:dyDescent="0.25">
      <c r="A2343" s="818" t="s">
        <v>1390</v>
      </c>
      <c r="B2343" s="801" t="str">
        <f t="shared" ca="1" si="306"/>
        <v>L799</v>
      </c>
      <c r="C2343" s="801" t="str">
        <f t="shared" ca="1" si="307"/>
        <v>L800</v>
      </c>
      <c r="D2343" s="801" t="s">
        <v>1343</v>
      </c>
      <c r="E2343" s="801" t="s">
        <v>1508</v>
      </c>
      <c r="F2343" s="1615" t="s">
        <v>1985</v>
      </c>
      <c r="G2343" s="1615" t="str">
        <f>IF(T2343&lt;&gt;"","H","")</f>
        <v/>
      </c>
      <c r="H2343" s="1615" t="s">
        <v>1982</v>
      </c>
      <c r="I2343" s="1241" t="str">
        <f t="shared" si="298"/>
        <v/>
      </c>
      <c r="J2343" s="1691" t="str">
        <f t="shared" si="308"/>
        <v/>
      </c>
      <c r="K2343" s="1615" t="str">
        <f t="shared" si="299"/>
        <v/>
      </c>
      <c r="L2343" s="801" t="s">
        <v>1390</v>
      </c>
      <c r="M2343" s="1619">
        <v>1373</v>
      </c>
      <c r="N2343" s="1615"/>
      <c r="R2343" s="1688" t="s">
        <v>2216</v>
      </c>
      <c r="T2343" s="1688" t="str">
        <f t="shared" si="305"/>
        <v/>
      </c>
    </row>
    <row r="2344" spans="1:20" s="1613" customFormat="1" x14ac:dyDescent="0.25">
      <c r="A2344" s="818" t="s">
        <v>1375</v>
      </c>
      <c r="B2344" s="801" t="str">
        <f t="shared" ca="1" si="306"/>
        <v>N799</v>
      </c>
      <c r="C2344" s="801" t="str">
        <f t="shared" ca="1" si="307"/>
        <v>N800</v>
      </c>
      <c r="D2344" s="801" t="s">
        <v>1343</v>
      </c>
      <c r="E2344" s="801" t="s">
        <v>1508</v>
      </c>
      <c r="F2344" s="1615" t="s">
        <v>1375</v>
      </c>
      <c r="G2344" s="1615" t="str">
        <f>IF(T2344&lt;&gt;"",IF(Q2342="Credit Memo","J",IF(Q2342="Check","K","")),"")</f>
        <v/>
      </c>
      <c r="H2344" s="1615" t="s">
        <v>1982</v>
      </c>
      <c r="I2344" s="1241" t="str">
        <f t="shared" si="298"/>
        <v/>
      </c>
      <c r="J2344" s="1691" t="str">
        <f t="shared" si="308"/>
        <v/>
      </c>
      <c r="K2344" s="1615" t="str">
        <f t="shared" si="299"/>
        <v/>
      </c>
      <c r="L2344" s="801" t="s">
        <v>1375</v>
      </c>
      <c r="M2344" s="1619">
        <v>1374</v>
      </c>
      <c r="N2344" s="1615"/>
      <c r="R2344" s="1688" t="s">
        <v>2216</v>
      </c>
      <c r="T2344" s="1688" t="str">
        <f t="shared" si="305"/>
        <v/>
      </c>
    </row>
    <row r="2345" spans="1:20" s="1613" customFormat="1" x14ac:dyDescent="0.25">
      <c r="A2345" s="818" t="s">
        <v>1479</v>
      </c>
      <c r="B2345" s="801" t="str">
        <f t="shared" ca="1" si="306"/>
        <v>R799</v>
      </c>
      <c r="C2345" s="801" t="str">
        <f t="shared" ca="1" si="307"/>
        <v>R800</v>
      </c>
      <c r="D2345" s="801" t="s">
        <v>1343</v>
      </c>
      <c r="E2345" s="801" t="s">
        <v>1508</v>
      </c>
      <c r="F2345" s="1615" t="s">
        <v>1987</v>
      </c>
      <c r="G2345" s="1615" t="str">
        <f>IF(T2345&lt;&gt;"","G","")</f>
        <v/>
      </c>
      <c r="H2345" s="1615" t="s">
        <v>1982</v>
      </c>
      <c r="I2345" s="1241" t="str">
        <f t="shared" si="298"/>
        <v/>
      </c>
      <c r="J2345" s="1691" t="str">
        <f t="shared" si="308"/>
        <v/>
      </c>
      <c r="K2345" s="1615" t="str">
        <f t="shared" si="299"/>
        <v/>
      </c>
      <c r="L2345" s="801" t="s">
        <v>1479</v>
      </c>
      <c r="M2345" s="1619">
        <v>1375</v>
      </c>
      <c r="N2345" s="1615"/>
      <c r="R2345" s="1688" t="s">
        <v>2216</v>
      </c>
      <c r="T2345" s="1688" t="str">
        <f t="shared" si="305"/>
        <v/>
      </c>
    </row>
    <row r="2346" spans="1:20" s="1613" customFormat="1" x14ac:dyDescent="0.25">
      <c r="A2346" s="818" t="s">
        <v>1480</v>
      </c>
      <c r="B2346" s="801" t="str">
        <f t="shared" ca="1" si="306"/>
        <v>T799</v>
      </c>
      <c r="C2346" s="801" t="str">
        <f t="shared" ca="1" si="307"/>
        <v>T800</v>
      </c>
      <c r="D2346" s="801" t="s">
        <v>1343</v>
      </c>
      <c r="E2346" s="801" t="s">
        <v>1508</v>
      </c>
      <c r="F2346" s="813" t="s">
        <v>1480</v>
      </c>
      <c r="G2346" s="1615" t="str">
        <f>IF(T2346&lt;&gt;"","AW","")</f>
        <v/>
      </c>
      <c r="H2346" s="1615" t="s">
        <v>1982</v>
      </c>
      <c r="I2346" s="1241" t="str">
        <f t="shared" si="298"/>
        <v/>
      </c>
      <c r="J2346" s="1691" t="str">
        <f t="shared" si="308"/>
        <v/>
      </c>
      <c r="K2346" s="1615" t="str">
        <f t="shared" si="299"/>
        <v/>
      </c>
      <c r="L2346" s="801" t="s">
        <v>1480</v>
      </c>
      <c r="M2346" s="1619">
        <v>1376</v>
      </c>
      <c r="N2346" s="1615"/>
      <c r="R2346" s="1688" t="s">
        <v>2216</v>
      </c>
      <c r="T2346" s="1688" t="str">
        <f t="shared" si="305"/>
        <v/>
      </c>
    </row>
    <row r="2347" spans="1:20" s="1613"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5" t="s">
        <v>1378</v>
      </c>
      <c r="G2347" s="1615" t="str">
        <f>IF(T2347&lt;&gt;"","C","")</f>
        <v/>
      </c>
      <c r="H2347" s="1615" t="s">
        <v>1982</v>
      </c>
      <c r="I2347" s="1241" t="str">
        <f t="shared" si="298"/>
        <v/>
      </c>
      <c r="J2347" s="1691" t="str">
        <f t="shared" si="308"/>
        <v/>
      </c>
      <c r="K2347" s="1615" t="str">
        <f t="shared" si="299"/>
        <v/>
      </c>
      <c r="L2347" s="801" t="s">
        <v>1378</v>
      </c>
      <c r="M2347" s="1619">
        <v>1377</v>
      </c>
      <c r="N2347" s="1615"/>
      <c r="R2347" s="1688" t="s">
        <v>2216</v>
      </c>
      <c r="T2347" s="1688" t="str">
        <f t="shared" si="305"/>
        <v/>
      </c>
    </row>
    <row r="2348" spans="1:20" s="1613"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5" t="s">
        <v>1379</v>
      </c>
      <c r="G2348" s="1615" t="str">
        <f>IF(T2348&lt;&gt;"","D","")</f>
        <v/>
      </c>
      <c r="H2348" s="1615" t="s">
        <v>1982</v>
      </c>
      <c r="I2348" s="1241" t="str">
        <f t="shared" si="298"/>
        <v/>
      </c>
      <c r="J2348" s="1691" t="str">
        <f t="shared" si="308"/>
        <v/>
      </c>
      <c r="K2348" s="1615" t="str">
        <f t="shared" si="299"/>
        <v/>
      </c>
      <c r="L2348" s="801" t="s">
        <v>1379</v>
      </c>
      <c r="M2348" s="1619">
        <v>1378</v>
      </c>
      <c r="N2348" s="1615"/>
      <c r="R2348" s="1688" t="s">
        <v>2216</v>
      </c>
      <c r="T2348" s="1688" t="str">
        <f t="shared" si="305"/>
        <v/>
      </c>
    </row>
    <row r="2349" spans="1:20" s="1613"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5" t="s">
        <v>1487</v>
      </c>
      <c r="G2349" s="1615" t="str">
        <f>IF(T2349&lt;&gt;"","AN","")</f>
        <v/>
      </c>
      <c r="H2349" s="1615" t="s">
        <v>1982</v>
      </c>
      <c r="I2349" s="1241" t="str">
        <f t="shared" si="298"/>
        <v/>
      </c>
      <c r="J2349" s="1691" t="str">
        <f t="shared" si="308"/>
        <v/>
      </c>
      <c r="K2349" s="1615" t="str">
        <f t="shared" si="299"/>
        <v/>
      </c>
      <c r="L2349" s="801" t="s">
        <v>1487</v>
      </c>
      <c r="M2349" s="1619">
        <v>1379</v>
      </c>
      <c r="N2349" s="1615"/>
      <c r="P2349" s="1615" t="str" cm="1">
        <f t="array" aca="1" ref="P2349" ca="1">_xlfn.CONCAT("F",RIGHT(B2349, LEN(B2349) - MAX(IF(ISNUMBER(MID(B2349, ROW(INDIRECT("1:"&amp;LEN(B2349))), 1) *1)=FALSE, ROW(INDIRECT("1:"&amp;LEN(B2349))), 0))))</f>
        <v>F807</v>
      </c>
      <c r="Q2349" s="1615" t="str" cm="1">
        <f t="array" aca="1" ref="Q2349" ca="1">_xlfn.CONCAT("E",RIGHT(C2349, LEN(C2349) - MAX(IF(ISNUMBER(MID(C2349, ROW(INDIRECT("1:"&amp;LEN(C2349))), 1) *1)=FALSE, ROW(INDIRECT("1:"&amp;LEN(C2349))), 0))))</f>
        <v>E807</v>
      </c>
      <c r="R2349" s="1688" t="s">
        <v>2216</v>
      </c>
      <c r="T2349" s="1688" t="str">
        <f t="shared" si="305"/>
        <v/>
      </c>
    </row>
    <row r="2350" spans="1:20" s="1613"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5" t="s">
        <v>1904</v>
      </c>
      <c r="G2350" s="1615" t="str">
        <f>IF(T2350&lt;&gt;"","O","")</f>
        <v/>
      </c>
      <c r="H2350" s="1615" t="s">
        <v>1982</v>
      </c>
      <c r="I2350" s="1241" t="str">
        <f t="shared" si="298"/>
        <v/>
      </c>
      <c r="J2350" s="1691" t="str">
        <f t="shared" si="308"/>
        <v/>
      </c>
      <c r="K2350" s="1615" t="str">
        <f t="shared" si="299"/>
        <v/>
      </c>
      <c r="L2350" s="801" t="s">
        <v>1382</v>
      </c>
      <c r="M2350" s="1616">
        <v>1380</v>
      </c>
      <c r="N2350" s="1615"/>
      <c r="R2350" s="1688" t="s">
        <v>2216</v>
      </c>
      <c r="T2350" s="1615" t="str">
        <f>IF(Q$2339="Yes",57,"")</f>
        <v/>
      </c>
    </row>
    <row r="2351" spans="1:20" s="1613" customFormat="1" x14ac:dyDescent="0.25">
      <c r="A2351" s="982" t="s">
        <v>523</v>
      </c>
      <c r="B2351" s="1241" t="str">
        <f>IFERROR(_xlfn.CONCAT("D",('Configurable Tab'!$C$44+1)),"")</f>
        <v>D451</v>
      </c>
      <c r="C2351" s="1241" t="str">
        <f>IFERROR(_xlfn.CONCAT("E",('Configurable Tab'!$C$44+1)),"")</f>
        <v>E451</v>
      </c>
      <c r="D2351" s="1615" t="s">
        <v>1343</v>
      </c>
      <c r="E2351" s="766" t="s">
        <v>1734</v>
      </c>
      <c r="F2351" s="1615"/>
      <c r="G2351" s="1615"/>
      <c r="H2351" s="1615"/>
      <c r="I2351" s="1241" t="str">
        <f t="shared" si="298"/>
        <v>Offer this Incentive?</v>
      </c>
      <c r="J2351" s="1615" t="str">
        <f>$Q$1&amp;T2351</f>
        <v>F</v>
      </c>
      <c r="K2351" s="1615" t="str">
        <f t="shared" si="299"/>
        <v>Incentives</v>
      </c>
      <c r="L2351" s="1615"/>
      <c r="M2351" s="1615"/>
      <c r="N2351" s="1615"/>
      <c r="O2351" s="1613" t="s">
        <v>2135</v>
      </c>
      <c r="P2351" s="18" t="str">
        <f>'Configurable Tab'!E44</f>
        <v>Yes</v>
      </c>
      <c r="Q2351" s="1241" t="str">
        <f>IFERROR(_xlfn.CONCAT("C",('Configurable Tab'!$C44+1)),"")</f>
        <v>C451</v>
      </c>
      <c r="R2351" s="1688" t="s">
        <v>2216</v>
      </c>
      <c r="T2351" s="1615" t="str">
        <f>IF(Q$2339="Yes",M2339,"")</f>
        <v/>
      </c>
    </row>
    <row r="2352" spans="1:20" s="1613" customFormat="1" x14ac:dyDescent="0.25">
      <c r="A2352" s="983" t="s">
        <v>1376</v>
      </c>
      <c r="B2352" s="1241" t="str">
        <f>IFERROR(_xlfn.CONCAT("D",('Configurable Tab'!$C$44+2)),"")</f>
        <v>D452</v>
      </c>
      <c r="C2352" s="1241" t="str">
        <f>IFERROR(_xlfn.CONCAT("E",('Configurable Tab'!$C$44+2)),"")</f>
        <v>E452</v>
      </c>
      <c r="D2352" s="1615" t="s">
        <v>1343</v>
      </c>
      <c r="E2352" s="766" t="s">
        <v>1734</v>
      </c>
      <c r="F2352" s="1615"/>
      <c r="G2352" s="1615"/>
      <c r="H2352" s="1615"/>
      <c r="I2352" s="1241" t="str">
        <f t="shared" si="298"/>
        <v>Incentive Type</v>
      </c>
      <c r="J2352" s="1615" t="str">
        <f t="shared" ref="J2352:J2359" si="309">$Q$1&amp;T2352</f>
        <v>F</v>
      </c>
      <c r="K2352" s="1615" t="str">
        <f t="shared" si="299"/>
        <v>Incentives</v>
      </c>
      <c r="L2352" s="1615"/>
      <c r="M2352" s="1615"/>
      <c r="N2352" s="1615"/>
      <c r="R2352" s="1688" t="s">
        <v>2216</v>
      </c>
      <c r="T2352" s="1639" t="str">
        <f>IF(Q$2339="Yes",M2340,"")</f>
        <v/>
      </c>
    </row>
    <row r="2353" spans="1:20" s="1613" customFormat="1" x14ac:dyDescent="0.25">
      <c r="A2353" s="983" t="s">
        <v>1378</v>
      </c>
      <c r="B2353" s="1241" t="str">
        <f>IFERROR(_xlfn.CONCAT("D",('Configurable Tab'!$C$44+4)),"")</f>
        <v>D454</v>
      </c>
      <c r="C2353" s="1241" t="str">
        <f>IFERROR(_xlfn.CONCAT("E",('Configurable Tab'!$C$44+4)),"")</f>
        <v>E454</v>
      </c>
      <c r="D2353" s="1615" t="s">
        <v>1343</v>
      </c>
      <c r="E2353" s="766" t="s">
        <v>1734</v>
      </c>
      <c r="F2353" s="1615"/>
      <c r="G2353" s="1615"/>
      <c r="H2353" s="1615"/>
      <c r="I2353" s="1241" t="str">
        <f t="shared" si="298"/>
        <v>Incentive Effective Date</v>
      </c>
      <c r="J2353" s="1615" t="str">
        <f t="shared" si="309"/>
        <v>F</v>
      </c>
      <c r="K2353" s="1615" t="str">
        <f t="shared" si="299"/>
        <v>Incentives</v>
      </c>
      <c r="L2353" s="1615"/>
      <c r="M2353" s="1615"/>
      <c r="N2353" s="1615"/>
      <c r="R2353" s="1688" t="s">
        <v>2216</v>
      </c>
      <c r="T2353" s="1615" t="str">
        <f>IF(Q$2339="Yes",M2347,"")</f>
        <v/>
      </c>
    </row>
    <row r="2354" spans="1:20" s="1613" customFormat="1" x14ac:dyDescent="0.25">
      <c r="A2354" s="983" t="s">
        <v>1379</v>
      </c>
      <c r="B2354" s="1241" t="str">
        <f>IFERROR(_xlfn.CONCAT("D",('Configurable Tab'!$C$44+5)),"")</f>
        <v>D455</v>
      </c>
      <c r="C2354" s="1241" t="str">
        <f>IFERROR(_xlfn.CONCAT("E",('Configurable Tab'!$C$44+5)),"")</f>
        <v>E455</v>
      </c>
      <c r="D2354" s="1615" t="s">
        <v>1343</v>
      </c>
      <c r="E2354" s="766" t="s">
        <v>1734</v>
      </c>
      <c r="F2354" s="1615"/>
      <c r="G2354" s="1615"/>
      <c r="H2354" s="1615"/>
      <c r="I2354" s="1241" t="str">
        <f t="shared" si="298"/>
        <v>Incentive Expiration Date</v>
      </c>
      <c r="J2354" s="1615" t="str">
        <f t="shared" si="309"/>
        <v>F</v>
      </c>
      <c r="K2354" s="1615" t="str">
        <f t="shared" si="299"/>
        <v>Incentives</v>
      </c>
      <c r="L2354" s="1615"/>
      <c r="M2354" s="1615"/>
      <c r="N2354" s="1615"/>
      <c r="R2354" s="1688" t="s">
        <v>2216</v>
      </c>
      <c r="T2354" s="1615" t="str">
        <f>IF(Q$2339="Yes",M2348,"")</f>
        <v/>
      </c>
    </row>
    <row r="2355" spans="1:20" s="1613" customFormat="1" x14ac:dyDescent="0.25">
      <c r="A2355" s="983" t="s">
        <v>1373</v>
      </c>
      <c r="B2355" s="1241" t="str">
        <f>IFERROR(_xlfn.CONCAT("G",('Configurable Tab'!$C$44+1)),"")</f>
        <v>G451</v>
      </c>
      <c r="C2355" s="1241" t="str">
        <f>IFERROR(_xlfn.CONCAT("G",('Configurable Tab'!$C$44+2)),"")</f>
        <v>G452</v>
      </c>
      <c r="D2355" s="1615" t="s">
        <v>1343</v>
      </c>
      <c r="E2355" s="766" t="s">
        <v>1734</v>
      </c>
      <c r="F2355" s="1614"/>
      <c r="G2355" s="1040"/>
      <c r="H2355" s="1615"/>
      <c r="I2355" s="1241" t="str">
        <f t="shared" si="298"/>
        <v>Incentive Period</v>
      </c>
      <c r="J2355" s="1615" t="str">
        <f t="shared" si="309"/>
        <v>F</v>
      </c>
      <c r="K2355" s="1615" t="str">
        <f t="shared" si="299"/>
        <v>Incentives</v>
      </c>
      <c r="L2355" s="1615"/>
      <c r="M2355" s="1615"/>
      <c r="N2355" s="1615"/>
      <c r="R2355" s="1688" t="s">
        <v>2216</v>
      </c>
      <c r="T2355" s="1615" t="str">
        <f>IF(Q$2339="Yes",M2341,"")</f>
        <v/>
      </c>
    </row>
    <row r="2356" spans="1:20" s="1613" customFormat="1" x14ac:dyDescent="0.25">
      <c r="A2356" s="983" t="s">
        <v>1374</v>
      </c>
      <c r="B2356" s="1241" t="str">
        <f>IFERROR(_xlfn.CONCAT("I",('Configurable Tab'!$C$44+1)),"")</f>
        <v>I451</v>
      </c>
      <c r="C2356" s="1241" t="str">
        <f>IFERROR(_xlfn.CONCAT("I",('Configurable Tab'!$C$44+2)),"")</f>
        <v>I452</v>
      </c>
      <c r="D2356" s="1615" t="s">
        <v>1343</v>
      </c>
      <c r="E2356" s="766" t="s">
        <v>1734</v>
      </c>
      <c r="F2356" s="1615"/>
      <c r="G2356" s="1615"/>
      <c r="H2356" s="1615"/>
      <c r="I2356" s="1241" t="str">
        <f t="shared" si="298"/>
        <v>Payment Method</v>
      </c>
      <c r="J2356" s="1615" t="str">
        <f t="shared" si="309"/>
        <v>F</v>
      </c>
      <c r="K2356" s="1615" t="str">
        <f t="shared" si="299"/>
        <v>Incentives</v>
      </c>
      <c r="L2356" s="1615"/>
      <c r="M2356" s="1615"/>
      <c r="N2356" s="1615"/>
      <c r="R2356" s="1688" t="s">
        <v>2216</v>
      </c>
      <c r="T2356" s="1615" t="str">
        <f>IF(Q$2339="Yes",M2342,"")</f>
        <v/>
      </c>
    </row>
    <row r="2357" spans="1:20" s="1613" customFormat="1" x14ac:dyDescent="0.25">
      <c r="A2357" s="983" t="s">
        <v>833</v>
      </c>
      <c r="B2357" s="1241" t="str">
        <f>IFERROR(_xlfn.CONCAT("K",('Configurable Tab'!$C$44+1)),"")</f>
        <v>K451</v>
      </c>
      <c r="C2357" s="1241" t="str">
        <f>IFERROR(_xlfn.CONCAT("K",('Configurable Tab'!$C$44+2)),"")</f>
        <v>K452</v>
      </c>
      <c r="D2357" s="1615" t="s">
        <v>1343</v>
      </c>
      <c r="E2357" s="766" t="s">
        <v>1734</v>
      </c>
      <c r="F2357" s="1615"/>
      <c r="G2357" s="1615"/>
      <c r="H2357" s="1615"/>
      <c r="I2357" s="1241" t="str">
        <f t="shared" si="298"/>
        <v>Paid to:</v>
      </c>
      <c r="J2357" s="1615" t="str">
        <f t="shared" si="309"/>
        <v>F</v>
      </c>
      <c r="K2357" s="1615" t="str">
        <f t="shared" si="299"/>
        <v>Incentives</v>
      </c>
      <c r="L2357" s="1615"/>
      <c r="M2357" s="1615"/>
      <c r="N2357" s="1615"/>
      <c r="R2357" s="1688" t="s">
        <v>2216</v>
      </c>
      <c r="T2357" s="1615" t="str">
        <f>IF(Q$2339="Yes",M2343,"")</f>
        <v/>
      </c>
    </row>
    <row r="2358" spans="1:20" s="1613" customFormat="1" x14ac:dyDescent="0.25">
      <c r="A2358" s="983" t="s">
        <v>1375</v>
      </c>
      <c r="B2358" s="1241" t="str">
        <f>IFERROR(_xlfn.CONCAT("M",('Configurable Tab'!$C$44+1)),"")</f>
        <v>M451</v>
      </c>
      <c r="C2358" s="1241" t="str">
        <f>IFERROR(_xlfn.CONCAT("M",('Configurable Tab'!$C$44+2)),"")</f>
        <v>M452</v>
      </c>
      <c r="D2358" s="1615" t="s">
        <v>1343</v>
      </c>
      <c r="E2358" s="766" t="s">
        <v>1734</v>
      </c>
      <c r="F2358" s="1615"/>
      <c r="G2358" s="1615"/>
      <c r="H2358" s="1615"/>
      <c r="I2358" s="1241" t="str">
        <f t="shared" si="298"/>
        <v>AP/AR Vendor Number</v>
      </c>
      <c r="J2358" s="1615" t="str">
        <f t="shared" si="309"/>
        <v>F</v>
      </c>
      <c r="K2358" s="1615" t="str">
        <f t="shared" si="299"/>
        <v>Incentives</v>
      </c>
      <c r="L2358" s="1615"/>
      <c r="M2358" s="1615"/>
      <c r="N2358" s="1615"/>
      <c r="R2358" s="1688" t="s">
        <v>2216</v>
      </c>
      <c r="T2358" s="1615" t="str">
        <f>IF(Q$2339="Yes",M2344,"")</f>
        <v/>
      </c>
    </row>
    <row r="2359" spans="1:20" s="1613" customFormat="1" x14ac:dyDescent="0.25">
      <c r="A2359" s="983" t="s">
        <v>1382</v>
      </c>
      <c r="B2359" s="1241" t="str">
        <f>IFERROR(_xlfn.CONCAT("K",('Configurable Tab'!$C$44+4)),"")</f>
        <v>K454</v>
      </c>
      <c r="C2359" s="1241" t="str">
        <f>IFERROR(_xlfn.CONCAT("K",('Configurable Tab'!$C$44+5)),"")</f>
        <v>K455</v>
      </c>
      <c r="D2359" s="1615" t="s">
        <v>1343</v>
      </c>
      <c r="E2359" s="766" t="s">
        <v>1734</v>
      </c>
      <c r="F2359" s="1615"/>
      <c r="G2359" s="1615"/>
      <c r="H2359" s="1615"/>
      <c r="I2359" s="1241" t="str">
        <f t="shared" si="298"/>
        <v>Rate % of Sales</v>
      </c>
      <c r="J2359" s="1615" t="str">
        <f t="shared" si="309"/>
        <v>F</v>
      </c>
      <c r="K2359" s="1615" t="str">
        <f t="shared" si="299"/>
        <v>Incentives</v>
      </c>
      <c r="L2359" s="1615"/>
      <c r="M2359" s="1615"/>
      <c r="N2359" s="1615"/>
      <c r="R2359" s="1688" t="s">
        <v>2216</v>
      </c>
      <c r="T2359" s="1615" t="str">
        <f>IF(Q$2339="Yes",M2350,"")</f>
        <v/>
      </c>
    </row>
    <row r="2360" spans="1:20" s="1613"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5" t="s">
        <v>1483</v>
      </c>
      <c r="G2360" s="1615" t="str">
        <f>IF(T2360&lt;&gt;"","A","")</f>
        <v/>
      </c>
      <c r="H2360" s="1615" t="s">
        <v>1982</v>
      </c>
      <c r="I2360" s="1241" t="str">
        <f t="shared" si="298"/>
        <v/>
      </c>
      <c r="J2360" s="1615"/>
      <c r="K2360" s="1615" t="str">
        <f t="shared" si="299"/>
        <v/>
      </c>
      <c r="L2360" s="801" t="s">
        <v>1483</v>
      </c>
      <c r="M2360" s="1619">
        <v>1381</v>
      </c>
      <c r="N2360" s="1615"/>
      <c r="O2360" s="1613">
        <f>'Configurable Tab'!H60</f>
        <v>811</v>
      </c>
      <c r="R2360" s="1615" t="s">
        <v>2217</v>
      </c>
      <c r="T2360" s="1688" t="str">
        <f t="shared" ref="T2360:T2371" si="310">IF(Q$2361="Yes",58,"")</f>
        <v/>
      </c>
    </row>
    <row r="2361" spans="1:20" s="1613"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5"/>
      <c r="G2361" s="1615"/>
      <c r="H2361" s="1615"/>
      <c r="I2361" s="1241" t="str">
        <f t="shared" si="298"/>
        <v/>
      </c>
      <c r="J2361" s="1615" t="str">
        <f>IF(M2361&lt;&gt;"",IF($Q$2361="Yes",Q$1&amp;M2361,""))</f>
        <v/>
      </c>
      <c r="K2361" s="1615" t="str">
        <f t="shared" si="299"/>
        <v/>
      </c>
      <c r="L2361" s="801" t="s">
        <v>1697</v>
      </c>
      <c r="M2361" s="1619">
        <v>1382</v>
      </c>
      <c r="N2361" s="1615"/>
      <c r="O2361" s="1613" t="s">
        <v>726</v>
      </c>
      <c r="P2361" s="18" t="str">
        <f>'Configurable Tab'!J60</f>
        <v>Yes</v>
      </c>
      <c r="Q2361" s="1613" t="s">
        <v>648</v>
      </c>
      <c r="R2361" s="1688" t="s">
        <v>2217</v>
      </c>
      <c r="T2361" s="1688" t="str">
        <f t="shared" si="310"/>
        <v/>
      </c>
    </row>
    <row r="2362" spans="1:20" s="1613"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5" t="s">
        <v>1376</v>
      </c>
      <c r="G2362" s="1615" t="str">
        <f>IF(T2362&lt;&gt;"","B","")</f>
        <v/>
      </c>
      <c r="H2362" s="1615" t="s">
        <v>1982</v>
      </c>
      <c r="I2362" s="1241" t="str">
        <f t="shared" si="298"/>
        <v/>
      </c>
      <c r="J2362" s="1691"/>
      <c r="K2362" s="1615" t="str">
        <f t="shared" si="299"/>
        <v/>
      </c>
      <c r="L2362" s="801" t="s">
        <v>1376</v>
      </c>
      <c r="M2362" s="1619">
        <v>1383</v>
      </c>
      <c r="N2362" s="1615"/>
      <c r="O2362" s="1613">
        <f>'Configurable Tab'!I60</f>
        <v>824</v>
      </c>
      <c r="R2362" s="1688" t="s">
        <v>2217</v>
      </c>
      <c r="T2362" s="1688" t="str">
        <f t="shared" si="310"/>
        <v/>
      </c>
    </row>
    <row r="2363" spans="1:20" s="1613" customFormat="1" x14ac:dyDescent="0.25">
      <c r="A2363" s="818" t="s">
        <v>1373</v>
      </c>
      <c r="B2363" s="801" t="str">
        <f t="shared" ref="B2363:B2368" ca="1" si="311">_xlfn.CONCAT(IFERROR(SUBSTITUTE(ADDRESS(1,MATCH(A2363,INDIRECT("'"&amp;E2363&amp;"'"&amp;"!A" &amp; $O$2360+2 &amp; ":Z"&amp;$O$2360+2 ),0),4),1,""),""),$O$2360+2)</f>
        <v>H813</v>
      </c>
      <c r="C2363" s="801" t="str">
        <f t="shared" ref="C2363:C2368" ca="1" si="312">_xlfn.CONCAT(IFERROR(SUBSTITUTE(ADDRESS(1,MATCH(A2363,INDIRECT("'"&amp;E2363&amp;"'"&amp;"!A" &amp; $O$2360+2 &amp; ":Z"&amp;$O$2360+2 ),0),4),1,""),""),$O$2360+3)</f>
        <v>H814</v>
      </c>
      <c r="D2363" s="801" t="s">
        <v>1343</v>
      </c>
      <c r="E2363" s="801" t="s">
        <v>1508</v>
      </c>
      <c r="F2363" s="1615" t="s">
        <v>1983</v>
      </c>
      <c r="G2363" s="1615" t="str">
        <f>IF(T2363&lt;&gt;"","E","")</f>
        <v/>
      </c>
      <c r="H2363" s="1615" t="s">
        <v>1982</v>
      </c>
      <c r="I2363" s="1241" t="str">
        <f t="shared" si="298"/>
        <v/>
      </c>
      <c r="J2363" s="1691" t="str">
        <f t="shared" ref="J2363:J2372" si="313">IF(M2363&lt;&gt;"",IF($Q$2361="Yes",Q$1&amp;M2363,""))</f>
        <v/>
      </c>
      <c r="K2363" s="1615" t="str">
        <f t="shared" si="299"/>
        <v/>
      </c>
      <c r="L2363" s="801" t="s">
        <v>1373</v>
      </c>
      <c r="M2363" s="1619">
        <v>1384</v>
      </c>
      <c r="N2363" s="1615"/>
      <c r="O2363" s="1613" t="s">
        <v>2145</v>
      </c>
      <c r="R2363" s="1688" t="s">
        <v>2217</v>
      </c>
      <c r="T2363" s="1688" t="str">
        <f t="shared" si="310"/>
        <v/>
      </c>
    </row>
    <row r="2364" spans="1:20" s="1613" customFormat="1" x14ac:dyDescent="0.25">
      <c r="A2364" s="818" t="s">
        <v>1374</v>
      </c>
      <c r="B2364" s="801" t="str">
        <f t="shared" ca="1" si="311"/>
        <v>J813</v>
      </c>
      <c r="C2364" s="801" t="str">
        <f t="shared" ca="1" si="312"/>
        <v>J814</v>
      </c>
      <c r="D2364" s="801" t="s">
        <v>1343</v>
      </c>
      <c r="E2364" s="801" t="s">
        <v>1508</v>
      </c>
      <c r="F2364" s="1615" t="s">
        <v>1984</v>
      </c>
      <c r="G2364" s="1615" t="str">
        <f>IF(T2364&lt;&gt;"","I","")</f>
        <v/>
      </c>
      <c r="H2364" s="1615" t="s">
        <v>1982</v>
      </c>
      <c r="I2364" s="1241" t="str">
        <f t="shared" si="298"/>
        <v/>
      </c>
      <c r="J2364" s="1691" t="str">
        <f t="shared" si="313"/>
        <v/>
      </c>
      <c r="K2364" s="1615" t="str">
        <f t="shared" si="299"/>
        <v/>
      </c>
      <c r="L2364" s="801" t="s">
        <v>1374</v>
      </c>
      <c r="M2364" s="1619">
        <v>1385</v>
      </c>
      <c r="N2364" s="1615"/>
      <c r="R2364" s="1688" t="s">
        <v>2217</v>
      </c>
      <c r="T2364" s="1688" t="str">
        <f t="shared" si="310"/>
        <v/>
      </c>
    </row>
    <row r="2365" spans="1:20" s="1613" customFormat="1" x14ac:dyDescent="0.25">
      <c r="A2365" s="818" t="s">
        <v>1390</v>
      </c>
      <c r="B2365" s="801" t="str">
        <f t="shared" ca="1" si="311"/>
        <v>L813</v>
      </c>
      <c r="C2365" s="801" t="str">
        <f t="shared" ca="1" si="312"/>
        <v>L814</v>
      </c>
      <c r="D2365" s="801" t="s">
        <v>1343</v>
      </c>
      <c r="E2365" s="801" t="s">
        <v>1508</v>
      </c>
      <c r="F2365" s="1615" t="s">
        <v>1985</v>
      </c>
      <c r="G2365" s="1615" t="str">
        <f>IF(T2365&lt;&gt;"","H","")</f>
        <v/>
      </c>
      <c r="H2365" s="1615" t="s">
        <v>1982</v>
      </c>
      <c r="I2365" s="1241" t="str">
        <f t="shared" si="298"/>
        <v/>
      </c>
      <c r="J2365" s="1691" t="str">
        <f t="shared" si="313"/>
        <v/>
      </c>
      <c r="K2365" s="1615" t="str">
        <f t="shared" si="299"/>
        <v/>
      </c>
      <c r="L2365" s="801" t="s">
        <v>1390</v>
      </c>
      <c r="M2365" s="1619">
        <v>1386</v>
      </c>
      <c r="N2365" s="1615"/>
      <c r="R2365" s="1688" t="s">
        <v>2217</v>
      </c>
      <c r="T2365" s="1688" t="str">
        <f t="shared" si="310"/>
        <v/>
      </c>
    </row>
    <row r="2366" spans="1:20" s="1613" customFormat="1" x14ac:dyDescent="0.25">
      <c r="A2366" s="818" t="s">
        <v>1375</v>
      </c>
      <c r="B2366" s="801" t="str">
        <f t="shared" ca="1" si="311"/>
        <v>N813</v>
      </c>
      <c r="C2366" s="801" t="str">
        <f t="shared" ca="1" si="312"/>
        <v>N814</v>
      </c>
      <c r="D2366" s="801" t="s">
        <v>1343</v>
      </c>
      <c r="E2366" s="801" t="s">
        <v>1508</v>
      </c>
      <c r="F2366" s="1615" t="s">
        <v>1375</v>
      </c>
      <c r="G2366" s="1615" t="str">
        <f>IF(T2366&lt;&gt;"",IF(Q2364="Credit Memo","J",IF(Q2364="Check","K","")),"")</f>
        <v/>
      </c>
      <c r="H2366" s="1615" t="s">
        <v>1982</v>
      </c>
      <c r="I2366" s="1241" t="str">
        <f t="shared" si="298"/>
        <v/>
      </c>
      <c r="J2366" s="1691" t="str">
        <f t="shared" si="313"/>
        <v/>
      </c>
      <c r="K2366" s="1615" t="str">
        <f t="shared" si="299"/>
        <v/>
      </c>
      <c r="L2366" s="801" t="s">
        <v>1375</v>
      </c>
      <c r="M2366" s="1619">
        <v>1387</v>
      </c>
      <c r="N2366" s="1615"/>
      <c r="R2366" s="1688" t="s">
        <v>2217</v>
      </c>
      <c r="T2366" s="1688" t="str">
        <f t="shared" si="310"/>
        <v/>
      </c>
    </row>
    <row r="2367" spans="1:20" s="1613" customFormat="1" x14ac:dyDescent="0.25">
      <c r="A2367" s="818" t="s">
        <v>1479</v>
      </c>
      <c r="B2367" s="801" t="str">
        <f t="shared" ca="1" si="311"/>
        <v>R813</v>
      </c>
      <c r="C2367" s="801" t="str">
        <f t="shared" ca="1" si="312"/>
        <v>R814</v>
      </c>
      <c r="D2367" s="801" t="s">
        <v>1343</v>
      </c>
      <c r="E2367" s="801" t="s">
        <v>1508</v>
      </c>
      <c r="F2367" s="1615" t="s">
        <v>1987</v>
      </c>
      <c r="G2367" s="1615" t="str">
        <f>IF(T2367&lt;&gt;"","G","")</f>
        <v/>
      </c>
      <c r="H2367" s="1615" t="s">
        <v>1982</v>
      </c>
      <c r="I2367" s="1241" t="str">
        <f t="shared" si="298"/>
        <v/>
      </c>
      <c r="J2367" s="1691" t="str">
        <f t="shared" si="313"/>
        <v/>
      </c>
      <c r="K2367" s="1615" t="str">
        <f t="shared" si="299"/>
        <v/>
      </c>
      <c r="L2367" s="801" t="s">
        <v>1479</v>
      </c>
      <c r="M2367" s="1619">
        <v>1388</v>
      </c>
      <c r="N2367" s="1615"/>
      <c r="R2367" s="1688" t="s">
        <v>2217</v>
      </c>
      <c r="T2367" s="1688" t="str">
        <f t="shared" si="310"/>
        <v/>
      </c>
    </row>
    <row r="2368" spans="1:20" s="1613" customFormat="1" x14ac:dyDescent="0.25">
      <c r="A2368" s="818" t="s">
        <v>1480</v>
      </c>
      <c r="B2368" s="801" t="str">
        <f t="shared" ca="1" si="311"/>
        <v>T813</v>
      </c>
      <c r="C2368" s="801" t="str">
        <f t="shared" ca="1" si="312"/>
        <v>T814</v>
      </c>
      <c r="D2368" s="801" t="s">
        <v>1343</v>
      </c>
      <c r="E2368" s="801" t="s">
        <v>1508</v>
      </c>
      <c r="F2368" s="813" t="s">
        <v>1480</v>
      </c>
      <c r="G2368" s="1615" t="str">
        <f>IF(T2368&lt;&gt;"","AW","")</f>
        <v/>
      </c>
      <c r="H2368" s="1615" t="s">
        <v>1982</v>
      </c>
      <c r="I2368" s="1241" t="str">
        <f t="shared" si="298"/>
        <v/>
      </c>
      <c r="J2368" s="1691" t="str">
        <f t="shared" si="313"/>
        <v/>
      </c>
      <c r="K2368" s="1615" t="str">
        <f t="shared" si="299"/>
        <v/>
      </c>
      <c r="L2368" s="801" t="s">
        <v>1480</v>
      </c>
      <c r="M2368" s="1619">
        <v>1389</v>
      </c>
      <c r="N2368" s="1615"/>
      <c r="R2368" s="1688" t="s">
        <v>2217</v>
      </c>
      <c r="T2368" s="1688" t="str">
        <f t="shared" si="310"/>
        <v/>
      </c>
    </row>
    <row r="2369" spans="1:20" s="1613"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5" t="s">
        <v>1378</v>
      </c>
      <c r="G2369" s="1615" t="str">
        <f>IF(T2369&lt;&gt;"","C","")</f>
        <v/>
      </c>
      <c r="H2369" s="1615" t="s">
        <v>1982</v>
      </c>
      <c r="I2369" s="1241" t="str">
        <f t="shared" si="298"/>
        <v/>
      </c>
      <c r="J2369" s="1691" t="str">
        <f t="shared" si="313"/>
        <v/>
      </c>
      <c r="K2369" s="1615" t="str">
        <f t="shared" si="299"/>
        <v/>
      </c>
      <c r="L2369" s="801" t="s">
        <v>1378</v>
      </c>
      <c r="M2369" s="1619">
        <v>1390</v>
      </c>
      <c r="N2369" s="1615"/>
      <c r="R2369" s="1688" t="s">
        <v>2217</v>
      </c>
      <c r="T2369" s="1688" t="str">
        <f t="shared" si="310"/>
        <v/>
      </c>
    </row>
    <row r="2370" spans="1:20" s="1613"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5" t="s">
        <v>1379</v>
      </c>
      <c r="G2370" s="1615" t="str">
        <f>IF(T2370&lt;&gt;"","D","")</f>
        <v/>
      </c>
      <c r="H2370" s="1615" t="s">
        <v>1982</v>
      </c>
      <c r="I2370" s="1241" t="str">
        <f t="shared" si="298"/>
        <v/>
      </c>
      <c r="J2370" s="1691" t="str">
        <f t="shared" si="313"/>
        <v/>
      </c>
      <c r="K2370" s="1615" t="str">
        <f t="shared" si="299"/>
        <v/>
      </c>
      <c r="L2370" s="801" t="s">
        <v>1379</v>
      </c>
      <c r="M2370" s="1619">
        <v>1391</v>
      </c>
      <c r="N2370" s="1615"/>
      <c r="R2370" s="1688" t="s">
        <v>2217</v>
      </c>
      <c r="T2370" s="1688" t="str">
        <f t="shared" si="310"/>
        <v/>
      </c>
    </row>
    <row r="2371" spans="1:20" s="1613"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5" t="s">
        <v>1487</v>
      </c>
      <c r="G2371" s="1615" t="str">
        <f>IF(T2371&lt;&gt;"","AN","")</f>
        <v/>
      </c>
      <c r="H2371" s="1615" t="s">
        <v>1982</v>
      </c>
      <c r="I2371" s="1241" t="str">
        <f t="shared" si="298"/>
        <v/>
      </c>
      <c r="J2371" s="1691" t="str">
        <f t="shared" si="313"/>
        <v/>
      </c>
      <c r="K2371" s="1615" t="str">
        <f t="shared" si="299"/>
        <v/>
      </c>
      <c r="L2371" s="801" t="s">
        <v>1487</v>
      </c>
      <c r="M2371" s="1619">
        <v>1392</v>
      </c>
      <c r="N2371" s="1615"/>
      <c r="P2371" s="1615" t="str" cm="1">
        <f t="array" aca="1" ref="P2371" ca="1">_xlfn.CONCAT("F",RIGHT(B2371, LEN(B2371) - MAX(IF(ISNUMBER(MID(B2371, ROW(INDIRECT("1:"&amp;LEN(B2371))), 1) *1)=FALSE, ROW(INDIRECT("1:"&amp;LEN(B2371))), 0))))</f>
        <v>F821</v>
      </c>
      <c r="Q2371" s="1615" t="str" cm="1">
        <f t="array" aca="1" ref="Q2371" ca="1">_xlfn.CONCAT("E",RIGHT(C2371, LEN(C2371) - MAX(IF(ISNUMBER(MID(C2371, ROW(INDIRECT("1:"&amp;LEN(C2371))), 1) *1)=FALSE, ROW(INDIRECT("1:"&amp;LEN(C2371))), 0))))</f>
        <v>E821</v>
      </c>
      <c r="R2371" s="1688" t="s">
        <v>2217</v>
      </c>
      <c r="T2371" s="1688" t="str">
        <f t="shared" si="310"/>
        <v/>
      </c>
    </row>
    <row r="2372" spans="1:20" s="1613"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5" t="s">
        <v>1904</v>
      </c>
      <c r="G2372" s="1615" t="str">
        <f>IF(T2372&lt;&gt;"","O","")</f>
        <v/>
      </c>
      <c r="H2372" s="1615" t="s">
        <v>1982</v>
      </c>
      <c r="I2372" s="1241" t="str">
        <f t="shared" si="298"/>
        <v/>
      </c>
      <c r="J2372" s="1691" t="str">
        <f t="shared" si="313"/>
        <v/>
      </c>
      <c r="K2372" s="1615" t="str">
        <f t="shared" si="299"/>
        <v/>
      </c>
      <c r="L2372" s="801" t="s">
        <v>1382</v>
      </c>
      <c r="M2372" s="1616">
        <v>1393</v>
      </c>
      <c r="N2372" s="1615"/>
      <c r="R2372" s="1688" t="s">
        <v>2217</v>
      </c>
      <c r="T2372" s="1615" t="str">
        <f>IF(Q$2361="Yes",58,"")</f>
        <v/>
      </c>
    </row>
    <row r="2373" spans="1:20" s="1613" customFormat="1" x14ac:dyDescent="0.25">
      <c r="A2373" s="982" t="s">
        <v>523</v>
      </c>
      <c r="B2373" s="1241" t="str">
        <f>IFERROR(_xlfn.CONCAT("D",('Configurable Tab'!$C$45+1)),"")</f>
        <v>D459</v>
      </c>
      <c r="C2373" s="1241" t="str">
        <f>IFERROR(_xlfn.CONCAT("E",('Configurable Tab'!$C$45+1)),"")</f>
        <v>E459</v>
      </c>
      <c r="D2373" s="1615" t="s">
        <v>1343</v>
      </c>
      <c r="E2373" s="766" t="s">
        <v>1734</v>
      </c>
      <c r="F2373" s="1615"/>
      <c r="G2373" s="1615"/>
      <c r="H2373" s="1615"/>
      <c r="I2373" s="1241" t="str">
        <f t="shared" si="298"/>
        <v>Offer this Incentive?</v>
      </c>
      <c r="J2373" s="1615" t="str">
        <f>$Q$1&amp;T2373</f>
        <v>F</v>
      </c>
      <c r="K2373" s="1615" t="str">
        <f t="shared" si="299"/>
        <v>Incentives</v>
      </c>
      <c r="L2373" s="1615"/>
      <c r="M2373" s="1615"/>
      <c r="N2373" s="1615"/>
      <c r="O2373" s="1613" t="s">
        <v>2135</v>
      </c>
      <c r="P2373" s="18" t="str">
        <f>'Configurable Tab'!E45</f>
        <v>Yes</v>
      </c>
      <c r="Q2373" s="1241" t="str">
        <f>IFERROR(_xlfn.CONCAT("C",('Configurable Tab'!$C45+1)),"")</f>
        <v>C459</v>
      </c>
      <c r="R2373" s="1688" t="s">
        <v>2217</v>
      </c>
      <c r="T2373" s="1615" t="str">
        <f>IF(Q$2361="Yes",M2361,"")</f>
        <v/>
      </c>
    </row>
    <row r="2374" spans="1:20" s="1613" customFormat="1" x14ac:dyDescent="0.25">
      <c r="A2374" s="983" t="s">
        <v>1376</v>
      </c>
      <c r="B2374" s="1241" t="str">
        <f>IFERROR(_xlfn.CONCAT("D",('Configurable Tab'!$C$45+2)),"")</f>
        <v>D460</v>
      </c>
      <c r="C2374" s="1241" t="str">
        <f>IFERROR(_xlfn.CONCAT("E",('Configurable Tab'!$C$45+2)),"")</f>
        <v>E460</v>
      </c>
      <c r="D2374" s="1615" t="s">
        <v>1343</v>
      </c>
      <c r="E2374" s="766" t="s">
        <v>1734</v>
      </c>
      <c r="F2374" s="1615"/>
      <c r="G2374" s="1615"/>
      <c r="H2374" s="1615"/>
      <c r="I2374" s="1241" t="str">
        <f t="shared" si="298"/>
        <v>Incentive Type</v>
      </c>
      <c r="J2374" s="1615" t="str">
        <f t="shared" ref="J2374:J2381" si="314">$Q$1&amp;T2374</f>
        <v>F</v>
      </c>
      <c r="K2374" s="1615" t="str">
        <f t="shared" si="299"/>
        <v>Incentives</v>
      </c>
      <c r="L2374" s="1615"/>
      <c r="M2374" s="1615"/>
      <c r="N2374" s="1615"/>
      <c r="R2374" s="1688" t="s">
        <v>2217</v>
      </c>
      <c r="T2374" s="1615" t="str">
        <f>IF(Q$2361="Yes",M2362,"")</f>
        <v/>
      </c>
    </row>
    <row r="2375" spans="1:20" s="1613" customFormat="1" x14ac:dyDescent="0.25">
      <c r="A2375" s="983" t="s">
        <v>1378</v>
      </c>
      <c r="B2375" s="1241" t="str">
        <f>IFERROR(_xlfn.CONCAT("D",('Configurable Tab'!$C$45+4)),"")</f>
        <v>D462</v>
      </c>
      <c r="C2375" s="1241" t="str">
        <f>IFERROR(_xlfn.CONCAT("E",('Configurable Tab'!$C$45+4)),"")</f>
        <v>E462</v>
      </c>
      <c r="D2375" s="1615" t="s">
        <v>1343</v>
      </c>
      <c r="E2375" s="766" t="s">
        <v>1734</v>
      </c>
      <c r="F2375" s="1615"/>
      <c r="G2375" s="1615"/>
      <c r="H2375" s="1615"/>
      <c r="I2375" s="1241" t="str">
        <f t="shared" si="298"/>
        <v>Incentive Effective Date</v>
      </c>
      <c r="J2375" s="1615" t="str">
        <f t="shared" si="314"/>
        <v>F</v>
      </c>
      <c r="K2375" s="1615" t="str">
        <f t="shared" si="299"/>
        <v>Incentives</v>
      </c>
      <c r="L2375" s="1615"/>
      <c r="M2375" s="1615"/>
      <c r="N2375" s="1615"/>
      <c r="R2375" s="1688" t="s">
        <v>2217</v>
      </c>
      <c r="T2375" s="1615" t="str">
        <f>IF(Q$2361="Yes",M2369,"")</f>
        <v/>
      </c>
    </row>
    <row r="2376" spans="1:20" s="1613" customFormat="1" x14ac:dyDescent="0.25">
      <c r="A2376" s="983" t="s">
        <v>1379</v>
      </c>
      <c r="B2376" s="1241" t="str">
        <f>IFERROR(_xlfn.CONCAT("D",('Configurable Tab'!$C$45+5)),"")</f>
        <v>D463</v>
      </c>
      <c r="C2376" s="1241" t="str">
        <f>IFERROR(_xlfn.CONCAT("E",('Configurable Tab'!$C$45+5)),"")</f>
        <v>E463</v>
      </c>
      <c r="D2376" s="1615" t="s">
        <v>1343</v>
      </c>
      <c r="E2376" s="766" t="s">
        <v>1734</v>
      </c>
      <c r="F2376" s="1615"/>
      <c r="G2376" s="1615"/>
      <c r="H2376" s="1615"/>
      <c r="I2376" s="1241" t="str">
        <f t="shared" si="298"/>
        <v>Incentive Expiration Date</v>
      </c>
      <c r="J2376" s="1615" t="str">
        <f t="shared" si="314"/>
        <v>F</v>
      </c>
      <c r="K2376" s="1615" t="str">
        <f t="shared" si="299"/>
        <v>Incentives</v>
      </c>
      <c r="L2376" s="1615"/>
      <c r="M2376" s="1615"/>
      <c r="N2376" s="1615"/>
      <c r="R2376" s="1688" t="s">
        <v>2217</v>
      </c>
      <c r="T2376" s="1615" t="str">
        <f>IF(Q$2361="Yes",M2370,"")</f>
        <v/>
      </c>
    </row>
    <row r="2377" spans="1:20" s="1613" customFormat="1" x14ac:dyDescent="0.25">
      <c r="A2377" s="983" t="s">
        <v>1373</v>
      </c>
      <c r="B2377" s="1241" t="str">
        <f>IFERROR(_xlfn.CONCAT("G",('Configurable Tab'!$C$45+1)),"")</f>
        <v>G459</v>
      </c>
      <c r="C2377" s="1241" t="str">
        <f>IFERROR(_xlfn.CONCAT("G",('Configurable Tab'!$C$45+2)),"")</f>
        <v>G460</v>
      </c>
      <c r="D2377" s="1615" t="s">
        <v>1343</v>
      </c>
      <c r="E2377" s="766" t="s">
        <v>1734</v>
      </c>
      <c r="F2377" s="1614"/>
      <c r="G2377" s="1040"/>
      <c r="H2377" s="1615"/>
      <c r="I2377" s="1241" t="str">
        <f t="shared" si="298"/>
        <v>Incentive Period</v>
      </c>
      <c r="J2377" s="1615" t="str">
        <f t="shared" si="314"/>
        <v>F</v>
      </c>
      <c r="K2377" s="1615" t="str">
        <f t="shared" si="299"/>
        <v>Incentives</v>
      </c>
      <c r="L2377" s="1615"/>
      <c r="M2377" s="1615"/>
      <c r="N2377" s="1615"/>
      <c r="R2377" s="1688" t="s">
        <v>2217</v>
      </c>
      <c r="T2377" s="1615" t="str">
        <f>IF(Q$2361="Yes",M2363,"")</f>
        <v/>
      </c>
    </row>
    <row r="2378" spans="1:20" s="1613" customFormat="1" x14ac:dyDescent="0.25">
      <c r="A2378" s="983" t="s">
        <v>1374</v>
      </c>
      <c r="B2378" s="1241" t="str">
        <f>IFERROR(_xlfn.CONCAT("I",('Configurable Tab'!$C$45+1)),"")</f>
        <v>I459</v>
      </c>
      <c r="C2378" s="1241" t="str">
        <f>IFERROR(_xlfn.CONCAT("I",('Configurable Tab'!$C$45+2)),"")</f>
        <v>I460</v>
      </c>
      <c r="D2378" s="1615" t="s">
        <v>1343</v>
      </c>
      <c r="E2378" s="766" t="s">
        <v>1734</v>
      </c>
      <c r="F2378" s="1615"/>
      <c r="G2378" s="1615"/>
      <c r="H2378" s="1615"/>
      <c r="I2378" s="1241" t="str">
        <f t="shared" si="298"/>
        <v>Payment Method</v>
      </c>
      <c r="J2378" s="1615" t="str">
        <f t="shared" si="314"/>
        <v>F</v>
      </c>
      <c r="K2378" s="1615" t="str">
        <f t="shared" si="299"/>
        <v>Incentives</v>
      </c>
      <c r="L2378" s="1615"/>
      <c r="M2378" s="1615"/>
      <c r="N2378" s="1615"/>
      <c r="R2378" s="1688" t="s">
        <v>2217</v>
      </c>
      <c r="T2378" s="1615" t="str">
        <f>IF(Q$2361="Yes",M2364,"")</f>
        <v/>
      </c>
    </row>
    <row r="2379" spans="1:20" s="1613" customFormat="1" x14ac:dyDescent="0.25">
      <c r="A2379" s="983" t="s">
        <v>833</v>
      </c>
      <c r="B2379" s="1241" t="str">
        <f>IFERROR(_xlfn.CONCAT("K",('Configurable Tab'!$C$45+1)),"")</f>
        <v>K459</v>
      </c>
      <c r="C2379" s="1241" t="str">
        <f>IFERROR(_xlfn.CONCAT("K",('Configurable Tab'!$C$45+2)),"")</f>
        <v>K460</v>
      </c>
      <c r="D2379" s="1615" t="s">
        <v>1343</v>
      </c>
      <c r="E2379" s="766" t="s">
        <v>1734</v>
      </c>
      <c r="F2379" s="1615"/>
      <c r="G2379" s="1615"/>
      <c r="H2379" s="1615"/>
      <c r="I2379" s="1241" t="str">
        <f t="shared" si="298"/>
        <v>Paid to:</v>
      </c>
      <c r="J2379" s="1615" t="str">
        <f t="shared" si="314"/>
        <v>F</v>
      </c>
      <c r="K2379" s="1615" t="str">
        <f t="shared" si="299"/>
        <v>Incentives</v>
      </c>
      <c r="L2379" s="1615"/>
      <c r="M2379" s="1615"/>
      <c r="N2379" s="1615"/>
      <c r="R2379" s="1688" t="s">
        <v>2217</v>
      </c>
      <c r="T2379" s="1615" t="str">
        <f>IF(Q$2361="Yes",M2365,"")</f>
        <v/>
      </c>
    </row>
    <row r="2380" spans="1:20" s="1613" customFormat="1" x14ac:dyDescent="0.25">
      <c r="A2380" s="983" t="s">
        <v>1375</v>
      </c>
      <c r="B2380" s="1241" t="str">
        <f>IFERROR(_xlfn.CONCAT("M",('Configurable Tab'!$C$45+1)),"")</f>
        <v>M459</v>
      </c>
      <c r="C2380" s="1241" t="str">
        <f>IFERROR(_xlfn.CONCAT("M",('Configurable Tab'!$C$45+2)),"")</f>
        <v>M460</v>
      </c>
      <c r="D2380" s="1615" t="s">
        <v>1343</v>
      </c>
      <c r="E2380" s="766" t="s">
        <v>1734</v>
      </c>
      <c r="F2380" s="1615"/>
      <c r="G2380" s="1615"/>
      <c r="H2380" s="1615"/>
      <c r="I2380" s="1241" t="str">
        <f t="shared" ref="I2380:I2443" si="315">IF(J2380&lt;&gt;"",A2380,"")</f>
        <v>AP/AR Vendor Number</v>
      </c>
      <c r="J2380" s="1615" t="str">
        <f t="shared" si="314"/>
        <v>F</v>
      </c>
      <c r="K2380" s="1615" t="str">
        <f t="shared" ref="K2380:K2443" si="316">IF(J2380&lt;&gt;"",E2380,"")</f>
        <v>Incentives</v>
      </c>
      <c r="L2380" s="1615"/>
      <c r="M2380" s="1615"/>
      <c r="N2380" s="1615"/>
      <c r="R2380" s="1688" t="s">
        <v>2217</v>
      </c>
      <c r="T2380" s="1615" t="str">
        <f>IF(Q$2361="Yes",M2366,"")</f>
        <v/>
      </c>
    </row>
    <row r="2381" spans="1:20" s="1613" customFormat="1" x14ac:dyDescent="0.25">
      <c r="A2381" s="983" t="s">
        <v>1382</v>
      </c>
      <c r="B2381" s="1241" t="str">
        <f>IFERROR(_xlfn.CONCAT("K",('Configurable Tab'!$C$45+4)),"")</f>
        <v>K462</v>
      </c>
      <c r="C2381" s="1241" t="str">
        <f>IFERROR(_xlfn.CONCAT("K",('Configurable Tab'!$C$45+5)),"")</f>
        <v>K463</v>
      </c>
      <c r="D2381" s="1615" t="s">
        <v>1343</v>
      </c>
      <c r="E2381" s="766" t="s">
        <v>1734</v>
      </c>
      <c r="F2381" s="1615"/>
      <c r="G2381" s="1615"/>
      <c r="H2381" s="1615"/>
      <c r="I2381" s="1241" t="str">
        <f t="shared" si="315"/>
        <v>Rate % of Sales</v>
      </c>
      <c r="J2381" s="1615" t="str">
        <f t="shared" si="314"/>
        <v>F</v>
      </c>
      <c r="K2381" s="1615" t="str">
        <f t="shared" si="316"/>
        <v>Incentives</v>
      </c>
      <c r="L2381" s="1615"/>
      <c r="M2381" s="1615"/>
      <c r="N2381" s="1615"/>
      <c r="R2381" s="1688" t="s">
        <v>2217</v>
      </c>
      <c r="T2381" s="1615" t="str">
        <f>IF(Q$2361="Yes",M2372,"")</f>
        <v/>
      </c>
    </row>
    <row r="2382" spans="1:20" s="1613"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5" t="s">
        <v>1483</v>
      </c>
      <c r="G2382" s="1615" t="str">
        <f>IF(T2382&lt;&gt;"","A","")</f>
        <v/>
      </c>
      <c r="H2382" s="1615" t="s">
        <v>1982</v>
      </c>
      <c r="I2382" s="1241" t="str">
        <f t="shared" si="315"/>
        <v/>
      </c>
      <c r="J2382" s="1615"/>
      <c r="K2382" s="1615" t="str">
        <f t="shared" si="316"/>
        <v/>
      </c>
      <c r="L2382" s="801" t="s">
        <v>1483</v>
      </c>
      <c r="M2382" s="1619">
        <v>1394</v>
      </c>
      <c r="N2382" s="1615"/>
      <c r="O2382" s="1613">
        <f>'Configurable Tab'!H61</f>
        <v>825</v>
      </c>
      <c r="R2382" s="1615" t="s">
        <v>2218</v>
      </c>
      <c r="T2382" s="1688" t="str">
        <f t="shared" ref="T2382:T2393" si="317">IF(Q$2383="Yes",59,"")</f>
        <v/>
      </c>
    </row>
    <row r="2383" spans="1:20" s="1613"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5"/>
      <c r="G2383" s="1615"/>
      <c r="H2383" s="1615"/>
      <c r="I2383" s="1241" t="str">
        <f t="shared" si="315"/>
        <v/>
      </c>
      <c r="J2383" s="1615" t="str">
        <f>IF(M2383&lt;&gt;"",IF($Q$2383="Yes",Q$1&amp;M2383,""))</f>
        <v/>
      </c>
      <c r="K2383" s="1615" t="str">
        <f t="shared" si="316"/>
        <v/>
      </c>
      <c r="L2383" s="801" t="s">
        <v>1697</v>
      </c>
      <c r="M2383" s="1619">
        <v>1395</v>
      </c>
      <c r="N2383" s="1615"/>
      <c r="O2383" s="1613" t="s">
        <v>726</v>
      </c>
      <c r="P2383" s="18" t="str">
        <f>'Configurable Tab'!J61</f>
        <v>Yes</v>
      </c>
      <c r="Q2383" s="1613" t="s">
        <v>648</v>
      </c>
      <c r="R2383" s="1688" t="s">
        <v>2218</v>
      </c>
      <c r="T2383" s="1688" t="str">
        <f t="shared" si="317"/>
        <v/>
      </c>
    </row>
    <row r="2384" spans="1:20" s="1613"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5" t="s">
        <v>1376</v>
      </c>
      <c r="G2384" s="1615" t="str">
        <f>IF(T2384&lt;&gt;"","B","")</f>
        <v/>
      </c>
      <c r="H2384" s="1615" t="s">
        <v>1982</v>
      </c>
      <c r="I2384" s="1241" t="str">
        <f t="shared" si="315"/>
        <v/>
      </c>
      <c r="J2384" s="1691"/>
      <c r="K2384" s="1615" t="str">
        <f t="shared" si="316"/>
        <v/>
      </c>
      <c r="L2384" s="801" t="s">
        <v>1376</v>
      </c>
      <c r="M2384" s="1619">
        <v>1396</v>
      </c>
      <c r="N2384" s="1615"/>
      <c r="O2384" s="1613">
        <f>'Configurable Tab'!I61</f>
        <v>838</v>
      </c>
      <c r="R2384" s="1688" t="s">
        <v>2218</v>
      </c>
      <c r="T2384" s="1688" t="str">
        <f t="shared" si="317"/>
        <v/>
      </c>
    </row>
    <row r="2385" spans="1:20" s="1613" customFormat="1" x14ac:dyDescent="0.25">
      <c r="A2385" s="818" t="s">
        <v>1373</v>
      </c>
      <c r="B2385" s="801" t="str">
        <f t="shared" ref="B2385:B2390" ca="1" si="318">_xlfn.CONCAT(IFERROR(SUBSTITUTE(ADDRESS(1,MATCH(A2385,INDIRECT("'"&amp;E2385&amp;"'"&amp;"!A" &amp; $O$2382+2 &amp; ":Z"&amp;$O$2382+2 ),0),4),1,""),""),$O$2382+2)</f>
        <v>H827</v>
      </c>
      <c r="C2385" s="801" t="str">
        <f t="shared" ref="C2385:C2390" ca="1" si="319">_xlfn.CONCAT(IFERROR(SUBSTITUTE(ADDRESS(1,MATCH(A2385,INDIRECT("'"&amp;E2385&amp;"'"&amp;"!A" &amp; $O$2382+2 &amp; ":Z"&amp;$O$2382+2 ),0),4),1,""),""),$O$2382+3)</f>
        <v>H828</v>
      </c>
      <c r="D2385" s="801" t="s">
        <v>1343</v>
      </c>
      <c r="E2385" s="801" t="s">
        <v>1508</v>
      </c>
      <c r="F2385" s="1615" t="s">
        <v>1983</v>
      </c>
      <c r="G2385" s="1615" t="str">
        <f>IF(T2385&lt;&gt;"","E","")</f>
        <v/>
      </c>
      <c r="H2385" s="1615" t="s">
        <v>1982</v>
      </c>
      <c r="I2385" s="1241" t="str">
        <f t="shared" si="315"/>
        <v/>
      </c>
      <c r="J2385" s="1691" t="str">
        <f t="shared" ref="J2385:J2394" si="320">IF(M2385&lt;&gt;"",IF($Q$2383="Yes",Q$1&amp;M2385,""))</f>
        <v/>
      </c>
      <c r="K2385" s="1615" t="str">
        <f t="shared" si="316"/>
        <v/>
      </c>
      <c r="L2385" s="801" t="s">
        <v>1373</v>
      </c>
      <c r="M2385" s="1619">
        <v>1397</v>
      </c>
      <c r="N2385" s="1615"/>
      <c r="O2385" s="1613" t="s">
        <v>2146</v>
      </c>
      <c r="R2385" s="1688" t="s">
        <v>2218</v>
      </c>
      <c r="T2385" s="1688" t="str">
        <f t="shared" si="317"/>
        <v/>
      </c>
    </row>
    <row r="2386" spans="1:20" s="1613" customFormat="1" x14ac:dyDescent="0.25">
      <c r="A2386" s="818" t="s">
        <v>1374</v>
      </c>
      <c r="B2386" s="801" t="str">
        <f t="shared" ca="1" si="318"/>
        <v>J827</v>
      </c>
      <c r="C2386" s="801" t="str">
        <f t="shared" ca="1" si="319"/>
        <v>J828</v>
      </c>
      <c r="D2386" s="801" t="s">
        <v>1343</v>
      </c>
      <c r="E2386" s="801" t="s">
        <v>1508</v>
      </c>
      <c r="F2386" s="1615" t="s">
        <v>1984</v>
      </c>
      <c r="G2386" s="1615" t="str">
        <f>IF(T2386&lt;&gt;"","I","")</f>
        <v/>
      </c>
      <c r="H2386" s="1615" t="s">
        <v>1982</v>
      </c>
      <c r="I2386" s="1241" t="str">
        <f t="shared" si="315"/>
        <v/>
      </c>
      <c r="J2386" s="1691" t="str">
        <f t="shared" si="320"/>
        <v/>
      </c>
      <c r="K2386" s="1615" t="str">
        <f t="shared" si="316"/>
        <v/>
      </c>
      <c r="L2386" s="801" t="s">
        <v>1374</v>
      </c>
      <c r="M2386" s="1619">
        <v>1398</v>
      </c>
      <c r="N2386" s="1615"/>
      <c r="R2386" s="1688" t="s">
        <v>2218</v>
      </c>
      <c r="T2386" s="1688" t="str">
        <f t="shared" si="317"/>
        <v/>
      </c>
    </row>
    <row r="2387" spans="1:20" s="1613" customFormat="1" x14ac:dyDescent="0.25">
      <c r="A2387" s="818" t="s">
        <v>1390</v>
      </c>
      <c r="B2387" s="801" t="str">
        <f t="shared" ca="1" si="318"/>
        <v>L827</v>
      </c>
      <c r="C2387" s="801" t="str">
        <f t="shared" ca="1" si="319"/>
        <v>L828</v>
      </c>
      <c r="D2387" s="801" t="s">
        <v>1343</v>
      </c>
      <c r="E2387" s="801" t="s">
        <v>1508</v>
      </c>
      <c r="F2387" s="1615" t="s">
        <v>1985</v>
      </c>
      <c r="G2387" s="1615" t="str">
        <f>IF(T2387&lt;&gt;"","H","")</f>
        <v/>
      </c>
      <c r="H2387" s="1615" t="s">
        <v>1982</v>
      </c>
      <c r="I2387" s="1241" t="str">
        <f t="shared" si="315"/>
        <v/>
      </c>
      <c r="J2387" s="1691" t="str">
        <f t="shared" si="320"/>
        <v/>
      </c>
      <c r="K2387" s="1615" t="str">
        <f t="shared" si="316"/>
        <v/>
      </c>
      <c r="L2387" s="801" t="s">
        <v>1390</v>
      </c>
      <c r="M2387" s="1619">
        <v>1399</v>
      </c>
      <c r="N2387" s="1615"/>
      <c r="R2387" s="1688" t="s">
        <v>2218</v>
      </c>
      <c r="T2387" s="1688" t="str">
        <f t="shared" si="317"/>
        <v/>
      </c>
    </row>
    <row r="2388" spans="1:20" s="1613" customFormat="1" x14ac:dyDescent="0.25">
      <c r="A2388" s="818" t="s">
        <v>1375</v>
      </c>
      <c r="B2388" s="801" t="str">
        <f t="shared" ca="1" si="318"/>
        <v>N827</v>
      </c>
      <c r="C2388" s="801" t="str">
        <f t="shared" ca="1" si="319"/>
        <v>N828</v>
      </c>
      <c r="D2388" s="801" t="s">
        <v>1343</v>
      </c>
      <c r="E2388" s="801" t="s">
        <v>1508</v>
      </c>
      <c r="F2388" s="1615" t="s">
        <v>1375</v>
      </c>
      <c r="G2388" s="1615" t="str">
        <f>IF(T2388&lt;&gt;"",IF(Q2386="Credit Memo","J",IF(Q2386="Check","K","")),"")</f>
        <v/>
      </c>
      <c r="H2388" s="1615" t="s">
        <v>1982</v>
      </c>
      <c r="I2388" s="1241" t="str">
        <f t="shared" si="315"/>
        <v/>
      </c>
      <c r="J2388" s="1691" t="str">
        <f t="shared" si="320"/>
        <v/>
      </c>
      <c r="K2388" s="1615" t="str">
        <f t="shared" si="316"/>
        <v/>
      </c>
      <c r="L2388" s="801" t="s">
        <v>1375</v>
      </c>
      <c r="M2388" s="1619">
        <v>1400</v>
      </c>
      <c r="N2388" s="1615"/>
      <c r="R2388" s="1688" t="s">
        <v>2218</v>
      </c>
      <c r="T2388" s="1688" t="str">
        <f t="shared" si="317"/>
        <v/>
      </c>
    </row>
    <row r="2389" spans="1:20" s="1613" customFormat="1" x14ac:dyDescent="0.25">
      <c r="A2389" s="818" t="s">
        <v>1479</v>
      </c>
      <c r="B2389" s="801" t="str">
        <f t="shared" ca="1" si="318"/>
        <v>R827</v>
      </c>
      <c r="C2389" s="801" t="str">
        <f t="shared" ca="1" si="319"/>
        <v>R828</v>
      </c>
      <c r="D2389" s="801" t="s">
        <v>1343</v>
      </c>
      <c r="E2389" s="801" t="s">
        <v>1508</v>
      </c>
      <c r="F2389" s="1615" t="s">
        <v>1987</v>
      </c>
      <c r="G2389" s="1615" t="str">
        <f>IF(T2389&lt;&gt;"","G","")</f>
        <v/>
      </c>
      <c r="H2389" s="1615" t="s">
        <v>1982</v>
      </c>
      <c r="I2389" s="1241" t="str">
        <f t="shared" si="315"/>
        <v/>
      </c>
      <c r="J2389" s="1691" t="str">
        <f t="shared" si="320"/>
        <v/>
      </c>
      <c r="K2389" s="1615" t="str">
        <f t="shared" si="316"/>
        <v/>
      </c>
      <c r="L2389" s="801" t="s">
        <v>1479</v>
      </c>
      <c r="M2389" s="1619">
        <v>1401</v>
      </c>
      <c r="N2389" s="1615"/>
      <c r="R2389" s="1688" t="s">
        <v>2218</v>
      </c>
      <c r="T2389" s="1688" t="str">
        <f t="shared" si="317"/>
        <v/>
      </c>
    </row>
    <row r="2390" spans="1:20" s="1613" customFormat="1" x14ac:dyDescent="0.25">
      <c r="A2390" s="818" t="s">
        <v>1480</v>
      </c>
      <c r="B2390" s="801" t="str">
        <f t="shared" ca="1" si="318"/>
        <v>T827</v>
      </c>
      <c r="C2390" s="801" t="str">
        <f t="shared" ca="1" si="319"/>
        <v>T828</v>
      </c>
      <c r="D2390" s="801" t="s">
        <v>1343</v>
      </c>
      <c r="E2390" s="801" t="s">
        <v>1508</v>
      </c>
      <c r="F2390" s="813" t="s">
        <v>1480</v>
      </c>
      <c r="G2390" s="1615" t="str">
        <f>IF(T2390&lt;&gt;"","AW","")</f>
        <v/>
      </c>
      <c r="H2390" s="1615" t="s">
        <v>1982</v>
      </c>
      <c r="I2390" s="1241" t="str">
        <f t="shared" si="315"/>
        <v/>
      </c>
      <c r="J2390" s="1691" t="str">
        <f t="shared" si="320"/>
        <v/>
      </c>
      <c r="K2390" s="1615" t="str">
        <f t="shared" si="316"/>
        <v/>
      </c>
      <c r="L2390" s="801" t="s">
        <v>1480</v>
      </c>
      <c r="M2390" s="1619">
        <v>1402</v>
      </c>
      <c r="N2390" s="1615"/>
      <c r="R2390" s="1688" t="s">
        <v>2218</v>
      </c>
      <c r="T2390" s="1688" t="str">
        <f t="shared" si="317"/>
        <v/>
      </c>
    </row>
    <row r="2391" spans="1:20" s="1613"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5" t="s">
        <v>1378</v>
      </c>
      <c r="G2391" s="1615" t="str">
        <f>IF(T2391&lt;&gt;"","C","")</f>
        <v/>
      </c>
      <c r="H2391" s="1615" t="s">
        <v>1982</v>
      </c>
      <c r="I2391" s="1241" t="str">
        <f t="shared" si="315"/>
        <v/>
      </c>
      <c r="J2391" s="1691" t="str">
        <f t="shared" si="320"/>
        <v/>
      </c>
      <c r="K2391" s="1615" t="str">
        <f t="shared" si="316"/>
        <v/>
      </c>
      <c r="L2391" s="801" t="s">
        <v>1378</v>
      </c>
      <c r="M2391" s="1619">
        <v>1403</v>
      </c>
      <c r="N2391" s="1615"/>
      <c r="R2391" s="1688" t="s">
        <v>2218</v>
      </c>
      <c r="T2391" s="1688" t="str">
        <f t="shared" si="317"/>
        <v/>
      </c>
    </row>
    <row r="2392" spans="1:20" s="1613"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5" t="s">
        <v>1379</v>
      </c>
      <c r="G2392" s="1615" t="str">
        <f>IF(T2392&lt;&gt;"","D","")</f>
        <v/>
      </c>
      <c r="H2392" s="1615" t="s">
        <v>1982</v>
      </c>
      <c r="I2392" s="1241" t="str">
        <f t="shared" si="315"/>
        <v/>
      </c>
      <c r="J2392" s="1691" t="str">
        <f t="shared" si="320"/>
        <v/>
      </c>
      <c r="K2392" s="1615" t="str">
        <f t="shared" si="316"/>
        <v/>
      </c>
      <c r="L2392" s="801" t="s">
        <v>1379</v>
      </c>
      <c r="M2392" s="1619">
        <v>1404</v>
      </c>
      <c r="N2392" s="1615"/>
      <c r="R2392" s="1688" t="s">
        <v>2218</v>
      </c>
      <c r="T2392" s="1688" t="str">
        <f t="shared" si="317"/>
        <v/>
      </c>
    </row>
    <row r="2393" spans="1:20" s="1613"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5" t="s">
        <v>1487</v>
      </c>
      <c r="G2393" s="1615" t="str">
        <f>IF(T2393&lt;&gt;"","AN","")</f>
        <v/>
      </c>
      <c r="H2393" s="1615" t="s">
        <v>1982</v>
      </c>
      <c r="I2393" s="1241" t="str">
        <f t="shared" si="315"/>
        <v/>
      </c>
      <c r="J2393" s="1691" t="str">
        <f t="shared" si="320"/>
        <v/>
      </c>
      <c r="K2393" s="1615" t="str">
        <f t="shared" si="316"/>
        <v/>
      </c>
      <c r="L2393" s="801" t="s">
        <v>1487</v>
      </c>
      <c r="M2393" s="1619">
        <v>1405</v>
      </c>
      <c r="N2393" s="1615"/>
      <c r="P2393" s="1615" t="str" cm="1">
        <f t="array" aca="1" ref="P2393" ca="1">_xlfn.CONCAT("F",RIGHT(B2393, LEN(B2393) - MAX(IF(ISNUMBER(MID(B2393, ROW(INDIRECT("1:"&amp;LEN(B2393))), 1) *1)=FALSE, ROW(INDIRECT("1:"&amp;LEN(B2393))), 0))))</f>
        <v>F835</v>
      </c>
      <c r="Q2393" s="1615" t="str" cm="1">
        <f t="array" aca="1" ref="Q2393" ca="1">_xlfn.CONCAT("E",RIGHT(C2393, LEN(C2393) - MAX(IF(ISNUMBER(MID(C2393, ROW(INDIRECT("1:"&amp;LEN(C2393))), 1) *1)=FALSE, ROW(INDIRECT("1:"&amp;LEN(C2393))), 0))))</f>
        <v>E835</v>
      </c>
      <c r="R2393" s="1688" t="s">
        <v>2218</v>
      </c>
      <c r="T2393" s="1688" t="str">
        <f t="shared" si="317"/>
        <v/>
      </c>
    </row>
    <row r="2394" spans="1:20" s="1613"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5" t="s">
        <v>1904</v>
      </c>
      <c r="G2394" s="1615" t="str">
        <f>IF(T2394&lt;&gt;"","O","")</f>
        <v/>
      </c>
      <c r="H2394" s="1615" t="s">
        <v>1982</v>
      </c>
      <c r="I2394" s="1241" t="str">
        <f t="shared" si="315"/>
        <v/>
      </c>
      <c r="J2394" s="1691" t="str">
        <f t="shared" si="320"/>
        <v/>
      </c>
      <c r="K2394" s="1615" t="str">
        <f t="shared" si="316"/>
        <v/>
      </c>
      <c r="L2394" s="801" t="s">
        <v>1382</v>
      </c>
      <c r="M2394" s="1616">
        <v>1406</v>
      </c>
      <c r="N2394" s="1615"/>
      <c r="R2394" s="1688" t="s">
        <v>2218</v>
      </c>
      <c r="T2394" s="1615" t="str">
        <f>IF(Q$2383="Yes",59,"")</f>
        <v/>
      </c>
    </row>
    <row r="2395" spans="1:20" s="1613" customFormat="1" x14ac:dyDescent="0.25">
      <c r="A2395" s="982" t="s">
        <v>523</v>
      </c>
      <c r="B2395" s="1241" t="str">
        <f>IFERROR(_xlfn.CONCAT("D",('Configurable Tab'!$C$46+1)),"")</f>
        <v>D467</v>
      </c>
      <c r="C2395" s="1241" t="str">
        <f>IFERROR(_xlfn.CONCAT("E",('Configurable Tab'!$C$46+1)),"")</f>
        <v>E467</v>
      </c>
      <c r="D2395" s="1615" t="s">
        <v>1343</v>
      </c>
      <c r="E2395" s="766" t="s">
        <v>1734</v>
      </c>
      <c r="F2395" s="1615"/>
      <c r="G2395" s="1615"/>
      <c r="H2395" s="1615"/>
      <c r="I2395" s="1241" t="str">
        <f t="shared" si="315"/>
        <v>Offer this Incentive?</v>
      </c>
      <c r="J2395" s="1615" t="str">
        <f>$Q$1&amp;T2395</f>
        <v>F</v>
      </c>
      <c r="K2395" s="1615" t="str">
        <f t="shared" si="316"/>
        <v>Incentives</v>
      </c>
      <c r="L2395" s="1615"/>
      <c r="M2395" s="1615"/>
      <c r="N2395" s="1615"/>
      <c r="O2395" s="1613" t="s">
        <v>2135</v>
      </c>
      <c r="P2395" s="18" t="str">
        <f>'Configurable Tab'!E46</f>
        <v>Yes</v>
      </c>
      <c r="Q2395" s="1241" t="str">
        <f>IFERROR(_xlfn.CONCAT("C",('Configurable Tab'!$C46+1)),"")</f>
        <v>C467</v>
      </c>
      <c r="R2395" s="1688" t="s">
        <v>2218</v>
      </c>
      <c r="T2395" s="1615" t="str">
        <f>IF(Q$2383="Yes",M2383,"")</f>
        <v/>
      </c>
    </row>
    <row r="2396" spans="1:20" s="1613" customFormat="1" x14ac:dyDescent="0.25">
      <c r="A2396" s="983" t="s">
        <v>1376</v>
      </c>
      <c r="B2396" s="1241" t="str">
        <f>IFERROR(_xlfn.CONCAT("D",('Configurable Tab'!$C$46+2)),"")</f>
        <v>D468</v>
      </c>
      <c r="C2396" s="1241" t="str">
        <f>IFERROR(_xlfn.CONCAT("E",('Configurable Tab'!$C$46+2)),"")</f>
        <v>E468</v>
      </c>
      <c r="D2396" s="1615" t="s">
        <v>1343</v>
      </c>
      <c r="E2396" s="766" t="s">
        <v>1734</v>
      </c>
      <c r="F2396" s="1615"/>
      <c r="G2396" s="1615"/>
      <c r="H2396" s="1615"/>
      <c r="I2396" s="1241" t="str">
        <f t="shared" si="315"/>
        <v>Incentive Type</v>
      </c>
      <c r="J2396" s="1615" t="str">
        <f t="shared" ref="J2396:J2403" si="321">$Q$1&amp;T2396</f>
        <v>F</v>
      </c>
      <c r="K2396" s="1615" t="str">
        <f t="shared" si="316"/>
        <v>Incentives</v>
      </c>
      <c r="L2396" s="1615"/>
      <c r="M2396" s="1615"/>
      <c r="N2396" s="1615"/>
      <c r="R2396" s="1688" t="s">
        <v>2218</v>
      </c>
      <c r="T2396" s="1615" t="str">
        <f>IF(Q$2383="Yes",M2384,"")</f>
        <v/>
      </c>
    </row>
    <row r="2397" spans="1:20" s="1613" customFormat="1" x14ac:dyDescent="0.25">
      <c r="A2397" s="983" t="s">
        <v>1378</v>
      </c>
      <c r="B2397" s="1241" t="str">
        <f>IFERROR(_xlfn.CONCAT("D",('Configurable Tab'!$C$46+4)),"")</f>
        <v>D470</v>
      </c>
      <c r="C2397" s="1241" t="str">
        <f>IFERROR(_xlfn.CONCAT("E",('Configurable Tab'!$C$46+4)),"")</f>
        <v>E470</v>
      </c>
      <c r="D2397" s="1615" t="s">
        <v>1343</v>
      </c>
      <c r="E2397" s="766" t="s">
        <v>1734</v>
      </c>
      <c r="F2397" s="1615"/>
      <c r="G2397" s="1615"/>
      <c r="H2397" s="1615"/>
      <c r="I2397" s="1241" t="str">
        <f t="shared" si="315"/>
        <v>Incentive Effective Date</v>
      </c>
      <c r="J2397" s="1615" t="str">
        <f t="shared" si="321"/>
        <v>F</v>
      </c>
      <c r="K2397" s="1615" t="str">
        <f t="shared" si="316"/>
        <v>Incentives</v>
      </c>
      <c r="L2397" s="1615"/>
      <c r="M2397" s="1615"/>
      <c r="N2397" s="1615"/>
      <c r="R2397" s="1688" t="s">
        <v>2218</v>
      </c>
      <c r="T2397" s="1615" t="str">
        <f>IF(Q$2383="Yes",M2391,"")</f>
        <v/>
      </c>
    </row>
    <row r="2398" spans="1:20" s="1613" customFormat="1" x14ac:dyDescent="0.25">
      <c r="A2398" s="983" t="s">
        <v>1379</v>
      </c>
      <c r="B2398" s="1241" t="str">
        <f>IFERROR(_xlfn.CONCAT("D",('Configurable Tab'!$C$46+5)),"")</f>
        <v>D471</v>
      </c>
      <c r="C2398" s="1241" t="str">
        <f>IFERROR(_xlfn.CONCAT("E",('Configurable Tab'!$C$46+5)),"")</f>
        <v>E471</v>
      </c>
      <c r="D2398" s="1615" t="s">
        <v>1343</v>
      </c>
      <c r="E2398" s="766" t="s">
        <v>1734</v>
      </c>
      <c r="F2398" s="1615"/>
      <c r="G2398" s="1615"/>
      <c r="H2398" s="1615"/>
      <c r="I2398" s="1241" t="str">
        <f t="shared" si="315"/>
        <v>Incentive Expiration Date</v>
      </c>
      <c r="J2398" s="1615" t="str">
        <f t="shared" si="321"/>
        <v>F</v>
      </c>
      <c r="K2398" s="1615" t="str">
        <f t="shared" si="316"/>
        <v>Incentives</v>
      </c>
      <c r="L2398" s="1615"/>
      <c r="M2398" s="1615"/>
      <c r="N2398" s="1615"/>
      <c r="R2398" s="1688" t="s">
        <v>2218</v>
      </c>
      <c r="T2398" s="1615" t="str">
        <f>IF(Q$2383="Yes",M2392,"")</f>
        <v/>
      </c>
    </row>
    <row r="2399" spans="1:20" s="1613" customFormat="1" x14ac:dyDescent="0.25">
      <c r="A2399" s="983" t="s">
        <v>1373</v>
      </c>
      <c r="B2399" s="1241" t="str">
        <f>IFERROR(_xlfn.CONCAT("G",('Configurable Tab'!$C$46+1)),"")</f>
        <v>G467</v>
      </c>
      <c r="C2399" s="1241" t="str">
        <f>IFERROR(_xlfn.CONCAT("G",('Configurable Tab'!$C$46+2)),"")</f>
        <v>G468</v>
      </c>
      <c r="D2399" s="1615" t="s">
        <v>1343</v>
      </c>
      <c r="E2399" s="766" t="s">
        <v>1734</v>
      </c>
      <c r="F2399" s="1614"/>
      <c r="G2399" s="1040"/>
      <c r="H2399" s="1615"/>
      <c r="I2399" s="1241" t="str">
        <f t="shared" si="315"/>
        <v>Incentive Period</v>
      </c>
      <c r="J2399" s="1615" t="str">
        <f t="shared" si="321"/>
        <v>F</v>
      </c>
      <c r="K2399" s="1615" t="str">
        <f t="shared" si="316"/>
        <v>Incentives</v>
      </c>
      <c r="L2399" s="1615"/>
      <c r="M2399" s="1615"/>
      <c r="N2399" s="1615"/>
      <c r="R2399" s="1688" t="s">
        <v>2218</v>
      </c>
      <c r="T2399" s="1615" t="str">
        <f>IF(Q$2383="Yes",M2385,"")</f>
        <v/>
      </c>
    </row>
    <row r="2400" spans="1:20" s="1613" customFormat="1" x14ac:dyDescent="0.25">
      <c r="A2400" s="983" t="s">
        <v>1374</v>
      </c>
      <c r="B2400" s="1241" t="str">
        <f>IFERROR(_xlfn.CONCAT("I",('Configurable Tab'!$C$46+1)),"")</f>
        <v>I467</v>
      </c>
      <c r="C2400" s="1241" t="str">
        <f>IFERROR(_xlfn.CONCAT("I",('Configurable Tab'!$C$46+2)),"")</f>
        <v>I468</v>
      </c>
      <c r="D2400" s="1615" t="s">
        <v>1343</v>
      </c>
      <c r="E2400" s="766" t="s">
        <v>1734</v>
      </c>
      <c r="F2400" s="1615"/>
      <c r="G2400" s="1615"/>
      <c r="H2400" s="1615"/>
      <c r="I2400" s="1241" t="str">
        <f t="shared" si="315"/>
        <v>Payment Method</v>
      </c>
      <c r="J2400" s="1615" t="str">
        <f t="shared" si="321"/>
        <v>F</v>
      </c>
      <c r="K2400" s="1615" t="str">
        <f t="shared" si="316"/>
        <v>Incentives</v>
      </c>
      <c r="L2400" s="1615"/>
      <c r="M2400" s="1615"/>
      <c r="N2400" s="1615"/>
      <c r="R2400" s="1688" t="s">
        <v>2218</v>
      </c>
      <c r="T2400" s="1615" t="str">
        <f>IF(Q$2383="Yes",M2386,"")</f>
        <v/>
      </c>
    </row>
    <row r="2401" spans="1:20" s="1613" customFormat="1" x14ac:dyDescent="0.25">
      <c r="A2401" s="983" t="s">
        <v>833</v>
      </c>
      <c r="B2401" s="1241" t="str">
        <f>IFERROR(_xlfn.CONCAT("K",('Configurable Tab'!$C$46+1)),"")</f>
        <v>K467</v>
      </c>
      <c r="C2401" s="1241" t="str">
        <f>IFERROR(_xlfn.CONCAT("K",('Configurable Tab'!$C$46+2)),"")</f>
        <v>K468</v>
      </c>
      <c r="D2401" s="1615" t="s">
        <v>1343</v>
      </c>
      <c r="E2401" s="766" t="s">
        <v>1734</v>
      </c>
      <c r="F2401" s="1615"/>
      <c r="G2401" s="1615"/>
      <c r="H2401" s="1615"/>
      <c r="I2401" s="1241" t="str">
        <f t="shared" si="315"/>
        <v>Paid to:</v>
      </c>
      <c r="J2401" s="1615" t="str">
        <f t="shared" si="321"/>
        <v>F</v>
      </c>
      <c r="K2401" s="1615" t="str">
        <f t="shared" si="316"/>
        <v>Incentives</v>
      </c>
      <c r="L2401" s="1615"/>
      <c r="M2401" s="1615"/>
      <c r="N2401" s="1615"/>
      <c r="R2401" s="1688" t="s">
        <v>2218</v>
      </c>
      <c r="T2401" s="1615" t="str">
        <f>IF(Q$2383="Yes",M2387,"")</f>
        <v/>
      </c>
    </row>
    <row r="2402" spans="1:20" s="1613" customFormat="1" x14ac:dyDescent="0.25">
      <c r="A2402" s="983" t="s">
        <v>1375</v>
      </c>
      <c r="B2402" s="1241" t="str">
        <f>IFERROR(_xlfn.CONCAT("M",('Configurable Tab'!$C$46+1)),"")</f>
        <v>M467</v>
      </c>
      <c r="C2402" s="1241" t="str">
        <f>IFERROR(_xlfn.CONCAT("M",('Configurable Tab'!$C$46+2)),"")</f>
        <v>M468</v>
      </c>
      <c r="D2402" s="1615" t="s">
        <v>1343</v>
      </c>
      <c r="E2402" s="766" t="s">
        <v>1734</v>
      </c>
      <c r="F2402" s="1615"/>
      <c r="G2402" s="1615"/>
      <c r="H2402" s="1615"/>
      <c r="I2402" s="1241" t="str">
        <f t="shared" si="315"/>
        <v>AP/AR Vendor Number</v>
      </c>
      <c r="J2402" s="1615" t="str">
        <f t="shared" si="321"/>
        <v>F</v>
      </c>
      <c r="K2402" s="1615" t="str">
        <f t="shared" si="316"/>
        <v>Incentives</v>
      </c>
      <c r="L2402" s="1615"/>
      <c r="M2402" s="1615"/>
      <c r="N2402" s="1615"/>
      <c r="R2402" s="1688" t="s">
        <v>2218</v>
      </c>
      <c r="T2402" s="1615" t="str">
        <f>IF(Q$2383="Yes",M2388,"")</f>
        <v/>
      </c>
    </row>
    <row r="2403" spans="1:20" s="1613" customFormat="1" x14ac:dyDescent="0.25">
      <c r="A2403" s="983" t="s">
        <v>1382</v>
      </c>
      <c r="B2403" s="1241" t="str">
        <f>IFERROR(_xlfn.CONCAT("K",('Configurable Tab'!$C$46+4)),"")</f>
        <v>K470</v>
      </c>
      <c r="C2403" s="1241" t="str">
        <f>IFERROR(_xlfn.CONCAT("K",('Configurable Tab'!$C$46+5)),"")</f>
        <v>K471</v>
      </c>
      <c r="D2403" s="1615" t="s">
        <v>1343</v>
      </c>
      <c r="E2403" s="766" t="s">
        <v>1734</v>
      </c>
      <c r="F2403" s="1615"/>
      <c r="G2403" s="1615"/>
      <c r="H2403" s="1615"/>
      <c r="I2403" s="1241" t="str">
        <f t="shared" si="315"/>
        <v>Rate % of Sales</v>
      </c>
      <c r="J2403" s="1615" t="str">
        <f t="shared" si="321"/>
        <v>F</v>
      </c>
      <c r="K2403" s="1615" t="str">
        <f t="shared" si="316"/>
        <v>Incentives</v>
      </c>
      <c r="L2403" s="1615"/>
      <c r="M2403" s="1615"/>
      <c r="N2403" s="1615"/>
      <c r="R2403" s="1688" t="s">
        <v>2218</v>
      </c>
      <c r="T2403" s="1615" t="str">
        <f>IF(Q$2383="Yes",M2394,"")</f>
        <v/>
      </c>
    </row>
    <row r="2404" spans="1:20" s="1620"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315"/>
        <v>Pyramid Segment</v>
      </c>
      <c r="J2404" s="1621" t="str">
        <f>IF(AND(P2504="",M2404&lt;&gt;""),Q$1&amp;M2404,"")</f>
        <v>F1408</v>
      </c>
      <c r="K2404" s="1621" t="str">
        <f t="shared" si="316"/>
        <v>Customer Inputs</v>
      </c>
      <c r="L2404" s="766" t="s">
        <v>1175</v>
      </c>
      <c r="M2404" s="1622">
        <v>1408</v>
      </c>
      <c r="N2404" s="766"/>
    </row>
    <row r="2405" spans="1:20" s="1620" customFormat="1" x14ac:dyDescent="0.25">
      <c r="A2405" s="808" t="s">
        <v>1255</v>
      </c>
      <c r="B2405" s="766" t="str">
        <f t="shared" ref="B2405:B2413" ca="1" si="322">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315"/>
        <v>Agreement Annual Purchase Commitment</v>
      </c>
      <c r="J2405" s="1621" t="str">
        <f>Q$1&amp;IF(Q2405&lt;&gt;"",M2405,M2407)</f>
        <v>F1412</v>
      </c>
      <c r="K2405" s="1621" t="str">
        <f t="shared" si="316"/>
        <v>Customer Inputs</v>
      </c>
      <c r="L2405" s="52" t="s">
        <v>1255</v>
      </c>
      <c r="M2405" s="1622">
        <v>1410</v>
      </c>
      <c r="N2405" s="766"/>
    </row>
    <row r="2406" spans="1:20" s="1620" customFormat="1" ht="30" x14ac:dyDescent="0.25">
      <c r="A2406" s="807" t="s">
        <v>1256</v>
      </c>
      <c r="B2406" s="766" t="str">
        <f t="shared" ca="1" si="322"/>
        <v>J16</v>
      </c>
      <c r="C2406" s="766" t="str">
        <f ca="1">_xlfn.IFNA(SUBSTITUTE(ADDRESS(1,MATCH(A2406,INDIRECT("'"&amp;E2406&amp;"'"&amp;"!A5:Z5"),0),4),1,""),"")</f>
        <v>J</v>
      </c>
      <c r="D2406" s="766" t="s">
        <v>1350</v>
      </c>
      <c r="E2406" s="766" t="s">
        <v>865</v>
      </c>
      <c r="F2406" s="766"/>
      <c r="G2406" s="766"/>
      <c r="H2406" s="766"/>
      <c r="I2406" s="1241" t="str">
        <f t="shared" si="315"/>
        <v>Agreement Deliveries Per Customer Unit Per Week</v>
      </c>
      <c r="J2406" s="1621" t="str">
        <f>Q$1&amp;IF(Q2406&lt;&gt;"",M2406,M2408)</f>
        <v>F1413</v>
      </c>
      <c r="K2406" s="1621" t="str">
        <f t="shared" si="316"/>
        <v>Customer Inputs</v>
      </c>
      <c r="L2406" s="766" t="s">
        <v>1256</v>
      </c>
      <c r="M2406" s="1622">
        <v>1411</v>
      </c>
      <c r="N2406" s="766"/>
    </row>
    <row r="2407" spans="1:20" s="1620"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315"/>
        <v/>
      </c>
      <c r="J2407" s="1621"/>
      <c r="K2407" s="1621" t="str">
        <f t="shared" si="316"/>
        <v/>
      </c>
      <c r="L2407" s="766" t="s">
        <v>1178</v>
      </c>
      <c r="M2407" s="1622">
        <v>1412</v>
      </c>
      <c r="N2407" s="766"/>
      <c r="O2407" s="1620" t="s">
        <v>863</v>
      </c>
    </row>
    <row r="2408" spans="1:20" s="1620"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315"/>
        <v/>
      </c>
      <c r="J2408" s="1621"/>
      <c r="K2408" s="1621" t="str">
        <f t="shared" si="316"/>
        <v/>
      </c>
      <c r="L2408" s="800" t="s">
        <v>1179</v>
      </c>
      <c r="M2408" s="1622">
        <v>1413</v>
      </c>
      <c r="N2408" s="766"/>
      <c r="O2408" s="1620" t="s">
        <v>1176</v>
      </c>
    </row>
    <row r="2409" spans="1:20" s="1620"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315"/>
        <v/>
      </c>
      <c r="J2409" s="1621"/>
      <c r="K2409" s="1621" t="str">
        <f t="shared" si="316"/>
        <v/>
      </c>
      <c r="L2409" s="800" t="s">
        <v>1180</v>
      </c>
      <c r="M2409" s="1622">
        <v>1414</v>
      </c>
      <c r="N2409" s="766"/>
      <c r="O2409" s="1620" t="s">
        <v>1183</v>
      </c>
    </row>
    <row r="2410" spans="1:20" s="1620"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315"/>
        <v/>
      </c>
      <c r="J2410" s="1621"/>
      <c r="K2410" s="1621" t="str">
        <f t="shared" si="316"/>
        <v/>
      </c>
      <c r="L2410" s="800" t="s">
        <v>1181</v>
      </c>
      <c r="M2410" s="1622">
        <v>1415</v>
      </c>
      <c r="N2410" s="766"/>
      <c r="O2410" s="1620" t="s">
        <v>1177</v>
      </c>
    </row>
    <row r="2411" spans="1:20" s="1620" customFormat="1" x14ac:dyDescent="0.25">
      <c r="A2411" s="809" t="s">
        <v>1182</v>
      </c>
      <c r="B2411" s="766" t="str">
        <f t="shared" ca="1" si="322"/>
        <v>U16</v>
      </c>
      <c r="C2411" s="766" t="str">
        <f t="shared" ref="C2411:C2416" ca="1" si="323">_xlfn.IFNA(SUBSTITUTE(ADDRESS(1,MATCH(A2411,INDIRECT("'"&amp;E2411&amp;"'"&amp;"!A5:Z5"),0),4),1,""),"")</f>
        <v>U</v>
      </c>
      <c r="D2411" s="766" t="s">
        <v>1350</v>
      </c>
      <c r="E2411" s="766" t="s">
        <v>865</v>
      </c>
      <c r="F2411" s="766"/>
      <c r="G2411" s="766"/>
      <c r="H2411" s="766"/>
      <c r="I2411" s="1241" t="str">
        <f t="shared" si="315"/>
        <v/>
      </c>
      <c r="J2411" s="1621"/>
      <c r="K2411" s="1621" t="str">
        <f t="shared" si="316"/>
        <v/>
      </c>
      <c r="L2411" s="800" t="s">
        <v>1182</v>
      </c>
      <c r="M2411" s="1622">
        <v>1416</v>
      </c>
      <c r="N2411" s="766"/>
    </row>
    <row r="2412" spans="1:20" s="1620" customFormat="1" x14ac:dyDescent="0.25">
      <c r="A2412" s="809" t="s">
        <v>1332</v>
      </c>
      <c r="B2412" s="766" t="str">
        <f t="shared" ca="1" si="322"/>
        <v>V16</v>
      </c>
      <c r="C2412" s="766" t="str">
        <f t="shared" ca="1" si="323"/>
        <v>V</v>
      </c>
      <c r="D2412" s="766" t="s">
        <v>1350</v>
      </c>
      <c r="E2412" s="766" t="s">
        <v>865</v>
      </c>
      <c r="F2412" s="766"/>
      <c r="G2412" s="766"/>
      <c r="H2412" s="766"/>
      <c r="I2412" s="1241" t="str">
        <f t="shared" si="315"/>
        <v/>
      </c>
      <c r="J2412" s="1621"/>
      <c r="K2412" s="1621" t="str">
        <f t="shared" si="316"/>
        <v/>
      </c>
      <c r="L2412" s="800" t="s">
        <v>1421</v>
      </c>
      <c r="M2412" s="1622">
        <v>1417</v>
      </c>
      <c r="N2412" s="766"/>
    </row>
    <row r="2413" spans="1:20" s="1620" customFormat="1" x14ac:dyDescent="0.25">
      <c r="A2413" s="809" t="s">
        <v>1623</v>
      </c>
      <c r="B2413" s="766" t="str">
        <f t="shared" ca="1" si="322"/>
        <v>W16</v>
      </c>
      <c r="C2413" s="766" t="str">
        <f t="shared" ca="1" si="323"/>
        <v>W</v>
      </c>
      <c r="D2413" s="766" t="s">
        <v>1350</v>
      </c>
      <c r="E2413" s="766" t="s">
        <v>865</v>
      </c>
      <c r="F2413" s="766"/>
      <c r="G2413" s="766"/>
      <c r="H2413" s="766"/>
      <c r="I2413" s="1241" t="str">
        <f t="shared" si="315"/>
        <v>Add or End Customer</v>
      </c>
      <c r="J2413" s="1621" t="str">
        <f>IF(M2413&lt;&gt;"",Q$1&amp;M2413,"")</f>
        <v>F1418</v>
      </c>
      <c r="K2413" s="1621" t="str">
        <f t="shared" si="316"/>
        <v>Customer Inputs</v>
      </c>
      <c r="L2413" s="800" t="s">
        <v>1623</v>
      </c>
      <c r="M2413" s="1621">
        <v>1418</v>
      </c>
      <c r="N2413" s="766"/>
    </row>
    <row r="2414" spans="1:20" s="1620" customFormat="1" x14ac:dyDescent="0.25">
      <c r="A2414" s="810" t="s">
        <v>1175</v>
      </c>
      <c r="B2414" s="766" t="str">
        <f ca="1">_xlfn.IFNA(_xlfn.CONCAT(SUBSTITUTE(ADDRESS(1,MATCH(A2414,INDIRECT("'"&amp;E2414&amp;"'"&amp;"!A5:Z5"),0),4),1,""),17),"")</f>
        <v>H17</v>
      </c>
      <c r="C2414" s="766" t="str">
        <f t="shared" ca="1" si="323"/>
        <v>H</v>
      </c>
      <c r="D2414" s="766" t="s">
        <v>1350</v>
      </c>
      <c r="E2414" s="766" t="s">
        <v>865</v>
      </c>
      <c r="F2414" s="766"/>
      <c r="G2414" s="766"/>
      <c r="H2414" s="766"/>
      <c r="I2414" s="1241" t="str">
        <f t="shared" si="315"/>
        <v>Pyramid Segment</v>
      </c>
      <c r="J2414" s="1621" t="str">
        <f>IF(AND(P2505="",M2414&lt;&gt;""),Q$1&amp;M2414,"")</f>
        <v>F1429</v>
      </c>
      <c r="K2414" s="1621" t="str">
        <f t="shared" si="316"/>
        <v>Customer Inputs</v>
      </c>
      <c r="L2414" s="766" t="s">
        <v>1175</v>
      </c>
      <c r="M2414" s="1621">
        <v>1429</v>
      </c>
      <c r="N2414" s="766"/>
    </row>
    <row r="2415" spans="1:20" s="1620" customFormat="1" x14ac:dyDescent="0.25">
      <c r="A2415" s="811" t="s">
        <v>1255</v>
      </c>
      <c r="B2415" s="766" t="str">
        <f t="shared" ref="B2415:B2423" ca="1" si="324">_xlfn.IFNA(_xlfn.CONCAT(SUBSTITUTE(ADDRESS(1,MATCH(A2415,INDIRECT("'"&amp;E2415&amp;"'"&amp;"!A5:Z5"),0),4),1,""),17),"")</f>
        <v>I17</v>
      </c>
      <c r="C2415" s="766" t="str">
        <f t="shared" ca="1" si="323"/>
        <v>I</v>
      </c>
      <c r="D2415" s="766" t="s">
        <v>1350</v>
      </c>
      <c r="E2415" s="766" t="s">
        <v>865</v>
      </c>
      <c r="F2415" s="766"/>
      <c r="G2415" s="766"/>
      <c r="H2415" s="766"/>
      <c r="I2415" s="1241" t="str">
        <f t="shared" si="315"/>
        <v>Agreement Annual Purchase Commitment</v>
      </c>
      <c r="J2415" s="1621" t="str">
        <f>Q$1&amp;IF(Q2415&lt;&gt;"",M2415,M2417)</f>
        <v>F1433</v>
      </c>
      <c r="K2415" s="1621" t="str">
        <f t="shared" si="316"/>
        <v>Customer Inputs</v>
      </c>
      <c r="L2415" s="52" t="s">
        <v>1255</v>
      </c>
      <c r="M2415" s="1621">
        <v>1431</v>
      </c>
      <c r="N2415" s="766"/>
    </row>
    <row r="2416" spans="1:20" s="1620" customFormat="1" ht="30" x14ac:dyDescent="0.25">
      <c r="A2416" s="810" t="s">
        <v>1256</v>
      </c>
      <c r="B2416" s="766" t="str">
        <f t="shared" ca="1" si="324"/>
        <v>J17</v>
      </c>
      <c r="C2416" s="766" t="str">
        <f t="shared" ca="1" si="323"/>
        <v>J</v>
      </c>
      <c r="D2416" s="766" t="s">
        <v>1350</v>
      </c>
      <c r="E2416" s="766" t="s">
        <v>865</v>
      </c>
      <c r="F2416" s="766"/>
      <c r="G2416" s="766"/>
      <c r="H2416" s="766"/>
      <c r="I2416" s="1241" t="str">
        <f t="shared" si="315"/>
        <v>Agreement Deliveries Per Customer Unit Per Week</v>
      </c>
      <c r="J2416" s="1621" t="str">
        <f>Q$1&amp;IF(Q2416&lt;&gt;"",M2416,M2418)</f>
        <v>F1434</v>
      </c>
      <c r="K2416" s="1621" t="str">
        <f t="shared" si="316"/>
        <v>Customer Inputs</v>
      </c>
      <c r="L2416" s="766" t="s">
        <v>1256</v>
      </c>
      <c r="M2416" s="1621">
        <v>1432</v>
      </c>
      <c r="N2416" s="766"/>
    </row>
    <row r="2417" spans="1:15" s="1620"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315"/>
        <v/>
      </c>
      <c r="J2417" s="1621"/>
      <c r="K2417" s="1621" t="str">
        <f t="shared" si="316"/>
        <v/>
      </c>
      <c r="L2417" s="766" t="s">
        <v>1178</v>
      </c>
      <c r="M2417" s="1621">
        <v>1433</v>
      </c>
      <c r="N2417" s="766"/>
      <c r="O2417" s="1620" t="s">
        <v>863</v>
      </c>
    </row>
    <row r="2418" spans="1:15" s="1620"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315"/>
        <v/>
      </c>
      <c r="J2418" s="1621"/>
      <c r="K2418" s="1621" t="str">
        <f t="shared" si="316"/>
        <v/>
      </c>
      <c r="L2418" s="800" t="s">
        <v>1179</v>
      </c>
      <c r="M2418" s="1621">
        <v>1434</v>
      </c>
      <c r="N2418" s="766"/>
      <c r="O2418" s="1620" t="s">
        <v>1176</v>
      </c>
    </row>
    <row r="2419" spans="1:15" s="1620"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315"/>
        <v/>
      </c>
      <c r="J2419" s="1621"/>
      <c r="K2419" s="1621" t="str">
        <f t="shared" si="316"/>
        <v/>
      </c>
      <c r="L2419" s="800" t="s">
        <v>1180</v>
      </c>
      <c r="M2419" s="1621">
        <v>1435</v>
      </c>
      <c r="N2419" s="766"/>
      <c r="O2419" s="1620" t="s">
        <v>1183</v>
      </c>
    </row>
    <row r="2420" spans="1:15" s="1620"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315"/>
        <v/>
      </c>
      <c r="J2420" s="1621"/>
      <c r="K2420" s="1621" t="str">
        <f t="shared" si="316"/>
        <v/>
      </c>
      <c r="L2420" s="800" t="s">
        <v>1181</v>
      </c>
      <c r="M2420" s="1621">
        <v>1436</v>
      </c>
      <c r="N2420" s="766"/>
      <c r="O2420" s="1620" t="s">
        <v>1177</v>
      </c>
    </row>
    <row r="2421" spans="1:15" s="1620" customFormat="1" x14ac:dyDescent="0.25">
      <c r="A2421" s="812" t="s">
        <v>1182</v>
      </c>
      <c r="B2421" s="766" t="str">
        <f t="shared" ca="1" si="324"/>
        <v>U17</v>
      </c>
      <c r="C2421" s="766" t="str">
        <f t="shared" ref="C2421:C2426" ca="1" si="325">_xlfn.IFNA(SUBSTITUTE(ADDRESS(1,MATCH(A2421,INDIRECT("'"&amp;E2421&amp;"'"&amp;"!A5:Z5"),0),4),1,""),"")</f>
        <v>U</v>
      </c>
      <c r="D2421" s="766" t="s">
        <v>1350</v>
      </c>
      <c r="E2421" s="766" t="s">
        <v>865</v>
      </c>
      <c r="F2421" s="766"/>
      <c r="G2421" s="766"/>
      <c r="H2421" s="766"/>
      <c r="I2421" s="1241" t="str">
        <f t="shared" si="315"/>
        <v/>
      </c>
      <c r="J2421" s="1621"/>
      <c r="K2421" s="1621" t="str">
        <f t="shared" si="316"/>
        <v/>
      </c>
      <c r="L2421" s="800" t="s">
        <v>1182</v>
      </c>
      <c r="M2421" s="1621">
        <v>1437</v>
      </c>
      <c r="N2421" s="766"/>
    </row>
    <row r="2422" spans="1:15" s="1620" customFormat="1" x14ac:dyDescent="0.25">
      <c r="A2422" s="812" t="s">
        <v>1332</v>
      </c>
      <c r="B2422" s="766" t="str">
        <f t="shared" ca="1" si="324"/>
        <v>V17</v>
      </c>
      <c r="C2422" s="766" t="str">
        <f t="shared" ca="1" si="325"/>
        <v>V</v>
      </c>
      <c r="D2422" s="766" t="s">
        <v>1350</v>
      </c>
      <c r="E2422" s="766" t="s">
        <v>865</v>
      </c>
      <c r="F2422" s="766"/>
      <c r="G2422" s="766"/>
      <c r="H2422" s="766"/>
      <c r="I2422" s="1241" t="str">
        <f t="shared" si="315"/>
        <v/>
      </c>
      <c r="J2422" s="1621"/>
      <c r="K2422" s="1621" t="str">
        <f t="shared" si="316"/>
        <v/>
      </c>
      <c r="L2422" s="800" t="s">
        <v>1421</v>
      </c>
      <c r="M2422" s="1621">
        <v>1438</v>
      </c>
      <c r="N2422" s="766"/>
    </row>
    <row r="2423" spans="1:15" s="1620" customFormat="1" x14ac:dyDescent="0.25">
      <c r="A2423" s="812" t="s">
        <v>1623</v>
      </c>
      <c r="B2423" s="766" t="str">
        <f t="shared" ca="1" si="324"/>
        <v>W17</v>
      </c>
      <c r="C2423" s="766" t="str">
        <f t="shared" ca="1" si="325"/>
        <v>W</v>
      </c>
      <c r="D2423" s="766" t="s">
        <v>1350</v>
      </c>
      <c r="E2423" s="766" t="s">
        <v>865</v>
      </c>
      <c r="F2423" s="766"/>
      <c r="G2423" s="766"/>
      <c r="H2423" s="766"/>
      <c r="I2423" s="1241" t="str">
        <f t="shared" si="315"/>
        <v>Add or End Customer</v>
      </c>
      <c r="J2423" s="1621" t="str">
        <f>IF(M2423&lt;&gt;"",Q$1&amp;M2423,"")</f>
        <v>F1439</v>
      </c>
      <c r="K2423" s="1621" t="str">
        <f t="shared" si="316"/>
        <v>Customer Inputs</v>
      </c>
      <c r="L2423" s="800" t="s">
        <v>1623</v>
      </c>
      <c r="M2423" s="1621">
        <v>1439</v>
      </c>
      <c r="N2423" s="766"/>
    </row>
    <row r="2424" spans="1:15" s="1620" customFormat="1" x14ac:dyDescent="0.25">
      <c r="A2424" s="807" t="s">
        <v>1175</v>
      </c>
      <c r="B2424" s="766" t="str">
        <f ca="1">_xlfn.IFNA(_xlfn.CONCAT(SUBSTITUTE(ADDRESS(1,MATCH(A2424,INDIRECT("'"&amp;E2424&amp;"'"&amp;"!A5:Z5"),0),4),1,""),18),"")</f>
        <v>H18</v>
      </c>
      <c r="C2424" s="766" t="str">
        <f t="shared" ca="1" si="325"/>
        <v>H</v>
      </c>
      <c r="D2424" s="766" t="s">
        <v>1350</v>
      </c>
      <c r="E2424" s="766" t="s">
        <v>865</v>
      </c>
      <c r="F2424" s="766"/>
      <c r="G2424" s="766"/>
      <c r="H2424" s="766"/>
      <c r="I2424" s="1241" t="str">
        <f t="shared" si="315"/>
        <v>Pyramid Segment</v>
      </c>
      <c r="J2424" s="1621" t="str">
        <f>IF(AND(P2506="",M2424&lt;&gt;""),Q$1&amp;M2424,"")</f>
        <v>F1450</v>
      </c>
      <c r="K2424" s="1621" t="str">
        <f t="shared" si="316"/>
        <v>Customer Inputs</v>
      </c>
      <c r="L2424" s="766" t="s">
        <v>1175</v>
      </c>
      <c r="M2424" s="1621">
        <v>1450</v>
      </c>
      <c r="N2424" s="766"/>
    </row>
    <row r="2425" spans="1:15" s="1620" customFormat="1" x14ac:dyDescent="0.25">
      <c r="A2425" s="808" t="s">
        <v>1255</v>
      </c>
      <c r="B2425" s="766" t="str">
        <f t="shared" ref="B2425:B2433" ca="1" si="326">_xlfn.IFNA(_xlfn.CONCAT(SUBSTITUTE(ADDRESS(1,MATCH(A2425,INDIRECT("'"&amp;E2425&amp;"'"&amp;"!A5:Z5"),0),4),1,""),18),"")</f>
        <v>I18</v>
      </c>
      <c r="C2425" s="766" t="str">
        <f t="shared" ca="1" si="325"/>
        <v>I</v>
      </c>
      <c r="D2425" s="766" t="s">
        <v>1350</v>
      </c>
      <c r="E2425" s="766" t="s">
        <v>865</v>
      </c>
      <c r="F2425" s="766"/>
      <c r="G2425" s="766"/>
      <c r="H2425" s="766"/>
      <c r="I2425" s="1241" t="str">
        <f t="shared" si="315"/>
        <v>Agreement Annual Purchase Commitment</v>
      </c>
      <c r="J2425" s="1621" t="str">
        <f>Q$1&amp;IF(Q2425&lt;&gt;"",M2425,M2427)</f>
        <v>F1454</v>
      </c>
      <c r="K2425" s="1621" t="str">
        <f t="shared" si="316"/>
        <v>Customer Inputs</v>
      </c>
      <c r="L2425" s="52" t="s">
        <v>1255</v>
      </c>
      <c r="M2425" s="1621">
        <v>1452</v>
      </c>
      <c r="N2425" s="766"/>
    </row>
    <row r="2426" spans="1:15" s="1620" customFormat="1" ht="30" x14ac:dyDescent="0.25">
      <c r="A2426" s="807" t="s">
        <v>1256</v>
      </c>
      <c r="B2426" s="766" t="str">
        <f t="shared" ca="1" si="326"/>
        <v>J18</v>
      </c>
      <c r="C2426" s="766" t="str">
        <f t="shared" ca="1" si="325"/>
        <v>J</v>
      </c>
      <c r="D2426" s="766" t="s">
        <v>1350</v>
      </c>
      <c r="E2426" s="766" t="s">
        <v>865</v>
      </c>
      <c r="F2426" s="766"/>
      <c r="G2426" s="766"/>
      <c r="H2426" s="766"/>
      <c r="I2426" s="1241" t="str">
        <f t="shared" si="315"/>
        <v>Agreement Deliveries Per Customer Unit Per Week</v>
      </c>
      <c r="J2426" s="1621" t="str">
        <f>Q$1&amp;IF(Q2426&lt;&gt;"",M2426,M2428)</f>
        <v>F1455</v>
      </c>
      <c r="K2426" s="1621" t="str">
        <f t="shared" si="316"/>
        <v>Customer Inputs</v>
      </c>
      <c r="L2426" s="766" t="s">
        <v>1256</v>
      </c>
      <c r="M2426" s="1621">
        <v>1453</v>
      </c>
      <c r="N2426" s="766"/>
    </row>
    <row r="2427" spans="1:15" s="1620"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315"/>
        <v/>
      </c>
      <c r="J2427" s="1621"/>
      <c r="K2427" s="1621" t="str">
        <f t="shared" si="316"/>
        <v/>
      </c>
      <c r="L2427" s="766" t="s">
        <v>1178</v>
      </c>
      <c r="M2427" s="1621">
        <v>1454</v>
      </c>
      <c r="N2427" s="766"/>
      <c r="O2427" s="1620" t="s">
        <v>863</v>
      </c>
    </row>
    <row r="2428" spans="1:15" s="1620"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315"/>
        <v/>
      </c>
      <c r="J2428" s="1621"/>
      <c r="K2428" s="1621" t="str">
        <f t="shared" si="316"/>
        <v/>
      </c>
      <c r="L2428" s="800" t="s">
        <v>1179</v>
      </c>
      <c r="M2428" s="1621">
        <v>1455</v>
      </c>
      <c r="N2428" s="766"/>
      <c r="O2428" s="1620" t="s">
        <v>1176</v>
      </c>
    </row>
    <row r="2429" spans="1:15" s="1620"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315"/>
        <v/>
      </c>
      <c r="J2429" s="1621"/>
      <c r="K2429" s="1621" t="str">
        <f t="shared" si="316"/>
        <v/>
      </c>
      <c r="L2429" s="800" t="s">
        <v>1180</v>
      </c>
      <c r="M2429" s="1621">
        <v>1456</v>
      </c>
      <c r="N2429" s="766"/>
      <c r="O2429" s="1620" t="s">
        <v>1183</v>
      </c>
    </row>
    <row r="2430" spans="1:15" s="1620"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315"/>
        <v/>
      </c>
      <c r="J2430" s="1621"/>
      <c r="K2430" s="1621" t="str">
        <f t="shared" si="316"/>
        <v/>
      </c>
      <c r="L2430" s="800" t="s">
        <v>1181</v>
      </c>
      <c r="M2430" s="1621">
        <v>1457</v>
      </c>
      <c r="N2430" s="766"/>
      <c r="O2430" s="1620" t="s">
        <v>1177</v>
      </c>
    </row>
    <row r="2431" spans="1:15" s="1620" customFormat="1" x14ac:dyDescent="0.25">
      <c r="A2431" s="809" t="s">
        <v>1182</v>
      </c>
      <c r="B2431" s="766" t="str">
        <f t="shared" ca="1" si="326"/>
        <v>U18</v>
      </c>
      <c r="C2431" s="766" t="str">
        <f t="shared" ref="C2431:C2436" ca="1" si="327">_xlfn.IFNA(SUBSTITUTE(ADDRESS(1,MATCH(A2431,INDIRECT("'"&amp;E2431&amp;"'"&amp;"!A5:Z5"),0),4),1,""),"")</f>
        <v>U</v>
      </c>
      <c r="D2431" s="766" t="s">
        <v>1350</v>
      </c>
      <c r="E2431" s="766" t="s">
        <v>865</v>
      </c>
      <c r="F2431" s="766"/>
      <c r="G2431" s="766"/>
      <c r="H2431" s="766"/>
      <c r="I2431" s="1241" t="str">
        <f t="shared" si="315"/>
        <v/>
      </c>
      <c r="J2431" s="1621"/>
      <c r="K2431" s="1621" t="str">
        <f t="shared" si="316"/>
        <v/>
      </c>
      <c r="L2431" s="800" t="s">
        <v>1182</v>
      </c>
      <c r="M2431" s="1621">
        <v>1458</v>
      </c>
      <c r="N2431" s="766"/>
    </row>
    <row r="2432" spans="1:15" s="1620" customFormat="1" x14ac:dyDescent="0.25">
      <c r="A2432" s="809" t="s">
        <v>1332</v>
      </c>
      <c r="B2432" s="766" t="str">
        <f t="shared" ca="1" si="326"/>
        <v>V18</v>
      </c>
      <c r="C2432" s="766" t="str">
        <f t="shared" ca="1" si="327"/>
        <v>V</v>
      </c>
      <c r="D2432" s="766" t="s">
        <v>1350</v>
      </c>
      <c r="E2432" s="766" t="s">
        <v>865</v>
      </c>
      <c r="F2432" s="766"/>
      <c r="G2432" s="766"/>
      <c r="H2432" s="766"/>
      <c r="I2432" s="1241" t="str">
        <f t="shared" si="315"/>
        <v/>
      </c>
      <c r="J2432" s="1621"/>
      <c r="K2432" s="1621" t="str">
        <f t="shared" si="316"/>
        <v/>
      </c>
      <c r="L2432" s="800" t="s">
        <v>1421</v>
      </c>
      <c r="M2432" s="1621">
        <v>1459</v>
      </c>
      <c r="N2432" s="766"/>
    </row>
    <row r="2433" spans="1:15" s="1620" customFormat="1" x14ac:dyDescent="0.25">
      <c r="A2433" s="809" t="s">
        <v>1623</v>
      </c>
      <c r="B2433" s="766" t="str">
        <f t="shared" ca="1" si="326"/>
        <v>W18</v>
      </c>
      <c r="C2433" s="766" t="str">
        <f t="shared" ca="1" si="327"/>
        <v>W</v>
      </c>
      <c r="D2433" s="766" t="s">
        <v>1350</v>
      </c>
      <c r="E2433" s="766" t="s">
        <v>865</v>
      </c>
      <c r="F2433" s="766"/>
      <c r="G2433" s="766"/>
      <c r="H2433" s="766"/>
      <c r="I2433" s="1241" t="str">
        <f t="shared" si="315"/>
        <v>Add or End Customer</v>
      </c>
      <c r="J2433" s="1621" t="str">
        <f>IF(M2433&lt;&gt;"",Q$1&amp;M2433,"")</f>
        <v>F1460</v>
      </c>
      <c r="K2433" s="1621" t="str">
        <f t="shared" si="316"/>
        <v>Customer Inputs</v>
      </c>
      <c r="L2433" s="800" t="s">
        <v>1623</v>
      </c>
      <c r="M2433" s="1621">
        <v>1460</v>
      </c>
      <c r="N2433" s="766"/>
    </row>
    <row r="2434" spans="1:15" s="1620" customFormat="1" x14ac:dyDescent="0.25">
      <c r="A2434" s="810" t="s">
        <v>1175</v>
      </c>
      <c r="B2434" s="766" t="str">
        <f ca="1">_xlfn.IFNA(_xlfn.CONCAT(SUBSTITUTE(ADDRESS(1,MATCH(A2434,INDIRECT("'"&amp;E2434&amp;"'"&amp;"!A5:Z5"),0),4),1,""),19),"")</f>
        <v>H19</v>
      </c>
      <c r="C2434" s="766" t="str">
        <f t="shared" ca="1" si="327"/>
        <v>H</v>
      </c>
      <c r="D2434" s="766" t="s">
        <v>1350</v>
      </c>
      <c r="E2434" s="766" t="s">
        <v>865</v>
      </c>
      <c r="F2434" s="766"/>
      <c r="G2434" s="766"/>
      <c r="H2434" s="766"/>
      <c r="I2434" s="1241" t="str">
        <f t="shared" si="315"/>
        <v>Pyramid Segment</v>
      </c>
      <c r="J2434" s="1621" t="str">
        <f>IF(AND(P2507="",M2434&lt;&gt;""),Q$1&amp;M2434,"")</f>
        <v>F1471</v>
      </c>
      <c r="K2434" s="1621" t="str">
        <f t="shared" si="316"/>
        <v>Customer Inputs</v>
      </c>
      <c r="L2434" s="766" t="s">
        <v>1175</v>
      </c>
      <c r="M2434" s="1621">
        <v>1471</v>
      </c>
      <c r="N2434" s="766"/>
    </row>
    <row r="2435" spans="1:15" s="1620" customFormat="1" x14ac:dyDescent="0.25">
      <c r="A2435" s="811" t="s">
        <v>1255</v>
      </c>
      <c r="B2435" s="766" t="str">
        <f t="shared" ref="B2435:B2443" ca="1" si="328">_xlfn.IFNA(_xlfn.CONCAT(SUBSTITUTE(ADDRESS(1,MATCH(A2435,INDIRECT("'"&amp;E2435&amp;"'"&amp;"!A5:Z5"),0),4),1,""),19),"")</f>
        <v>I19</v>
      </c>
      <c r="C2435" s="766" t="str">
        <f t="shared" ca="1" si="327"/>
        <v>I</v>
      </c>
      <c r="D2435" s="766" t="s">
        <v>1350</v>
      </c>
      <c r="E2435" s="766" t="s">
        <v>865</v>
      </c>
      <c r="F2435" s="766"/>
      <c r="G2435" s="766"/>
      <c r="H2435" s="766"/>
      <c r="I2435" s="1241" t="str">
        <f t="shared" si="315"/>
        <v>Agreement Annual Purchase Commitment</v>
      </c>
      <c r="J2435" s="1621" t="str">
        <f>Q$1&amp;IF(Q2435&lt;&gt;"",M2435,M2437)</f>
        <v>F1475</v>
      </c>
      <c r="K2435" s="1621" t="str">
        <f t="shared" si="316"/>
        <v>Customer Inputs</v>
      </c>
      <c r="L2435" s="52" t="s">
        <v>1255</v>
      </c>
      <c r="M2435" s="1621">
        <v>1473</v>
      </c>
      <c r="N2435" s="766"/>
    </row>
    <row r="2436" spans="1:15" s="1620" customFormat="1" ht="30" x14ac:dyDescent="0.25">
      <c r="A2436" s="810" t="s">
        <v>1256</v>
      </c>
      <c r="B2436" s="766" t="str">
        <f t="shared" ca="1" si="328"/>
        <v>J19</v>
      </c>
      <c r="C2436" s="766" t="str">
        <f t="shared" ca="1" si="327"/>
        <v>J</v>
      </c>
      <c r="D2436" s="766" t="s">
        <v>1350</v>
      </c>
      <c r="E2436" s="766" t="s">
        <v>865</v>
      </c>
      <c r="F2436" s="766"/>
      <c r="G2436" s="766"/>
      <c r="H2436" s="766"/>
      <c r="I2436" s="1241" t="str">
        <f t="shared" si="315"/>
        <v>Agreement Deliveries Per Customer Unit Per Week</v>
      </c>
      <c r="J2436" s="1621" t="str">
        <f>Q$1&amp;IF(Q2436&lt;&gt;"",M2436,M2438)</f>
        <v>F1476</v>
      </c>
      <c r="K2436" s="1621" t="str">
        <f t="shared" si="316"/>
        <v>Customer Inputs</v>
      </c>
      <c r="L2436" s="766" t="s">
        <v>1256</v>
      </c>
      <c r="M2436" s="1621">
        <v>1474</v>
      </c>
      <c r="N2436" s="766"/>
    </row>
    <row r="2437" spans="1:15" s="1620"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315"/>
        <v/>
      </c>
      <c r="J2437" s="1621"/>
      <c r="K2437" s="1621" t="str">
        <f t="shared" si="316"/>
        <v/>
      </c>
      <c r="L2437" s="766" t="s">
        <v>1178</v>
      </c>
      <c r="M2437" s="1621">
        <v>1475</v>
      </c>
      <c r="N2437" s="766"/>
      <c r="O2437" s="1620" t="s">
        <v>863</v>
      </c>
    </row>
    <row r="2438" spans="1:15" s="1620"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315"/>
        <v/>
      </c>
      <c r="J2438" s="1621"/>
      <c r="K2438" s="1621" t="str">
        <f t="shared" si="316"/>
        <v/>
      </c>
      <c r="L2438" s="800" t="s">
        <v>1179</v>
      </c>
      <c r="M2438" s="1621">
        <v>1476</v>
      </c>
      <c r="N2438" s="766"/>
      <c r="O2438" s="1620" t="s">
        <v>1176</v>
      </c>
    </row>
    <row r="2439" spans="1:15" s="1620"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315"/>
        <v/>
      </c>
      <c r="J2439" s="1621"/>
      <c r="K2439" s="1621" t="str">
        <f t="shared" si="316"/>
        <v/>
      </c>
      <c r="L2439" s="800" t="s">
        <v>1180</v>
      </c>
      <c r="M2439" s="1621">
        <v>1477</v>
      </c>
      <c r="N2439" s="766"/>
      <c r="O2439" s="1620" t="s">
        <v>1183</v>
      </c>
    </row>
    <row r="2440" spans="1:15" s="1620"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315"/>
        <v/>
      </c>
      <c r="J2440" s="1621"/>
      <c r="K2440" s="1621" t="str">
        <f t="shared" si="316"/>
        <v/>
      </c>
      <c r="L2440" s="800" t="s">
        <v>1181</v>
      </c>
      <c r="M2440" s="1621">
        <v>1478</v>
      </c>
      <c r="N2440" s="766"/>
      <c r="O2440" s="1620" t="s">
        <v>1177</v>
      </c>
    </row>
    <row r="2441" spans="1:15" s="1620" customFormat="1" x14ac:dyDescent="0.25">
      <c r="A2441" s="812" t="s">
        <v>1182</v>
      </c>
      <c r="B2441" s="766" t="str">
        <f t="shared" ca="1" si="328"/>
        <v>U19</v>
      </c>
      <c r="C2441" s="766" t="str">
        <f t="shared" ref="C2441:C2446" ca="1" si="329">_xlfn.IFNA(SUBSTITUTE(ADDRESS(1,MATCH(A2441,INDIRECT("'"&amp;E2441&amp;"'"&amp;"!A5:Z5"),0),4),1,""),"")</f>
        <v>U</v>
      </c>
      <c r="D2441" s="766" t="s">
        <v>1350</v>
      </c>
      <c r="E2441" s="766" t="s">
        <v>865</v>
      </c>
      <c r="F2441" s="766"/>
      <c r="G2441" s="766"/>
      <c r="H2441" s="766"/>
      <c r="I2441" s="1241" t="str">
        <f t="shared" si="315"/>
        <v/>
      </c>
      <c r="J2441" s="1621"/>
      <c r="K2441" s="1621" t="str">
        <f t="shared" si="316"/>
        <v/>
      </c>
      <c r="L2441" s="800" t="s">
        <v>1182</v>
      </c>
      <c r="M2441" s="1621">
        <v>1479</v>
      </c>
      <c r="N2441" s="766"/>
    </row>
    <row r="2442" spans="1:15" s="1620" customFormat="1" x14ac:dyDescent="0.25">
      <c r="A2442" s="812" t="s">
        <v>1332</v>
      </c>
      <c r="B2442" s="766" t="str">
        <f t="shared" ca="1" si="328"/>
        <v>V19</v>
      </c>
      <c r="C2442" s="766" t="str">
        <f t="shared" ca="1" si="329"/>
        <v>V</v>
      </c>
      <c r="D2442" s="766" t="s">
        <v>1350</v>
      </c>
      <c r="E2442" s="766" t="s">
        <v>865</v>
      </c>
      <c r="F2442" s="766"/>
      <c r="G2442" s="766"/>
      <c r="H2442" s="766"/>
      <c r="I2442" s="1241" t="str">
        <f t="shared" si="315"/>
        <v/>
      </c>
      <c r="J2442" s="1621"/>
      <c r="K2442" s="1621" t="str">
        <f t="shared" si="316"/>
        <v/>
      </c>
      <c r="L2442" s="800" t="s">
        <v>1421</v>
      </c>
      <c r="M2442" s="1621">
        <v>1480</v>
      </c>
      <c r="N2442" s="766"/>
    </row>
    <row r="2443" spans="1:15" s="1620" customFormat="1" x14ac:dyDescent="0.25">
      <c r="A2443" s="812" t="s">
        <v>1623</v>
      </c>
      <c r="B2443" s="766" t="str">
        <f t="shared" ca="1" si="328"/>
        <v>W19</v>
      </c>
      <c r="C2443" s="766" t="str">
        <f t="shared" ca="1" si="329"/>
        <v>W</v>
      </c>
      <c r="D2443" s="766" t="s">
        <v>1350</v>
      </c>
      <c r="E2443" s="766" t="s">
        <v>865</v>
      </c>
      <c r="F2443" s="766"/>
      <c r="G2443" s="766"/>
      <c r="H2443" s="766"/>
      <c r="I2443" s="1241" t="str">
        <f t="shared" si="315"/>
        <v>Add or End Customer</v>
      </c>
      <c r="J2443" s="1621" t="str">
        <f>IF(M2443&lt;&gt;"",Q$1&amp;M2443,"")</f>
        <v>F1481</v>
      </c>
      <c r="K2443" s="1621" t="str">
        <f t="shared" si="316"/>
        <v>Customer Inputs</v>
      </c>
      <c r="L2443" s="800" t="s">
        <v>1623</v>
      </c>
      <c r="M2443" s="1621">
        <v>1481</v>
      </c>
      <c r="N2443" s="766"/>
    </row>
    <row r="2444" spans="1:15" s="1620" customFormat="1" x14ac:dyDescent="0.25">
      <c r="A2444" s="807" t="s">
        <v>1175</v>
      </c>
      <c r="B2444" s="766" t="str">
        <f ca="1">_xlfn.IFNA(_xlfn.CONCAT(SUBSTITUTE(ADDRESS(1,MATCH(A2444,INDIRECT("'"&amp;E2444&amp;"'"&amp;"!A5:Z5"),0),4),1,""),20),"")</f>
        <v>H20</v>
      </c>
      <c r="C2444" s="766" t="str">
        <f t="shared" ca="1" si="329"/>
        <v>H</v>
      </c>
      <c r="D2444" s="766" t="s">
        <v>1350</v>
      </c>
      <c r="E2444" s="766" t="s">
        <v>865</v>
      </c>
      <c r="F2444" s="766"/>
      <c r="G2444" s="766"/>
      <c r="H2444" s="766"/>
      <c r="I2444" s="1241" t="str">
        <f t="shared" ref="I2444:I2507" si="330">IF(J2444&lt;&gt;"",A2444,"")</f>
        <v>Pyramid Segment</v>
      </c>
      <c r="J2444" s="1621" t="str">
        <f>IF(AND(P2508="",M2444&lt;&gt;""),Q$1&amp;M2444,"")</f>
        <v>F1492</v>
      </c>
      <c r="K2444" s="1621" t="str">
        <f t="shared" ref="K2444:K2507" si="331">IF(J2444&lt;&gt;"",E2444,"")</f>
        <v>Customer Inputs</v>
      </c>
      <c r="L2444" s="766" t="s">
        <v>1175</v>
      </c>
      <c r="M2444" s="1621">
        <v>1492</v>
      </c>
      <c r="N2444" s="766"/>
    </row>
    <row r="2445" spans="1:15" s="1620" customFormat="1" x14ac:dyDescent="0.25">
      <c r="A2445" s="808" t="s">
        <v>1255</v>
      </c>
      <c r="B2445" s="766" t="str">
        <f t="shared" ref="B2445:B2453" ca="1" si="332">_xlfn.IFNA(_xlfn.CONCAT(SUBSTITUTE(ADDRESS(1,MATCH(A2445,INDIRECT("'"&amp;E2445&amp;"'"&amp;"!A5:Z5"),0),4),1,""),20),"")</f>
        <v>I20</v>
      </c>
      <c r="C2445" s="766" t="str">
        <f t="shared" ca="1" si="329"/>
        <v>I</v>
      </c>
      <c r="D2445" s="766" t="s">
        <v>1350</v>
      </c>
      <c r="E2445" s="766" t="s">
        <v>865</v>
      </c>
      <c r="F2445" s="766"/>
      <c r="G2445" s="766"/>
      <c r="H2445" s="766"/>
      <c r="I2445" s="1241" t="str">
        <f t="shared" si="330"/>
        <v>Agreement Annual Purchase Commitment</v>
      </c>
      <c r="J2445" s="1621" t="str">
        <f>Q$1&amp;IF(Q2445&lt;&gt;"",M2445,M2447)</f>
        <v>F1496</v>
      </c>
      <c r="K2445" s="1621" t="str">
        <f t="shared" si="331"/>
        <v>Customer Inputs</v>
      </c>
      <c r="L2445" s="52" t="s">
        <v>1255</v>
      </c>
      <c r="M2445" s="1621">
        <v>1494</v>
      </c>
      <c r="N2445" s="766"/>
    </row>
    <row r="2446" spans="1:15" s="1620" customFormat="1" ht="30" x14ac:dyDescent="0.25">
      <c r="A2446" s="807" t="s">
        <v>1256</v>
      </c>
      <c r="B2446" s="766" t="str">
        <f t="shared" ca="1" si="332"/>
        <v>J20</v>
      </c>
      <c r="C2446" s="766" t="str">
        <f t="shared" ca="1" si="329"/>
        <v>J</v>
      </c>
      <c r="D2446" s="766" t="s">
        <v>1350</v>
      </c>
      <c r="E2446" s="766" t="s">
        <v>865</v>
      </c>
      <c r="F2446" s="766"/>
      <c r="G2446" s="766"/>
      <c r="H2446" s="766"/>
      <c r="I2446" s="1241" t="str">
        <f t="shared" si="330"/>
        <v>Agreement Deliveries Per Customer Unit Per Week</v>
      </c>
      <c r="J2446" s="1621" t="str">
        <f>Q$1&amp;IF(Q2446&lt;&gt;"",M2446,M2448)</f>
        <v>F1497</v>
      </c>
      <c r="K2446" s="1621" t="str">
        <f t="shared" si="331"/>
        <v>Customer Inputs</v>
      </c>
      <c r="L2446" s="766" t="s">
        <v>1256</v>
      </c>
      <c r="M2446" s="1621">
        <v>1495</v>
      </c>
      <c r="N2446" s="766"/>
    </row>
    <row r="2447" spans="1:15" s="1620"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330"/>
        <v/>
      </c>
      <c r="J2447" s="1621"/>
      <c r="K2447" s="1621" t="str">
        <f t="shared" si="331"/>
        <v/>
      </c>
      <c r="L2447" s="766" t="s">
        <v>1178</v>
      </c>
      <c r="M2447" s="1621">
        <v>1496</v>
      </c>
      <c r="N2447" s="766"/>
      <c r="O2447" s="1620" t="s">
        <v>863</v>
      </c>
    </row>
    <row r="2448" spans="1:15" s="1620"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330"/>
        <v/>
      </c>
      <c r="J2448" s="1621"/>
      <c r="K2448" s="1621" t="str">
        <f t="shared" si="331"/>
        <v/>
      </c>
      <c r="L2448" s="800" t="s">
        <v>1179</v>
      </c>
      <c r="M2448" s="1621">
        <v>1497</v>
      </c>
      <c r="N2448" s="766"/>
      <c r="O2448" s="1620" t="s">
        <v>1176</v>
      </c>
    </row>
    <row r="2449" spans="1:15" s="1620"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330"/>
        <v/>
      </c>
      <c r="J2449" s="1621"/>
      <c r="K2449" s="1621" t="str">
        <f t="shared" si="331"/>
        <v/>
      </c>
      <c r="L2449" s="800" t="s">
        <v>1180</v>
      </c>
      <c r="M2449" s="1621">
        <v>1498</v>
      </c>
      <c r="N2449" s="766"/>
      <c r="O2449" s="1620" t="s">
        <v>1183</v>
      </c>
    </row>
    <row r="2450" spans="1:15" s="1620"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330"/>
        <v/>
      </c>
      <c r="J2450" s="1621"/>
      <c r="K2450" s="1621" t="str">
        <f t="shared" si="331"/>
        <v/>
      </c>
      <c r="L2450" s="800" t="s">
        <v>1181</v>
      </c>
      <c r="M2450" s="1621">
        <v>1499</v>
      </c>
      <c r="N2450" s="766"/>
      <c r="O2450" s="1620" t="s">
        <v>1177</v>
      </c>
    </row>
    <row r="2451" spans="1:15" s="1620" customFormat="1" x14ac:dyDescent="0.25">
      <c r="A2451" s="809" t="s">
        <v>1182</v>
      </c>
      <c r="B2451" s="766" t="str">
        <f t="shared" ca="1" si="332"/>
        <v>U20</v>
      </c>
      <c r="C2451" s="766" t="str">
        <f t="shared" ref="C2451:C2456" ca="1" si="333">_xlfn.IFNA(SUBSTITUTE(ADDRESS(1,MATCH(A2451,INDIRECT("'"&amp;E2451&amp;"'"&amp;"!A5:Z5"),0),4),1,""),"")</f>
        <v>U</v>
      </c>
      <c r="D2451" s="766" t="s">
        <v>1350</v>
      </c>
      <c r="E2451" s="766" t="s">
        <v>865</v>
      </c>
      <c r="F2451" s="766"/>
      <c r="G2451" s="766"/>
      <c r="H2451" s="766"/>
      <c r="I2451" s="1241" t="str">
        <f t="shared" si="330"/>
        <v/>
      </c>
      <c r="J2451" s="1621"/>
      <c r="K2451" s="1621" t="str">
        <f t="shared" si="331"/>
        <v/>
      </c>
      <c r="L2451" s="800" t="s">
        <v>1182</v>
      </c>
      <c r="M2451" s="1621">
        <v>1500</v>
      </c>
      <c r="N2451" s="766"/>
    </row>
    <row r="2452" spans="1:15" s="1620" customFormat="1" x14ac:dyDescent="0.25">
      <c r="A2452" s="809" t="s">
        <v>1332</v>
      </c>
      <c r="B2452" s="766" t="str">
        <f t="shared" ca="1" si="332"/>
        <v>V20</v>
      </c>
      <c r="C2452" s="766" t="str">
        <f t="shared" ca="1" si="333"/>
        <v>V</v>
      </c>
      <c r="D2452" s="766" t="s">
        <v>1350</v>
      </c>
      <c r="E2452" s="766" t="s">
        <v>865</v>
      </c>
      <c r="F2452" s="766"/>
      <c r="G2452" s="766"/>
      <c r="H2452" s="766"/>
      <c r="I2452" s="1241" t="str">
        <f t="shared" si="330"/>
        <v/>
      </c>
      <c r="J2452" s="1621"/>
      <c r="K2452" s="1621" t="str">
        <f t="shared" si="331"/>
        <v/>
      </c>
      <c r="L2452" s="800" t="s">
        <v>1421</v>
      </c>
      <c r="M2452" s="1621">
        <v>1501</v>
      </c>
      <c r="N2452" s="766"/>
    </row>
    <row r="2453" spans="1:15" s="1620" customFormat="1" x14ac:dyDescent="0.25">
      <c r="A2453" s="809" t="s">
        <v>1623</v>
      </c>
      <c r="B2453" s="766" t="str">
        <f t="shared" ca="1" si="332"/>
        <v>W20</v>
      </c>
      <c r="C2453" s="766" t="str">
        <f t="shared" ca="1" si="333"/>
        <v>W</v>
      </c>
      <c r="D2453" s="766" t="s">
        <v>1350</v>
      </c>
      <c r="E2453" s="766" t="s">
        <v>865</v>
      </c>
      <c r="F2453" s="766"/>
      <c r="G2453" s="766"/>
      <c r="H2453" s="766"/>
      <c r="I2453" s="1241" t="str">
        <f t="shared" si="330"/>
        <v>Add or End Customer</v>
      </c>
      <c r="J2453" s="1621" t="str">
        <f>IF(M2453&lt;&gt;"",Q$1&amp;M2453,"")</f>
        <v>F1502</v>
      </c>
      <c r="K2453" s="1621" t="str">
        <f t="shared" si="331"/>
        <v>Customer Inputs</v>
      </c>
      <c r="L2453" s="800" t="s">
        <v>1623</v>
      </c>
      <c r="M2453" s="1621">
        <v>1502</v>
      </c>
      <c r="N2453" s="766"/>
    </row>
    <row r="2454" spans="1:15" s="1620" customFormat="1" x14ac:dyDescent="0.25">
      <c r="A2454" s="810" t="s">
        <v>1175</v>
      </c>
      <c r="B2454" s="766" t="str">
        <f ca="1">_xlfn.IFNA(_xlfn.CONCAT(SUBSTITUTE(ADDRESS(1,MATCH(A2454,INDIRECT("'"&amp;E2454&amp;"'"&amp;"!A5:Z5"),0),4),1,""),21),"")</f>
        <v>H21</v>
      </c>
      <c r="C2454" s="766" t="str">
        <f t="shared" ca="1" si="333"/>
        <v>H</v>
      </c>
      <c r="D2454" s="766" t="s">
        <v>1350</v>
      </c>
      <c r="E2454" s="766" t="s">
        <v>865</v>
      </c>
      <c r="F2454" s="766"/>
      <c r="G2454" s="766"/>
      <c r="H2454" s="766"/>
      <c r="I2454" s="1241" t="str">
        <f t="shared" si="330"/>
        <v>Pyramid Segment</v>
      </c>
      <c r="J2454" s="1621" t="str">
        <f>IF(AND(P2509="",M2454&lt;&gt;""),Q$1&amp;M2454,"")</f>
        <v>F1513</v>
      </c>
      <c r="K2454" s="1621" t="str">
        <f t="shared" si="331"/>
        <v>Customer Inputs</v>
      </c>
      <c r="L2454" s="766" t="s">
        <v>1175</v>
      </c>
      <c r="M2454" s="1621">
        <v>1513</v>
      </c>
      <c r="N2454" s="766"/>
    </row>
    <row r="2455" spans="1:15" s="1620" customFormat="1" x14ac:dyDescent="0.25">
      <c r="A2455" s="811" t="s">
        <v>1255</v>
      </c>
      <c r="B2455" s="766" t="str">
        <f t="shared" ref="B2455:B2463" ca="1" si="334">_xlfn.IFNA(_xlfn.CONCAT(SUBSTITUTE(ADDRESS(1,MATCH(A2455,INDIRECT("'"&amp;E2455&amp;"'"&amp;"!A5:Z5"),0),4),1,""),21),"")</f>
        <v>I21</v>
      </c>
      <c r="C2455" s="766" t="str">
        <f t="shared" ca="1" si="333"/>
        <v>I</v>
      </c>
      <c r="D2455" s="766" t="s">
        <v>1350</v>
      </c>
      <c r="E2455" s="766" t="s">
        <v>865</v>
      </c>
      <c r="F2455" s="766"/>
      <c r="G2455" s="766"/>
      <c r="H2455" s="766"/>
      <c r="I2455" s="1241" t="str">
        <f t="shared" si="330"/>
        <v>Agreement Annual Purchase Commitment</v>
      </c>
      <c r="J2455" s="1621" t="str">
        <f>Q$1&amp;IF(Q2455&lt;&gt;"",M2455,M2457)</f>
        <v>F1517</v>
      </c>
      <c r="K2455" s="1621" t="str">
        <f t="shared" si="331"/>
        <v>Customer Inputs</v>
      </c>
      <c r="L2455" s="52" t="s">
        <v>1255</v>
      </c>
      <c r="M2455" s="1621">
        <v>1515</v>
      </c>
      <c r="N2455" s="766"/>
    </row>
    <row r="2456" spans="1:15" s="1620" customFormat="1" ht="30" x14ac:dyDescent="0.25">
      <c r="A2456" s="810" t="s">
        <v>1256</v>
      </c>
      <c r="B2456" s="766" t="str">
        <f t="shared" ca="1" si="334"/>
        <v>J21</v>
      </c>
      <c r="C2456" s="766" t="str">
        <f t="shared" ca="1" si="333"/>
        <v>J</v>
      </c>
      <c r="D2456" s="766" t="s">
        <v>1350</v>
      </c>
      <c r="E2456" s="766" t="s">
        <v>865</v>
      </c>
      <c r="F2456" s="766"/>
      <c r="G2456" s="766"/>
      <c r="H2456" s="766"/>
      <c r="I2456" s="1241" t="str">
        <f t="shared" si="330"/>
        <v>Agreement Deliveries Per Customer Unit Per Week</v>
      </c>
      <c r="J2456" s="1621" t="str">
        <f>Q$1&amp;IF(Q2456&lt;&gt;"",M2456,M2458)</f>
        <v>F1518</v>
      </c>
      <c r="K2456" s="1621" t="str">
        <f t="shared" si="331"/>
        <v>Customer Inputs</v>
      </c>
      <c r="L2456" s="766" t="s">
        <v>1256</v>
      </c>
      <c r="M2456" s="1621">
        <v>1516</v>
      </c>
      <c r="N2456" s="766"/>
    </row>
    <row r="2457" spans="1:15" s="1620"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330"/>
        <v/>
      </c>
      <c r="J2457" s="1621"/>
      <c r="K2457" s="1621" t="str">
        <f t="shared" si="331"/>
        <v/>
      </c>
      <c r="L2457" s="766" t="s">
        <v>1178</v>
      </c>
      <c r="M2457" s="1621">
        <v>1517</v>
      </c>
      <c r="N2457" s="766"/>
      <c r="O2457" s="1620" t="s">
        <v>863</v>
      </c>
    </row>
    <row r="2458" spans="1:15" s="1620"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330"/>
        <v/>
      </c>
      <c r="J2458" s="1621"/>
      <c r="K2458" s="1621" t="str">
        <f t="shared" si="331"/>
        <v/>
      </c>
      <c r="L2458" s="800" t="s">
        <v>1179</v>
      </c>
      <c r="M2458" s="1621">
        <v>1518</v>
      </c>
      <c r="N2458" s="766"/>
      <c r="O2458" s="1620" t="s">
        <v>1176</v>
      </c>
    </row>
    <row r="2459" spans="1:15" s="1620"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330"/>
        <v/>
      </c>
      <c r="J2459" s="1621"/>
      <c r="K2459" s="1621" t="str">
        <f t="shared" si="331"/>
        <v/>
      </c>
      <c r="L2459" s="800" t="s">
        <v>1180</v>
      </c>
      <c r="M2459" s="1621">
        <v>1519</v>
      </c>
      <c r="N2459" s="766"/>
      <c r="O2459" s="1620" t="s">
        <v>1183</v>
      </c>
    </row>
    <row r="2460" spans="1:15" s="1620"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1"/>
      <c r="G2460" s="1621"/>
      <c r="H2460" s="1621"/>
      <c r="I2460" s="1241" t="str">
        <f t="shared" si="330"/>
        <v/>
      </c>
      <c r="J2460" s="1621"/>
      <c r="K2460" s="1621" t="str">
        <f t="shared" si="331"/>
        <v/>
      </c>
      <c r="L2460" s="800" t="s">
        <v>1181</v>
      </c>
      <c r="M2460" s="1621">
        <v>1520</v>
      </c>
      <c r="N2460" s="1621"/>
      <c r="O2460" s="1620" t="s">
        <v>1177</v>
      </c>
    </row>
    <row r="2461" spans="1:15" s="1620" customFormat="1" x14ac:dyDescent="0.25">
      <c r="A2461" s="812" t="s">
        <v>1182</v>
      </c>
      <c r="B2461" s="766" t="str">
        <f t="shared" ca="1" si="334"/>
        <v>U21</v>
      </c>
      <c r="C2461" s="766" t="str">
        <f t="shared" ref="C2461:C2466" ca="1" si="335">_xlfn.IFNA(SUBSTITUTE(ADDRESS(1,MATCH(A2461,INDIRECT("'"&amp;E2461&amp;"'"&amp;"!A5:Z5"),0),4),1,""),"")</f>
        <v>U</v>
      </c>
      <c r="D2461" s="766" t="s">
        <v>1350</v>
      </c>
      <c r="E2461" s="766" t="s">
        <v>865</v>
      </c>
      <c r="F2461" s="1621"/>
      <c r="G2461" s="1621"/>
      <c r="H2461" s="1621"/>
      <c r="I2461" s="1241" t="str">
        <f t="shared" si="330"/>
        <v/>
      </c>
      <c r="J2461" s="1621"/>
      <c r="K2461" s="1621" t="str">
        <f t="shared" si="331"/>
        <v/>
      </c>
      <c r="L2461" s="800" t="s">
        <v>1182</v>
      </c>
      <c r="M2461" s="1621">
        <v>1521</v>
      </c>
      <c r="N2461" s="1621"/>
    </row>
    <row r="2462" spans="1:15" s="1620" customFormat="1" x14ac:dyDescent="0.25">
      <c r="A2462" s="812" t="s">
        <v>1332</v>
      </c>
      <c r="B2462" s="766" t="str">
        <f t="shared" ca="1" si="334"/>
        <v>V21</v>
      </c>
      <c r="C2462" s="766" t="str">
        <f t="shared" ca="1" si="335"/>
        <v>V</v>
      </c>
      <c r="D2462" s="766" t="s">
        <v>1350</v>
      </c>
      <c r="E2462" s="766" t="s">
        <v>865</v>
      </c>
      <c r="F2462" s="1621"/>
      <c r="G2462" s="1621"/>
      <c r="H2462" s="1621"/>
      <c r="I2462" s="1241" t="str">
        <f t="shared" si="330"/>
        <v/>
      </c>
      <c r="J2462" s="1621"/>
      <c r="K2462" s="1621" t="str">
        <f t="shared" si="331"/>
        <v/>
      </c>
      <c r="L2462" s="800" t="s">
        <v>1421</v>
      </c>
      <c r="M2462" s="1621">
        <v>1522</v>
      </c>
      <c r="N2462" s="1621"/>
    </row>
    <row r="2463" spans="1:15" s="1620" customFormat="1" x14ac:dyDescent="0.25">
      <c r="A2463" s="812" t="s">
        <v>1623</v>
      </c>
      <c r="B2463" s="766" t="str">
        <f t="shared" ca="1" si="334"/>
        <v>W21</v>
      </c>
      <c r="C2463" s="766" t="str">
        <f t="shared" ca="1" si="335"/>
        <v>W</v>
      </c>
      <c r="D2463" s="766" t="s">
        <v>1350</v>
      </c>
      <c r="E2463" s="766" t="s">
        <v>865</v>
      </c>
      <c r="F2463" s="1621"/>
      <c r="G2463" s="1621"/>
      <c r="H2463" s="1621"/>
      <c r="I2463" s="1241" t="str">
        <f t="shared" si="330"/>
        <v>Add or End Customer</v>
      </c>
      <c r="J2463" s="1621" t="str">
        <f>IF(M2463&lt;&gt;"",Q$1&amp;M2463,"")</f>
        <v>F1523</v>
      </c>
      <c r="K2463" s="1621" t="str">
        <f t="shared" si="331"/>
        <v>Customer Inputs</v>
      </c>
      <c r="L2463" s="800" t="s">
        <v>1623</v>
      </c>
      <c r="M2463" s="1621">
        <v>1523</v>
      </c>
      <c r="N2463" s="1621"/>
    </row>
    <row r="2464" spans="1:15" s="1620" customFormat="1" x14ac:dyDescent="0.25">
      <c r="A2464" s="807" t="s">
        <v>1175</v>
      </c>
      <c r="B2464" s="766" t="str">
        <f ca="1">_xlfn.IFNA(_xlfn.CONCAT(SUBSTITUTE(ADDRESS(1,MATCH(A2464,INDIRECT("'"&amp;E2464&amp;"'"&amp;"!A5:Z5"),0),4),1,""),22),"")</f>
        <v>H22</v>
      </c>
      <c r="C2464" s="766" t="str">
        <f t="shared" ca="1" si="335"/>
        <v>H</v>
      </c>
      <c r="D2464" s="766" t="s">
        <v>1350</v>
      </c>
      <c r="E2464" s="766" t="s">
        <v>865</v>
      </c>
      <c r="F2464" s="1621"/>
      <c r="G2464" s="1621"/>
      <c r="H2464" s="1621"/>
      <c r="I2464" s="1241" t="str">
        <f t="shared" si="330"/>
        <v>Pyramid Segment</v>
      </c>
      <c r="J2464" s="1621" t="str">
        <f>IF(AND(P2510="",M2464&lt;&gt;""),Q$1&amp;M2464,"")</f>
        <v>F1534</v>
      </c>
      <c r="K2464" s="1621" t="str">
        <f t="shared" si="331"/>
        <v>Customer Inputs</v>
      </c>
      <c r="L2464" s="766" t="s">
        <v>1175</v>
      </c>
      <c r="M2464" s="1621">
        <v>1534</v>
      </c>
      <c r="N2464" s="1621"/>
    </row>
    <row r="2465" spans="1:15" s="1620" customFormat="1" x14ac:dyDescent="0.25">
      <c r="A2465" s="808" t="s">
        <v>1255</v>
      </c>
      <c r="B2465" s="766" t="str">
        <f t="shared" ref="B2465:B2473" ca="1" si="336">_xlfn.IFNA(_xlfn.CONCAT(SUBSTITUTE(ADDRESS(1,MATCH(A2465,INDIRECT("'"&amp;E2465&amp;"'"&amp;"!A5:Z5"),0),4),1,""),22),"")</f>
        <v>I22</v>
      </c>
      <c r="C2465" s="766" t="str">
        <f t="shared" ca="1" si="335"/>
        <v>I</v>
      </c>
      <c r="D2465" s="766" t="s">
        <v>1350</v>
      </c>
      <c r="E2465" s="766" t="s">
        <v>865</v>
      </c>
      <c r="F2465" s="1621"/>
      <c r="G2465" s="1621"/>
      <c r="H2465" s="1621"/>
      <c r="I2465" s="1241" t="str">
        <f t="shared" si="330"/>
        <v>Agreement Annual Purchase Commitment</v>
      </c>
      <c r="J2465" s="1621" t="str">
        <f>Q$1&amp;IF(Q2465&lt;&gt;"",M2465,M2467)</f>
        <v>F1538</v>
      </c>
      <c r="K2465" s="1621" t="str">
        <f t="shared" si="331"/>
        <v>Customer Inputs</v>
      </c>
      <c r="L2465" s="52" t="s">
        <v>1255</v>
      </c>
      <c r="M2465" s="1621">
        <v>1536</v>
      </c>
      <c r="N2465" s="1621"/>
    </row>
    <row r="2466" spans="1:15" s="1620" customFormat="1" ht="30" x14ac:dyDescent="0.25">
      <c r="A2466" s="807" t="s">
        <v>1256</v>
      </c>
      <c r="B2466" s="766" t="str">
        <f t="shared" ca="1" si="336"/>
        <v>J22</v>
      </c>
      <c r="C2466" s="766" t="str">
        <f t="shared" ca="1" si="335"/>
        <v>J</v>
      </c>
      <c r="D2466" s="766" t="s">
        <v>1350</v>
      </c>
      <c r="E2466" s="766" t="s">
        <v>865</v>
      </c>
      <c r="F2466" s="1621"/>
      <c r="G2466" s="1621"/>
      <c r="H2466" s="1621"/>
      <c r="I2466" s="1241" t="str">
        <f t="shared" si="330"/>
        <v>Agreement Deliveries Per Customer Unit Per Week</v>
      </c>
      <c r="J2466" s="1621" t="str">
        <f>Q$1&amp;IF(Q2466&lt;&gt;"",M2466,M2468)</f>
        <v>F1539</v>
      </c>
      <c r="K2466" s="1621" t="str">
        <f t="shared" si="331"/>
        <v>Customer Inputs</v>
      </c>
      <c r="L2466" s="766" t="s">
        <v>1256</v>
      </c>
      <c r="M2466" s="1621">
        <v>1537</v>
      </c>
      <c r="N2466" s="1621"/>
    </row>
    <row r="2467" spans="1:15" s="1620"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1"/>
      <c r="G2467" s="1621"/>
      <c r="H2467" s="1621"/>
      <c r="I2467" s="1241" t="str">
        <f t="shared" si="330"/>
        <v/>
      </c>
      <c r="J2467" s="1621"/>
      <c r="K2467" s="1621" t="str">
        <f t="shared" si="331"/>
        <v/>
      </c>
      <c r="L2467" s="766" t="s">
        <v>1178</v>
      </c>
      <c r="M2467" s="1621">
        <v>1538</v>
      </c>
      <c r="N2467" s="1621"/>
      <c r="O2467" s="1620" t="s">
        <v>863</v>
      </c>
    </row>
    <row r="2468" spans="1:15" s="1620"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1"/>
      <c r="G2468" s="1621"/>
      <c r="H2468" s="1621"/>
      <c r="I2468" s="1241" t="str">
        <f t="shared" si="330"/>
        <v/>
      </c>
      <c r="J2468" s="1621"/>
      <c r="K2468" s="1621" t="str">
        <f t="shared" si="331"/>
        <v/>
      </c>
      <c r="L2468" s="800" t="s">
        <v>1179</v>
      </c>
      <c r="M2468" s="1621">
        <v>1539</v>
      </c>
      <c r="N2468" s="1621"/>
      <c r="O2468" s="1620" t="s">
        <v>1176</v>
      </c>
    </row>
    <row r="2469" spans="1:15" s="1620"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1"/>
      <c r="G2469" s="1621"/>
      <c r="H2469" s="1621"/>
      <c r="I2469" s="1241" t="str">
        <f t="shared" si="330"/>
        <v/>
      </c>
      <c r="J2469" s="1621"/>
      <c r="K2469" s="1621" t="str">
        <f t="shared" si="331"/>
        <v/>
      </c>
      <c r="L2469" s="800" t="s">
        <v>1180</v>
      </c>
      <c r="M2469" s="1621">
        <v>1540</v>
      </c>
      <c r="N2469" s="1621"/>
      <c r="O2469" s="1620" t="s">
        <v>1183</v>
      </c>
    </row>
    <row r="2470" spans="1:15" s="1620"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1"/>
      <c r="G2470" s="1621"/>
      <c r="H2470" s="1621"/>
      <c r="I2470" s="1241" t="str">
        <f t="shared" si="330"/>
        <v/>
      </c>
      <c r="J2470" s="1621"/>
      <c r="K2470" s="1621" t="str">
        <f t="shared" si="331"/>
        <v/>
      </c>
      <c r="L2470" s="800" t="s">
        <v>1181</v>
      </c>
      <c r="M2470" s="1621">
        <v>1541</v>
      </c>
      <c r="N2470" s="1621"/>
      <c r="O2470" s="1620" t="s">
        <v>1177</v>
      </c>
    </row>
    <row r="2471" spans="1:15" s="1620" customFormat="1" x14ac:dyDescent="0.25">
      <c r="A2471" s="809" t="s">
        <v>1182</v>
      </c>
      <c r="B2471" s="766" t="str">
        <f t="shared" ca="1" si="336"/>
        <v>U22</v>
      </c>
      <c r="C2471" s="766" t="str">
        <f t="shared" ref="C2471:C2476" ca="1" si="337">_xlfn.IFNA(SUBSTITUTE(ADDRESS(1,MATCH(A2471,INDIRECT("'"&amp;E2471&amp;"'"&amp;"!A5:Z5"),0),4),1,""),"")</f>
        <v>U</v>
      </c>
      <c r="D2471" s="766" t="s">
        <v>1350</v>
      </c>
      <c r="E2471" s="766" t="s">
        <v>865</v>
      </c>
      <c r="F2471" s="1621"/>
      <c r="G2471" s="1621"/>
      <c r="H2471" s="1621"/>
      <c r="I2471" s="1241" t="str">
        <f t="shared" si="330"/>
        <v/>
      </c>
      <c r="J2471" s="1621"/>
      <c r="K2471" s="1621" t="str">
        <f t="shared" si="331"/>
        <v/>
      </c>
      <c r="L2471" s="800" t="s">
        <v>1182</v>
      </c>
      <c r="M2471" s="1621">
        <v>1542</v>
      </c>
      <c r="N2471" s="1621"/>
    </row>
    <row r="2472" spans="1:15" s="1620" customFormat="1" x14ac:dyDescent="0.25">
      <c r="A2472" s="809" t="s">
        <v>1332</v>
      </c>
      <c r="B2472" s="766" t="str">
        <f t="shared" ca="1" si="336"/>
        <v>V22</v>
      </c>
      <c r="C2472" s="766" t="str">
        <f t="shared" ca="1" si="337"/>
        <v>V</v>
      </c>
      <c r="D2472" s="766" t="s">
        <v>1350</v>
      </c>
      <c r="E2472" s="766" t="s">
        <v>865</v>
      </c>
      <c r="F2472" s="1621"/>
      <c r="G2472" s="1621"/>
      <c r="H2472" s="1621"/>
      <c r="I2472" s="1241" t="str">
        <f t="shared" si="330"/>
        <v/>
      </c>
      <c r="J2472" s="1621"/>
      <c r="K2472" s="1621" t="str">
        <f t="shared" si="331"/>
        <v/>
      </c>
      <c r="L2472" s="800" t="s">
        <v>1421</v>
      </c>
      <c r="M2472" s="1621">
        <v>1543</v>
      </c>
      <c r="N2472" s="1621"/>
    </row>
    <row r="2473" spans="1:15" s="1620" customFormat="1" x14ac:dyDescent="0.25">
      <c r="A2473" s="809" t="s">
        <v>1623</v>
      </c>
      <c r="B2473" s="766" t="str">
        <f t="shared" ca="1" si="336"/>
        <v>W22</v>
      </c>
      <c r="C2473" s="766" t="str">
        <f t="shared" ca="1" si="337"/>
        <v>W</v>
      </c>
      <c r="D2473" s="766" t="s">
        <v>1350</v>
      </c>
      <c r="E2473" s="766" t="s">
        <v>865</v>
      </c>
      <c r="F2473" s="1621"/>
      <c r="G2473" s="1621"/>
      <c r="H2473" s="1621"/>
      <c r="I2473" s="1241" t="str">
        <f t="shared" si="330"/>
        <v>Add or End Customer</v>
      </c>
      <c r="J2473" s="1621" t="str">
        <f>IF(M2473&lt;&gt;"",Q$1&amp;M2473,"")</f>
        <v>F1544</v>
      </c>
      <c r="K2473" s="1621" t="str">
        <f t="shared" si="331"/>
        <v>Customer Inputs</v>
      </c>
      <c r="L2473" s="800" t="s">
        <v>1623</v>
      </c>
      <c r="M2473" s="1621">
        <v>1544</v>
      </c>
      <c r="N2473" s="1621"/>
    </row>
    <row r="2474" spans="1:15" s="1620" customFormat="1" x14ac:dyDescent="0.25">
      <c r="A2474" s="810" t="s">
        <v>1175</v>
      </c>
      <c r="B2474" s="766" t="str">
        <f ca="1">_xlfn.IFNA(_xlfn.CONCAT(SUBSTITUTE(ADDRESS(1,MATCH(A2474,INDIRECT("'"&amp;E2474&amp;"'"&amp;"!A5:Z5"),0),4),1,""),23),"")</f>
        <v>H23</v>
      </c>
      <c r="C2474" s="766" t="str">
        <f t="shared" ca="1" si="337"/>
        <v>H</v>
      </c>
      <c r="D2474" s="766" t="s">
        <v>1350</v>
      </c>
      <c r="E2474" s="766" t="s">
        <v>865</v>
      </c>
      <c r="F2474" s="1621"/>
      <c r="G2474" s="1621"/>
      <c r="H2474" s="1621"/>
      <c r="I2474" s="1241" t="str">
        <f t="shared" si="330"/>
        <v>Pyramid Segment</v>
      </c>
      <c r="J2474" s="1621" t="str">
        <f>IF(AND(P2511="",M2474&lt;&gt;""),Q$1&amp;M2474,"")</f>
        <v>F1555</v>
      </c>
      <c r="K2474" s="1621" t="str">
        <f t="shared" si="331"/>
        <v>Customer Inputs</v>
      </c>
      <c r="L2474" s="766" t="s">
        <v>1175</v>
      </c>
      <c r="M2474" s="1621">
        <v>1555</v>
      </c>
      <c r="N2474" s="1621"/>
    </row>
    <row r="2475" spans="1:15" s="1620" customFormat="1" x14ac:dyDescent="0.25">
      <c r="A2475" s="811" t="s">
        <v>1255</v>
      </c>
      <c r="B2475" s="766" t="str">
        <f t="shared" ref="B2475:B2483" ca="1" si="338">_xlfn.IFNA(_xlfn.CONCAT(SUBSTITUTE(ADDRESS(1,MATCH(A2475,INDIRECT("'"&amp;E2475&amp;"'"&amp;"!A5:Z5"),0),4),1,""),23),"")</f>
        <v>I23</v>
      </c>
      <c r="C2475" s="766" t="str">
        <f t="shared" ca="1" si="337"/>
        <v>I</v>
      </c>
      <c r="D2475" s="766" t="s">
        <v>1350</v>
      </c>
      <c r="E2475" s="766" t="s">
        <v>865</v>
      </c>
      <c r="F2475" s="1621"/>
      <c r="G2475" s="1621"/>
      <c r="H2475" s="1621"/>
      <c r="I2475" s="1241" t="str">
        <f t="shared" si="330"/>
        <v>Agreement Annual Purchase Commitment</v>
      </c>
      <c r="J2475" s="1621" t="str">
        <f>Q$1&amp;IF(Q2475&lt;&gt;"",M2475,M2477)</f>
        <v>F1559</v>
      </c>
      <c r="K2475" s="1621" t="str">
        <f t="shared" si="331"/>
        <v>Customer Inputs</v>
      </c>
      <c r="L2475" s="52" t="s">
        <v>1255</v>
      </c>
      <c r="M2475" s="1621">
        <v>1557</v>
      </c>
      <c r="N2475" s="1621"/>
    </row>
    <row r="2476" spans="1:15" s="1620" customFormat="1" ht="30" x14ac:dyDescent="0.25">
      <c r="A2476" s="810" t="s">
        <v>1256</v>
      </c>
      <c r="B2476" s="766" t="str">
        <f t="shared" ca="1" si="338"/>
        <v>J23</v>
      </c>
      <c r="C2476" s="766" t="str">
        <f t="shared" ca="1" si="337"/>
        <v>J</v>
      </c>
      <c r="D2476" s="766" t="s">
        <v>1350</v>
      </c>
      <c r="E2476" s="766" t="s">
        <v>865</v>
      </c>
      <c r="F2476" s="1621"/>
      <c r="G2476" s="1621"/>
      <c r="H2476" s="1621"/>
      <c r="I2476" s="1241" t="str">
        <f t="shared" si="330"/>
        <v>Agreement Deliveries Per Customer Unit Per Week</v>
      </c>
      <c r="J2476" s="1621" t="str">
        <f>Q$1&amp;IF(Q2476&lt;&gt;"",M2476,M2478)</f>
        <v>F1560</v>
      </c>
      <c r="K2476" s="1621" t="str">
        <f t="shared" si="331"/>
        <v>Customer Inputs</v>
      </c>
      <c r="L2476" s="766" t="s">
        <v>1256</v>
      </c>
      <c r="M2476" s="1621">
        <v>1558</v>
      </c>
      <c r="N2476" s="1621"/>
    </row>
    <row r="2477" spans="1:15" s="1620"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1"/>
      <c r="G2477" s="1621"/>
      <c r="H2477" s="1621"/>
      <c r="I2477" s="1241" t="str">
        <f t="shared" si="330"/>
        <v/>
      </c>
      <c r="J2477" s="1621"/>
      <c r="K2477" s="1621" t="str">
        <f t="shared" si="331"/>
        <v/>
      </c>
      <c r="L2477" s="766" t="s">
        <v>1178</v>
      </c>
      <c r="M2477" s="1621">
        <v>1559</v>
      </c>
      <c r="N2477" s="1621"/>
      <c r="O2477" s="1620" t="s">
        <v>863</v>
      </c>
    </row>
    <row r="2478" spans="1:15" s="1620"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1"/>
      <c r="G2478" s="1621"/>
      <c r="H2478" s="1621"/>
      <c r="I2478" s="1241" t="str">
        <f t="shared" si="330"/>
        <v/>
      </c>
      <c r="J2478" s="1621"/>
      <c r="K2478" s="1621" t="str">
        <f t="shared" si="331"/>
        <v/>
      </c>
      <c r="L2478" s="800" t="s">
        <v>1179</v>
      </c>
      <c r="M2478" s="1621">
        <v>1560</v>
      </c>
      <c r="N2478" s="1621"/>
      <c r="O2478" s="1620" t="s">
        <v>1176</v>
      </c>
    </row>
    <row r="2479" spans="1:15" s="1620"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1"/>
      <c r="G2479" s="1621"/>
      <c r="H2479" s="1621"/>
      <c r="I2479" s="1241" t="str">
        <f t="shared" si="330"/>
        <v/>
      </c>
      <c r="J2479" s="1621"/>
      <c r="K2479" s="1621" t="str">
        <f t="shared" si="331"/>
        <v/>
      </c>
      <c r="L2479" s="800" t="s">
        <v>1180</v>
      </c>
      <c r="M2479" s="1621">
        <v>1561</v>
      </c>
      <c r="N2479" s="1621"/>
      <c r="O2479" s="1620" t="s">
        <v>1183</v>
      </c>
    </row>
    <row r="2480" spans="1:15" s="1620"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1"/>
      <c r="G2480" s="1621"/>
      <c r="H2480" s="1621"/>
      <c r="I2480" s="1241" t="str">
        <f t="shared" si="330"/>
        <v/>
      </c>
      <c r="J2480" s="1621"/>
      <c r="K2480" s="1621" t="str">
        <f t="shared" si="331"/>
        <v/>
      </c>
      <c r="L2480" s="800" t="s">
        <v>1181</v>
      </c>
      <c r="M2480" s="1621">
        <v>1562</v>
      </c>
      <c r="N2480" s="1621"/>
      <c r="O2480" s="1620" t="s">
        <v>1177</v>
      </c>
    </row>
    <row r="2481" spans="1:15" s="1620" customFormat="1" x14ac:dyDescent="0.25">
      <c r="A2481" s="812" t="s">
        <v>1182</v>
      </c>
      <c r="B2481" s="766" t="str">
        <f t="shared" ca="1" si="338"/>
        <v>U23</v>
      </c>
      <c r="C2481" s="766" t="str">
        <f t="shared" ref="C2481:C2486" ca="1" si="339">_xlfn.IFNA(SUBSTITUTE(ADDRESS(1,MATCH(A2481,INDIRECT("'"&amp;E2481&amp;"'"&amp;"!A5:Z5"),0),4),1,""),"")</f>
        <v>U</v>
      </c>
      <c r="D2481" s="766" t="s">
        <v>1350</v>
      </c>
      <c r="E2481" s="766" t="s">
        <v>865</v>
      </c>
      <c r="F2481" s="1621"/>
      <c r="G2481" s="1621"/>
      <c r="H2481" s="1621"/>
      <c r="I2481" s="1241" t="str">
        <f t="shared" si="330"/>
        <v/>
      </c>
      <c r="J2481" s="1621"/>
      <c r="K2481" s="1621" t="str">
        <f t="shared" si="331"/>
        <v/>
      </c>
      <c r="L2481" s="800" t="s">
        <v>1182</v>
      </c>
      <c r="M2481" s="1621">
        <v>1563</v>
      </c>
      <c r="N2481" s="1621"/>
    </row>
    <row r="2482" spans="1:15" s="1620" customFormat="1" x14ac:dyDescent="0.25">
      <c r="A2482" s="812" t="s">
        <v>1332</v>
      </c>
      <c r="B2482" s="766" t="str">
        <f t="shared" ca="1" si="338"/>
        <v>V23</v>
      </c>
      <c r="C2482" s="766" t="str">
        <f t="shared" ca="1" si="339"/>
        <v>V</v>
      </c>
      <c r="D2482" s="766" t="s">
        <v>1350</v>
      </c>
      <c r="E2482" s="766" t="s">
        <v>865</v>
      </c>
      <c r="F2482" s="1621"/>
      <c r="G2482" s="1621"/>
      <c r="H2482" s="1621"/>
      <c r="I2482" s="1241" t="str">
        <f t="shared" si="330"/>
        <v/>
      </c>
      <c r="J2482" s="1621"/>
      <c r="K2482" s="1621" t="str">
        <f t="shared" si="331"/>
        <v/>
      </c>
      <c r="L2482" s="800" t="s">
        <v>1421</v>
      </c>
      <c r="M2482" s="1621">
        <v>1564</v>
      </c>
      <c r="N2482" s="1621"/>
    </row>
    <row r="2483" spans="1:15" s="1620" customFormat="1" x14ac:dyDescent="0.25">
      <c r="A2483" s="812" t="s">
        <v>1623</v>
      </c>
      <c r="B2483" s="766" t="str">
        <f t="shared" ca="1" si="338"/>
        <v>W23</v>
      </c>
      <c r="C2483" s="766" t="str">
        <f t="shared" ca="1" si="339"/>
        <v>W</v>
      </c>
      <c r="D2483" s="766" t="s">
        <v>1350</v>
      </c>
      <c r="E2483" s="766" t="s">
        <v>865</v>
      </c>
      <c r="F2483" s="1621"/>
      <c r="G2483" s="1621"/>
      <c r="H2483" s="1621"/>
      <c r="I2483" s="1241" t="str">
        <f t="shared" si="330"/>
        <v>Add or End Customer</v>
      </c>
      <c r="J2483" s="1621" t="str">
        <f>IF(M2483&lt;&gt;"",Q$1&amp;M2483,"")</f>
        <v>F1565</v>
      </c>
      <c r="K2483" s="1621" t="str">
        <f t="shared" si="331"/>
        <v>Customer Inputs</v>
      </c>
      <c r="L2483" s="800" t="s">
        <v>1623</v>
      </c>
      <c r="M2483" s="1621">
        <v>1565</v>
      </c>
      <c r="N2483" s="1621"/>
    </row>
    <row r="2484" spans="1:15" s="1620" customFormat="1" x14ac:dyDescent="0.25">
      <c r="A2484" s="807" t="s">
        <v>1175</v>
      </c>
      <c r="B2484" s="766" t="str">
        <f ca="1">_xlfn.IFNA(_xlfn.CONCAT(SUBSTITUTE(ADDRESS(1,MATCH(A2484,INDIRECT("'"&amp;E2484&amp;"'"&amp;"!A5:Z5"),0),4),1,""),24),"")</f>
        <v>H24</v>
      </c>
      <c r="C2484" s="766" t="str">
        <f t="shared" ca="1" si="339"/>
        <v>H</v>
      </c>
      <c r="D2484" s="766" t="s">
        <v>1350</v>
      </c>
      <c r="E2484" s="766" t="s">
        <v>865</v>
      </c>
      <c r="F2484" s="1621"/>
      <c r="G2484" s="1621"/>
      <c r="H2484" s="1621"/>
      <c r="I2484" s="1241" t="str">
        <f t="shared" si="330"/>
        <v>Pyramid Segment</v>
      </c>
      <c r="J2484" s="1621" t="str">
        <f>IF(AND(P2512="",M2484&lt;&gt;""),Q$1&amp;M2484,"")</f>
        <v>F1576</v>
      </c>
      <c r="K2484" s="1621" t="str">
        <f t="shared" si="331"/>
        <v>Customer Inputs</v>
      </c>
      <c r="L2484" s="766" t="s">
        <v>1175</v>
      </c>
      <c r="M2484" s="1621">
        <v>1576</v>
      </c>
      <c r="N2484" s="1621"/>
    </row>
    <row r="2485" spans="1:15" s="1620" customFormat="1" x14ac:dyDescent="0.25">
      <c r="A2485" s="808" t="s">
        <v>1255</v>
      </c>
      <c r="B2485" s="766" t="str">
        <f t="shared" ref="B2485:B2493" ca="1" si="340">_xlfn.IFNA(_xlfn.CONCAT(SUBSTITUTE(ADDRESS(1,MATCH(A2485,INDIRECT("'"&amp;E2485&amp;"'"&amp;"!A5:Z5"),0),4),1,""),24),"")</f>
        <v>I24</v>
      </c>
      <c r="C2485" s="766" t="str">
        <f t="shared" ca="1" si="339"/>
        <v>I</v>
      </c>
      <c r="D2485" s="766" t="s">
        <v>1350</v>
      </c>
      <c r="E2485" s="766" t="s">
        <v>865</v>
      </c>
      <c r="F2485" s="1621"/>
      <c r="G2485" s="1621"/>
      <c r="H2485" s="1621"/>
      <c r="I2485" s="1241" t="str">
        <f t="shared" si="330"/>
        <v>Agreement Annual Purchase Commitment</v>
      </c>
      <c r="J2485" s="1621" t="str">
        <f>Q$1&amp;IF(Q2485&lt;&gt;"",M2485,M2487)</f>
        <v>F1580</v>
      </c>
      <c r="K2485" s="1621" t="str">
        <f t="shared" si="331"/>
        <v>Customer Inputs</v>
      </c>
      <c r="L2485" s="52" t="s">
        <v>1255</v>
      </c>
      <c r="M2485" s="1621">
        <v>1578</v>
      </c>
      <c r="N2485" s="1621"/>
    </row>
    <row r="2486" spans="1:15" s="1620" customFormat="1" ht="30" x14ac:dyDescent="0.25">
      <c r="A2486" s="807" t="s">
        <v>1256</v>
      </c>
      <c r="B2486" s="766" t="str">
        <f t="shared" ca="1" si="340"/>
        <v>J24</v>
      </c>
      <c r="C2486" s="766" t="str">
        <f t="shared" ca="1" si="339"/>
        <v>J</v>
      </c>
      <c r="D2486" s="766" t="s">
        <v>1350</v>
      </c>
      <c r="E2486" s="766" t="s">
        <v>865</v>
      </c>
      <c r="F2486" s="1621"/>
      <c r="G2486" s="1621"/>
      <c r="H2486" s="1621"/>
      <c r="I2486" s="1241" t="str">
        <f t="shared" si="330"/>
        <v>Agreement Deliveries Per Customer Unit Per Week</v>
      </c>
      <c r="J2486" s="1621" t="str">
        <f>Q$1&amp;IF(Q2486&lt;&gt;"",M2486,M2488)</f>
        <v>F1581</v>
      </c>
      <c r="K2486" s="1621" t="str">
        <f t="shared" si="331"/>
        <v>Customer Inputs</v>
      </c>
      <c r="L2486" s="766" t="s">
        <v>1256</v>
      </c>
      <c r="M2486" s="1621">
        <v>1579</v>
      </c>
      <c r="N2486" s="1621"/>
    </row>
    <row r="2487" spans="1:15" s="1620"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1"/>
      <c r="G2487" s="1621"/>
      <c r="H2487" s="1621"/>
      <c r="I2487" s="1241" t="str">
        <f t="shared" si="330"/>
        <v/>
      </c>
      <c r="J2487" s="1621"/>
      <c r="K2487" s="1621" t="str">
        <f t="shared" si="331"/>
        <v/>
      </c>
      <c r="L2487" s="766" t="s">
        <v>1178</v>
      </c>
      <c r="M2487" s="1621">
        <v>1580</v>
      </c>
      <c r="N2487" s="1621"/>
      <c r="O2487" s="1620" t="s">
        <v>863</v>
      </c>
    </row>
    <row r="2488" spans="1:15" s="1620"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1"/>
      <c r="G2488" s="1621"/>
      <c r="H2488" s="1621"/>
      <c r="I2488" s="1241" t="str">
        <f t="shared" si="330"/>
        <v/>
      </c>
      <c r="J2488" s="1621"/>
      <c r="K2488" s="1621" t="str">
        <f t="shared" si="331"/>
        <v/>
      </c>
      <c r="L2488" s="800" t="s">
        <v>1179</v>
      </c>
      <c r="M2488" s="1621">
        <v>1581</v>
      </c>
      <c r="N2488" s="1621"/>
      <c r="O2488" s="1620" t="s">
        <v>1176</v>
      </c>
    </row>
    <row r="2489" spans="1:15" s="1620"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1"/>
      <c r="G2489" s="1621"/>
      <c r="H2489" s="1621"/>
      <c r="I2489" s="1241" t="str">
        <f t="shared" si="330"/>
        <v/>
      </c>
      <c r="J2489" s="1621"/>
      <c r="K2489" s="1621" t="str">
        <f t="shared" si="331"/>
        <v/>
      </c>
      <c r="L2489" s="800" t="s">
        <v>1180</v>
      </c>
      <c r="M2489" s="1621">
        <v>1582</v>
      </c>
      <c r="N2489" s="1621"/>
      <c r="O2489" s="1620" t="s">
        <v>1183</v>
      </c>
    </row>
    <row r="2490" spans="1:15" s="1620"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1"/>
      <c r="G2490" s="1621"/>
      <c r="H2490" s="1621"/>
      <c r="I2490" s="1241" t="str">
        <f t="shared" si="330"/>
        <v/>
      </c>
      <c r="J2490" s="1621"/>
      <c r="K2490" s="1621" t="str">
        <f t="shared" si="331"/>
        <v/>
      </c>
      <c r="L2490" s="800" t="s">
        <v>1181</v>
      </c>
      <c r="M2490" s="1621">
        <v>1583</v>
      </c>
      <c r="N2490" s="1621"/>
      <c r="O2490" s="1620" t="s">
        <v>1177</v>
      </c>
    </row>
    <row r="2491" spans="1:15" s="1620" customFormat="1" x14ac:dyDescent="0.25">
      <c r="A2491" s="809" t="s">
        <v>1182</v>
      </c>
      <c r="B2491" s="766" t="str">
        <f t="shared" ca="1" si="340"/>
        <v>U24</v>
      </c>
      <c r="C2491" s="766" t="str">
        <f t="shared" ref="C2491:C2496" ca="1" si="341">_xlfn.IFNA(SUBSTITUTE(ADDRESS(1,MATCH(A2491,INDIRECT("'"&amp;E2491&amp;"'"&amp;"!A5:Z5"),0),4),1,""),"")</f>
        <v>U</v>
      </c>
      <c r="D2491" s="766" t="s">
        <v>1350</v>
      </c>
      <c r="E2491" s="766" t="s">
        <v>865</v>
      </c>
      <c r="F2491" s="1621"/>
      <c r="G2491" s="1621"/>
      <c r="H2491" s="1621"/>
      <c r="I2491" s="1241" t="str">
        <f t="shared" si="330"/>
        <v/>
      </c>
      <c r="J2491" s="1621"/>
      <c r="K2491" s="1621" t="str">
        <f t="shared" si="331"/>
        <v/>
      </c>
      <c r="L2491" s="800" t="s">
        <v>1182</v>
      </c>
      <c r="M2491" s="1621">
        <v>1584</v>
      </c>
      <c r="N2491" s="1621"/>
    </row>
    <row r="2492" spans="1:15" s="1620" customFormat="1" x14ac:dyDescent="0.25">
      <c r="A2492" s="809" t="s">
        <v>1332</v>
      </c>
      <c r="B2492" s="766" t="str">
        <f t="shared" ca="1" si="340"/>
        <v>V24</v>
      </c>
      <c r="C2492" s="766" t="str">
        <f t="shared" ca="1" si="341"/>
        <v>V</v>
      </c>
      <c r="D2492" s="766" t="s">
        <v>1350</v>
      </c>
      <c r="E2492" s="766" t="s">
        <v>865</v>
      </c>
      <c r="F2492" s="1621"/>
      <c r="G2492" s="1621"/>
      <c r="H2492" s="1621"/>
      <c r="I2492" s="1241" t="str">
        <f t="shared" si="330"/>
        <v/>
      </c>
      <c r="J2492" s="1621"/>
      <c r="K2492" s="1621" t="str">
        <f t="shared" si="331"/>
        <v/>
      </c>
      <c r="L2492" s="800" t="s">
        <v>1421</v>
      </c>
      <c r="M2492" s="1621">
        <v>1585</v>
      </c>
      <c r="N2492" s="1621"/>
    </row>
    <row r="2493" spans="1:15" s="1620" customFormat="1" x14ac:dyDescent="0.25">
      <c r="A2493" s="809" t="s">
        <v>1623</v>
      </c>
      <c r="B2493" s="766" t="str">
        <f t="shared" ca="1" si="340"/>
        <v>W24</v>
      </c>
      <c r="C2493" s="766" t="str">
        <f t="shared" ca="1" si="341"/>
        <v>W</v>
      </c>
      <c r="D2493" s="766" t="s">
        <v>1350</v>
      </c>
      <c r="E2493" s="766" t="s">
        <v>865</v>
      </c>
      <c r="F2493" s="1621"/>
      <c r="G2493" s="1621"/>
      <c r="H2493" s="1621"/>
      <c r="I2493" s="1241" t="str">
        <f t="shared" si="330"/>
        <v>Add or End Customer</v>
      </c>
      <c r="J2493" s="1621" t="str">
        <f>IF(M2493&lt;&gt;"",Q$1&amp;M2493,"")</f>
        <v>F1589</v>
      </c>
      <c r="K2493" s="1621" t="str">
        <f t="shared" si="331"/>
        <v>Customer Inputs</v>
      </c>
      <c r="L2493" s="800" t="s">
        <v>1623</v>
      </c>
      <c r="M2493" s="1621">
        <v>1589</v>
      </c>
      <c r="N2493" s="1621"/>
    </row>
    <row r="2494" spans="1:15" s="1620" customFormat="1" x14ac:dyDescent="0.25">
      <c r="A2494" s="810" t="s">
        <v>1175</v>
      </c>
      <c r="B2494" s="766" t="str">
        <f ca="1">_xlfn.IFNA(_xlfn.CONCAT(SUBSTITUTE(ADDRESS(1,MATCH(A2494,INDIRECT("'"&amp;E2494&amp;"'"&amp;"!A5:Z5"),0),4),1,""),25),"")</f>
        <v>H25</v>
      </c>
      <c r="C2494" s="766" t="str">
        <f t="shared" ca="1" si="341"/>
        <v>H</v>
      </c>
      <c r="D2494" s="766" t="s">
        <v>1350</v>
      </c>
      <c r="E2494" s="766" t="s">
        <v>865</v>
      </c>
      <c r="F2494" s="1621"/>
      <c r="G2494" s="1621"/>
      <c r="H2494" s="1621"/>
      <c r="I2494" s="1241" t="str">
        <f t="shared" si="330"/>
        <v>Pyramid Segment</v>
      </c>
      <c r="J2494" s="1621" t="str">
        <f>IF(AND(P2513="",M2494&lt;&gt;""),Q$1&amp;M2494,"")</f>
        <v>F1597</v>
      </c>
      <c r="K2494" s="1621" t="str">
        <f t="shared" si="331"/>
        <v>Customer Inputs</v>
      </c>
      <c r="L2494" s="766" t="s">
        <v>1175</v>
      </c>
      <c r="M2494" s="1621">
        <v>1597</v>
      </c>
      <c r="N2494" s="1621"/>
    </row>
    <row r="2495" spans="1:15" s="1620" customFormat="1" x14ac:dyDescent="0.25">
      <c r="A2495" s="811" t="s">
        <v>1255</v>
      </c>
      <c r="B2495" s="766" t="str">
        <f t="shared" ref="B2495:B2503" ca="1" si="342">_xlfn.IFNA(_xlfn.CONCAT(SUBSTITUTE(ADDRESS(1,MATCH(A2495,INDIRECT("'"&amp;E2495&amp;"'"&amp;"!A5:Z5"),0),4),1,""),25),"")</f>
        <v>I25</v>
      </c>
      <c r="C2495" s="766" t="str">
        <f t="shared" ca="1" si="341"/>
        <v>I</v>
      </c>
      <c r="D2495" s="766" t="s">
        <v>1350</v>
      </c>
      <c r="E2495" s="766" t="s">
        <v>865</v>
      </c>
      <c r="F2495" s="1621"/>
      <c r="G2495" s="1621"/>
      <c r="H2495" s="1621"/>
      <c r="I2495" s="1241" t="str">
        <f t="shared" si="330"/>
        <v>Agreement Annual Purchase Commitment</v>
      </c>
      <c r="J2495" s="1621" t="str">
        <f>Q$1&amp;IF(Q2495&lt;&gt;"",M2495,M2497)</f>
        <v>F1601</v>
      </c>
      <c r="K2495" s="1621" t="str">
        <f t="shared" si="331"/>
        <v>Customer Inputs</v>
      </c>
      <c r="L2495" s="52" t="s">
        <v>1255</v>
      </c>
      <c r="M2495" s="1621">
        <v>1599</v>
      </c>
      <c r="N2495" s="1621"/>
    </row>
    <row r="2496" spans="1:15" s="1620" customFormat="1" ht="30" x14ac:dyDescent="0.25">
      <c r="A2496" s="810" t="s">
        <v>1256</v>
      </c>
      <c r="B2496" s="766" t="str">
        <f t="shared" ca="1" si="342"/>
        <v>J25</v>
      </c>
      <c r="C2496" s="766" t="str">
        <f t="shared" ca="1" si="341"/>
        <v>J</v>
      </c>
      <c r="D2496" s="766" t="s">
        <v>1350</v>
      </c>
      <c r="E2496" s="766" t="s">
        <v>865</v>
      </c>
      <c r="F2496" s="1621"/>
      <c r="G2496" s="1621"/>
      <c r="H2496" s="1621"/>
      <c r="I2496" s="1241" t="str">
        <f t="shared" si="330"/>
        <v>Agreement Deliveries Per Customer Unit Per Week</v>
      </c>
      <c r="J2496" s="1621" t="str">
        <f>Q$1&amp;IF(Q2496&lt;&gt;"",M2496,M2498)</f>
        <v>F1602</v>
      </c>
      <c r="K2496" s="1621" t="str">
        <f t="shared" si="331"/>
        <v>Customer Inputs</v>
      </c>
      <c r="L2496" s="766" t="s">
        <v>1256</v>
      </c>
      <c r="M2496" s="1621">
        <v>1600</v>
      </c>
      <c r="N2496" s="1621"/>
    </row>
    <row r="2497" spans="1:16" s="1620"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1"/>
      <c r="G2497" s="1621"/>
      <c r="H2497" s="1621"/>
      <c r="I2497" s="1241" t="str">
        <f t="shared" si="330"/>
        <v/>
      </c>
      <c r="J2497" s="1621"/>
      <c r="K2497" s="1621" t="str">
        <f t="shared" si="331"/>
        <v/>
      </c>
      <c r="L2497" s="766" t="s">
        <v>1178</v>
      </c>
      <c r="M2497" s="1621">
        <v>1601</v>
      </c>
      <c r="N2497" s="1621"/>
      <c r="O2497" s="1620" t="s">
        <v>863</v>
      </c>
    </row>
    <row r="2498" spans="1:16" s="1620"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1"/>
      <c r="G2498" s="1621"/>
      <c r="H2498" s="1621"/>
      <c r="I2498" s="1241" t="str">
        <f t="shared" si="330"/>
        <v/>
      </c>
      <c r="J2498" s="1621"/>
      <c r="K2498" s="1621" t="str">
        <f t="shared" si="331"/>
        <v/>
      </c>
      <c r="L2498" s="800" t="s">
        <v>1179</v>
      </c>
      <c r="M2498" s="1621">
        <v>1602</v>
      </c>
      <c r="N2498" s="1621"/>
      <c r="O2498" s="1620" t="s">
        <v>1176</v>
      </c>
    </row>
    <row r="2499" spans="1:16" s="1620"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1"/>
      <c r="G2499" s="1621"/>
      <c r="H2499" s="1621"/>
      <c r="I2499" s="1241" t="str">
        <f t="shared" si="330"/>
        <v/>
      </c>
      <c r="J2499" s="1621"/>
      <c r="K2499" s="1621" t="str">
        <f t="shared" si="331"/>
        <v/>
      </c>
      <c r="L2499" s="800" t="s">
        <v>1180</v>
      </c>
      <c r="M2499" s="1621">
        <v>1603</v>
      </c>
      <c r="N2499" s="1621"/>
      <c r="O2499" s="1620" t="s">
        <v>1183</v>
      </c>
    </row>
    <row r="2500" spans="1:16" s="1620"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1"/>
      <c r="G2500" s="1621"/>
      <c r="H2500" s="1621"/>
      <c r="I2500" s="1241" t="str">
        <f t="shared" si="330"/>
        <v/>
      </c>
      <c r="J2500" s="1621"/>
      <c r="K2500" s="1621" t="str">
        <f t="shared" si="331"/>
        <v/>
      </c>
      <c r="L2500" s="800" t="s">
        <v>1181</v>
      </c>
      <c r="M2500" s="1621">
        <v>1604</v>
      </c>
      <c r="N2500" s="1621"/>
      <c r="O2500" s="1620" t="s">
        <v>1177</v>
      </c>
    </row>
    <row r="2501" spans="1:16" s="1620" customFormat="1" x14ac:dyDescent="0.25">
      <c r="A2501" s="812" t="s">
        <v>1182</v>
      </c>
      <c r="B2501" s="766" t="str">
        <f t="shared" ca="1" si="342"/>
        <v>U25</v>
      </c>
      <c r="C2501" s="766" t="str">
        <f ca="1">_xlfn.IFNA(SUBSTITUTE(ADDRESS(1,MATCH(A2501,INDIRECT("'"&amp;E2501&amp;"'"&amp;"!A5:Z5"),0),4),1,""),"")</f>
        <v>U</v>
      </c>
      <c r="D2501" s="766" t="s">
        <v>1350</v>
      </c>
      <c r="E2501" s="766" t="s">
        <v>865</v>
      </c>
      <c r="F2501" s="1621"/>
      <c r="G2501" s="1621"/>
      <c r="H2501" s="1621"/>
      <c r="I2501" s="1241" t="str">
        <f t="shared" si="330"/>
        <v/>
      </c>
      <c r="J2501" s="1621"/>
      <c r="K2501" s="1621" t="str">
        <f t="shared" si="331"/>
        <v/>
      </c>
      <c r="L2501" s="800" t="s">
        <v>1182</v>
      </c>
      <c r="M2501" s="1621">
        <v>1605</v>
      </c>
      <c r="N2501" s="1621"/>
    </row>
    <row r="2502" spans="1:16" s="1620" customFormat="1" x14ac:dyDescent="0.25">
      <c r="A2502" s="812" t="s">
        <v>1332</v>
      </c>
      <c r="B2502" s="766" t="str">
        <f t="shared" ca="1" si="342"/>
        <v>V25</v>
      </c>
      <c r="C2502" s="766" t="str">
        <f ca="1">_xlfn.IFNA(SUBSTITUTE(ADDRESS(1,MATCH(A2502,INDIRECT("'"&amp;E2502&amp;"'"&amp;"!A5:Z5"),0),4),1,""),"")</f>
        <v>V</v>
      </c>
      <c r="D2502" s="766" t="s">
        <v>1350</v>
      </c>
      <c r="E2502" s="766" t="s">
        <v>865</v>
      </c>
      <c r="F2502" s="1621"/>
      <c r="G2502" s="1621"/>
      <c r="H2502" s="1621"/>
      <c r="I2502" s="1241" t="str">
        <f t="shared" si="330"/>
        <v/>
      </c>
      <c r="J2502" s="1621"/>
      <c r="K2502" s="1621" t="str">
        <f t="shared" si="331"/>
        <v/>
      </c>
      <c r="L2502" s="800" t="s">
        <v>1421</v>
      </c>
      <c r="M2502" s="1621">
        <v>1606</v>
      </c>
      <c r="N2502" s="1621"/>
    </row>
    <row r="2503" spans="1:16" s="1620" customFormat="1" x14ac:dyDescent="0.25">
      <c r="A2503" s="812" t="s">
        <v>1623</v>
      </c>
      <c r="B2503" s="766" t="str">
        <f t="shared" ca="1" si="342"/>
        <v>W25</v>
      </c>
      <c r="C2503" s="766" t="str">
        <f ca="1">_xlfn.IFNA(SUBSTITUTE(ADDRESS(1,MATCH(A2503,INDIRECT("'"&amp;E2503&amp;"'"&amp;"!A5:Z5"),0),4),1,""),"")</f>
        <v>W</v>
      </c>
      <c r="D2503" s="766" t="s">
        <v>1350</v>
      </c>
      <c r="E2503" s="766" t="s">
        <v>865</v>
      </c>
      <c r="F2503" s="1621"/>
      <c r="G2503" s="1621"/>
      <c r="H2503" s="1621"/>
      <c r="I2503" s="1241" t="str">
        <f t="shared" si="330"/>
        <v>Add or End Customer</v>
      </c>
      <c r="J2503" s="1621" t="str">
        <f>IF(M2503&lt;&gt;"",Q$1&amp;M2503,"")</f>
        <v>F1607</v>
      </c>
      <c r="K2503" s="1621" t="str">
        <f t="shared" si="331"/>
        <v>Customer Inputs</v>
      </c>
      <c r="L2503" s="800" t="s">
        <v>1623</v>
      </c>
      <c r="M2503" s="1621">
        <v>1607</v>
      </c>
      <c r="N2503" s="1621"/>
    </row>
    <row r="2504" spans="1:16" s="1620" customFormat="1" x14ac:dyDescent="0.25">
      <c r="A2504" s="816" t="s">
        <v>1171</v>
      </c>
      <c r="B2504" s="766" t="str">
        <f ca="1">_xlfn.IFNA(_xlfn.CONCAT(SUBSTITUTE(ADDRESS(1,MATCH(A2504,INDIRECT("'"&amp;E2504&amp;"'"&amp;"!A5:Z5"),0),4),1,""),16),"")</f>
        <v>G16</v>
      </c>
      <c r="C2504" s="766" t="str">
        <f t="shared" ref="C2504:C2523" ca="1" si="343">_xlfn.IFNA(SUBSTITUTE(ADDRESS(1,MATCH(A2504,INDIRECT("'"&amp;E2504&amp;"'"&amp;"!A5:Z5"),0),4),1,""),"")</f>
        <v>G</v>
      </c>
      <c r="D2504" s="1621" t="s">
        <v>1350</v>
      </c>
      <c r="E2504" s="766" t="s">
        <v>865</v>
      </c>
      <c r="F2504" s="1621"/>
      <c r="G2504" s="1621"/>
      <c r="H2504" s="1621"/>
      <c r="I2504" s="1241" t="str">
        <f t="shared" si="330"/>
        <v>Shipping Location Number</v>
      </c>
      <c r="J2504" s="1621" t="str">
        <f>IFERROR(Q$1&amp;M2524,"")</f>
        <v>F1407</v>
      </c>
      <c r="K2504" s="1621" t="str">
        <f t="shared" si="331"/>
        <v>Customer Inputs</v>
      </c>
      <c r="L2504" s="1621"/>
      <c r="M2504" s="1621"/>
      <c r="N2504" s="1621"/>
      <c r="P2504" s="1621" t="str">
        <f>IFERROR(VLOOKUP(Q$2524,'Existing Customers'!$A:$F,1,FALSE),"")</f>
        <v/>
      </c>
    </row>
    <row r="2505" spans="1:16" s="1620" customFormat="1" x14ac:dyDescent="0.25">
      <c r="A2505" s="814" t="s">
        <v>1171</v>
      </c>
      <c r="B2505" s="766" t="str">
        <f ca="1">_xlfn.IFNA(_xlfn.CONCAT(SUBSTITUTE(ADDRESS(1,MATCH(A2505,INDIRECT("'"&amp;E2505&amp;"'"&amp;"!A5:Z5"),0),4),1,""),17),"")</f>
        <v>G17</v>
      </c>
      <c r="C2505" s="766" t="str">
        <f t="shared" ca="1" si="343"/>
        <v>G</v>
      </c>
      <c r="D2505" s="1621" t="s">
        <v>1350</v>
      </c>
      <c r="E2505" s="766" t="s">
        <v>865</v>
      </c>
      <c r="F2505" s="1621"/>
      <c r="G2505" s="1621"/>
      <c r="H2505" s="1621"/>
      <c r="I2505" s="1241" t="str">
        <f t="shared" si="330"/>
        <v>Shipping Location Number</v>
      </c>
      <c r="J2505" s="1621" t="str">
        <f>IFERROR(Q$1&amp;M2535,"")</f>
        <v>F1428</v>
      </c>
      <c r="K2505" s="1621" t="str">
        <f t="shared" si="331"/>
        <v>Customer Inputs</v>
      </c>
      <c r="L2505" s="1621"/>
      <c r="M2505" s="1621"/>
      <c r="N2505" s="1621"/>
      <c r="P2505" s="1621" t="str">
        <f>IFERROR(VLOOKUP(Q$2535,'Existing Customers'!$A:$F,1,FALSE),"")</f>
        <v/>
      </c>
    </row>
    <row r="2506" spans="1:16" s="1620" customFormat="1" x14ac:dyDescent="0.25">
      <c r="A2506" s="816" t="s">
        <v>1171</v>
      </c>
      <c r="B2506" s="766" t="str">
        <f ca="1">_xlfn.IFNA(_xlfn.CONCAT(SUBSTITUTE(ADDRESS(1,MATCH(A2506,INDIRECT("'"&amp;E2506&amp;"'"&amp;"!A5:Z5"),0),4),1,""),18),"")</f>
        <v>G18</v>
      </c>
      <c r="C2506" s="766" t="str">
        <f t="shared" ca="1" si="343"/>
        <v>G</v>
      </c>
      <c r="D2506" s="1621" t="s">
        <v>1350</v>
      </c>
      <c r="E2506" s="766" t="s">
        <v>865</v>
      </c>
      <c r="F2506" s="1621"/>
      <c r="G2506" s="1621"/>
      <c r="H2506" s="1621"/>
      <c r="I2506" s="1241" t="str">
        <f t="shared" si="330"/>
        <v>Shipping Location Number</v>
      </c>
      <c r="J2506" s="1621" t="str">
        <f>IFERROR(Q$1&amp;M2546,"")</f>
        <v>F1449</v>
      </c>
      <c r="K2506" s="1621" t="str">
        <f t="shared" si="331"/>
        <v>Customer Inputs</v>
      </c>
      <c r="L2506" s="1621"/>
      <c r="M2506" s="1621"/>
      <c r="N2506" s="1621"/>
      <c r="P2506" s="1621" t="str">
        <f>IFERROR(VLOOKUP(Q$2546,'Existing Customers'!$A:$F,1,FALSE),"")</f>
        <v/>
      </c>
    </row>
    <row r="2507" spans="1:16" s="1620" customFormat="1" x14ac:dyDescent="0.25">
      <c r="A2507" s="814" t="s">
        <v>1171</v>
      </c>
      <c r="B2507" s="766" t="str">
        <f ca="1">_xlfn.IFNA(_xlfn.CONCAT(SUBSTITUTE(ADDRESS(1,MATCH(A2507,INDIRECT("'"&amp;E2507&amp;"'"&amp;"!A5:Z5"),0),4),1,""),19),"")</f>
        <v>G19</v>
      </c>
      <c r="C2507" s="766" t="str">
        <f t="shared" ca="1" si="343"/>
        <v>G</v>
      </c>
      <c r="D2507" s="1621" t="s">
        <v>1350</v>
      </c>
      <c r="E2507" s="766" t="s">
        <v>865</v>
      </c>
      <c r="F2507" s="1621"/>
      <c r="G2507" s="1621"/>
      <c r="H2507" s="1621"/>
      <c r="I2507" s="1241" t="str">
        <f t="shared" si="330"/>
        <v>Shipping Location Number</v>
      </c>
      <c r="J2507" s="1621" t="str">
        <f>IFERROR(Q$1&amp;M2557,"")</f>
        <v>F1470</v>
      </c>
      <c r="K2507" s="1621" t="str">
        <f t="shared" si="331"/>
        <v>Customer Inputs</v>
      </c>
      <c r="L2507" s="1621"/>
      <c r="M2507" s="1621"/>
      <c r="N2507" s="1621"/>
      <c r="P2507" s="1621" t="str">
        <f>IFERROR(VLOOKUP(Q$2557,'Existing Customers'!$A:$F,1,FALSE),"")</f>
        <v/>
      </c>
    </row>
    <row r="2508" spans="1:16" s="1620" customFormat="1" x14ac:dyDescent="0.25">
      <c r="A2508" s="816" t="s">
        <v>1171</v>
      </c>
      <c r="B2508" s="766" t="str">
        <f ca="1">_xlfn.IFNA(_xlfn.CONCAT(SUBSTITUTE(ADDRESS(1,MATCH(A2508,INDIRECT("'"&amp;E2508&amp;"'"&amp;"!A5:Z5"),0),4),1,""),20),"")</f>
        <v>G20</v>
      </c>
      <c r="C2508" s="766" t="str">
        <f t="shared" ca="1" si="343"/>
        <v>G</v>
      </c>
      <c r="D2508" s="1621" t="s">
        <v>1350</v>
      </c>
      <c r="E2508" s="766" t="s">
        <v>865</v>
      </c>
      <c r="F2508" s="1621"/>
      <c r="G2508" s="1621"/>
      <c r="H2508" s="1621"/>
      <c r="I2508" s="1241" t="str">
        <f t="shared" ref="I2508:I2571" si="344">IF(J2508&lt;&gt;"",A2508,"")</f>
        <v>Shipping Location Number</v>
      </c>
      <c r="J2508" s="1621" t="str">
        <f>IFERROR(Q$1&amp;M2568,"")</f>
        <v>F1491</v>
      </c>
      <c r="K2508" s="1621" t="str">
        <f t="shared" ref="K2508:K2571" si="345">IF(J2508&lt;&gt;"",E2508,"")</f>
        <v>Customer Inputs</v>
      </c>
      <c r="L2508" s="1621"/>
      <c r="M2508" s="1621"/>
      <c r="N2508" s="1621"/>
      <c r="P2508" s="1621" t="str">
        <f>IFERROR(VLOOKUP(Q$2568,'Existing Customers'!$A:$F,1,FALSE),"")</f>
        <v/>
      </c>
    </row>
    <row r="2509" spans="1:16" s="1620" customFormat="1" x14ac:dyDescent="0.25">
      <c r="A2509" s="814" t="s">
        <v>1171</v>
      </c>
      <c r="B2509" s="766" t="str">
        <f ca="1">_xlfn.IFNA(_xlfn.CONCAT(SUBSTITUTE(ADDRESS(1,MATCH(A2509,INDIRECT("'"&amp;E2509&amp;"'"&amp;"!A5:Z5"),0),4),1,""),21),"")</f>
        <v>G21</v>
      </c>
      <c r="C2509" s="766" t="str">
        <f t="shared" ca="1" si="343"/>
        <v>G</v>
      </c>
      <c r="D2509" s="1621" t="s">
        <v>1350</v>
      </c>
      <c r="E2509" s="766" t="s">
        <v>865</v>
      </c>
      <c r="F2509" s="1621"/>
      <c r="G2509" s="1621"/>
      <c r="H2509" s="1621"/>
      <c r="I2509" s="1241" t="str">
        <f t="shared" si="344"/>
        <v>Shipping Location Number</v>
      </c>
      <c r="J2509" s="1621" t="str">
        <f>IFERROR(Q$1&amp;M2579,"")</f>
        <v>F1512</v>
      </c>
      <c r="K2509" s="1621" t="str">
        <f t="shared" si="345"/>
        <v>Customer Inputs</v>
      </c>
      <c r="L2509" s="1621"/>
      <c r="M2509" s="1621"/>
      <c r="N2509" s="1621"/>
      <c r="P2509" s="1621" t="str">
        <f>IFERROR(VLOOKUP(Q$2579,'Existing Customers'!$A:$F,1,FALSE),"")</f>
        <v/>
      </c>
    </row>
    <row r="2510" spans="1:16" s="1620" customFormat="1" x14ac:dyDescent="0.25">
      <c r="A2510" s="816" t="s">
        <v>1171</v>
      </c>
      <c r="B2510" s="766" t="str">
        <f ca="1">_xlfn.IFNA(_xlfn.CONCAT(SUBSTITUTE(ADDRESS(1,MATCH(A2510,INDIRECT("'"&amp;E2510&amp;"'"&amp;"!A5:Z5"),0),4),1,""),22),"")</f>
        <v>G22</v>
      </c>
      <c r="C2510" s="766" t="str">
        <f t="shared" ca="1" si="343"/>
        <v>G</v>
      </c>
      <c r="D2510" s="1621" t="s">
        <v>1350</v>
      </c>
      <c r="E2510" s="766" t="s">
        <v>865</v>
      </c>
      <c r="F2510" s="1621"/>
      <c r="G2510" s="1621"/>
      <c r="H2510" s="1621"/>
      <c r="I2510" s="1241" t="str">
        <f t="shared" si="344"/>
        <v>Shipping Location Number</v>
      </c>
      <c r="J2510" s="1621" t="str">
        <f>IFERROR(Q$1&amp;M2590,"")</f>
        <v>F1533</v>
      </c>
      <c r="K2510" s="1621" t="str">
        <f t="shared" si="345"/>
        <v>Customer Inputs</v>
      </c>
      <c r="L2510" s="1621"/>
      <c r="M2510" s="1621"/>
      <c r="N2510" s="1621"/>
      <c r="P2510" s="1621" t="str">
        <f>IFERROR(VLOOKUP(Q$2590,'Existing Customers'!$A:$F,1,FALSE),"")</f>
        <v/>
      </c>
    </row>
    <row r="2511" spans="1:16" s="1620" customFormat="1" x14ac:dyDescent="0.25">
      <c r="A2511" s="814" t="s">
        <v>1171</v>
      </c>
      <c r="B2511" s="766" t="str">
        <f ca="1">_xlfn.IFNA(_xlfn.CONCAT(SUBSTITUTE(ADDRESS(1,MATCH(A2511,INDIRECT("'"&amp;E2511&amp;"'"&amp;"!A5:Z5"),0),4),1,""),23),"")</f>
        <v>G23</v>
      </c>
      <c r="C2511" s="766" t="str">
        <f t="shared" ca="1" si="343"/>
        <v>G</v>
      </c>
      <c r="D2511" s="1621" t="s">
        <v>1350</v>
      </c>
      <c r="E2511" s="766" t="s">
        <v>865</v>
      </c>
      <c r="F2511" s="1621"/>
      <c r="G2511" s="1621"/>
      <c r="H2511" s="1621"/>
      <c r="I2511" s="1241" t="str">
        <f t="shared" si="344"/>
        <v>Shipping Location Number</v>
      </c>
      <c r="J2511" s="1621" t="str">
        <f>IFERROR(Q$1&amp;M2601,"")</f>
        <v>F1554</v>
      </c>
      <c r="K2511" s="1621" t="str">
        <f t="shared" si="345"/>
        <v>Customer Inputs</v>
      </c>
      <c r="L2511" s="1621"/>
      <c r="M2511" s="1621"/>
      <c r="N2511" s="1621"/>
      <c r="P2511" s="1621" t="str">
        <f>IFERROR(VLOOKUP(Q$2601,'Existing Customers'!$A:$F,1,FALSE),"")</f>
        <v/>
      </c>
    </row>
    <row r="2512" spans="1:16" s="1620" customFormat="1" x14ac:dyDescent="0.25">
      <c r="A2512" s="816" t="s">
        <v>1171</v>
      </c>
      <c r="B2512" s="766" t="str">
        <f ca="1">_xlfn.IFNA(_xlfn.CONCAT(SUBSTITUTE(ADDRESS(1,MATCH(A2512,INDIRECT("'"&amp;E2512&amp;"'"&amp;"!A5:Z5"),0),4),1,""),24),"")</f>
        <v>G24</v>
      </c>
      <c r="C2512" s="766" t="str">
        <f t="shared" ca="1" si="343"/>
        <v>G</v>
      </c>
      <c r="D2512" s="1621" t="s">
        <v>1350</v>
      </c>
      <c r="E2512" s="766" t="s">
        <v>865</v>
      </c>
      <c r="F2512" s="1621"/>
      <c r="G2512" s="1621"/>
      <c r="H2512" s="1621"/>
      <c r="I2512" s="1241" t="str">
        <f t="shared" si="344"/>
        <v>Shipping Location Number</v>
      </c>
      <c r="J2512" s="1621" t="str">
        <f>IFERROR(Q$1&amp;M2612,"")</f>
        <v>F1575</v>
      </c>
      <c r="K2512" s="1621" t="str">
        <f t="shared" si="345"/>
        <v>Customer Inputs</v>
      </c>
      <c r="L2512" s="1621"/>
      <c r="M2512" s="1621"/>
      <c r="N2512" s="1621"/>
      <c r="P2512" s="1621" t="str">
        <f>IFERROR(VLOOKUP(Q$2612,'Existing Customers'!$A:$F,1,FALSE),"")</f>
        <v/>
      </c>
    </row>
    <row r="2513" spans="1:17" s="1620" customFormat="1" x14ac:dyDescent="0.25">
      <c r="A2513" s="814" t="s">
        <v>1171</v>
      </c>
      <c r="B2513" s="766" t="str">
        <f ca="1">_xlfn.IFNA(_xlfn.CONCAT(SUBSTITUTE(ADDRESS(1,MATCH(A2513,INDIRECT("'"&amp;E2513&amp;"'"&amp;"!A5:Z5"),0),4),1,""),25),"")</f>
        <v>G25</v>
      </c>
      <c r="C2513" s="766" t="str">
        <f t="shared" ca="1" si="343"/>
        <v>G</v>
      </c>
      <c r="D2513" s="1621" t="s">
        <v>1350</v>
      </c>
      <c r="E2513" s="766" t="s">
        <v>865</v>
      </c>
      <c r="F2513" s="1621"/>
      <c r="G2513" s="1621"/>
      <c r="H2513" s="1621"/>
      <c r="I2513" s="1241" t="str">
        <f t="shared" si="344"/>
        <v>Shipping Location Number</v>
      </c>
      <c r="J2513" s="1621" t="str">
        <f>IFERROR(Q$1&amp;M2623,"")</f>
        <v>F1596</v>
      </c>
      <c r="K2513" s="1621" t="str">
        <f t="shared" si="345"/>
        <v>Customer Inputs</v>
      </c>
      <c r="L2513" s="1621"/>
      <c r="M2513" s="1621"/>
      <c r="N2513" s="1621"/>
      <c r="P2513" s="1621" t="str">
        <f>IFERROR(VLOOKUP(Q$2623,'Existing Customers'!$A:$F,1,FALSE),"")</f>
        <v/>
      </c>
    </row>
    <row r="2514" spans="1:17" s="1620" customFormat="1" x14ac:dyDescent="0.25">
      <c r="A2514" s="817" t="s">
        <v>204</v>
      </c>
      <c r="B2514" s="766" t="str">
        <f ca="1">_xlfn.IFNA(_xlfn.CONCAT(SUBSTITUTE(ADDRESS(1,MATCH(A2514,INDIRECT("'"&amp;E2514&amp;"'"&amp;"!A5:Z5"),0),4),1,""),16),"")</f>
        <v>S16</v>
      </c>
      <c r="C2514" s="766" t="str">
        <f t="shared" ca="1" si="343"/>
        <v>S</v>
      </c>
      <c r="D2514" s="1621" t="s">
        <v>1350</v>
      </c>
      <c r="E2514" s="766" t="s">
        <v>865</v>
      </c>
      <c r="F2514" s="1621"/>
      <c r="G2514" s="1621"/>
      <c r="H2514" s="1621"/>
      <c r="I2514" s="1241" t="str">
        <f t="shared" si="344"/>
        <v>Zip Code</v>
      </c>
      <c r="J2514" s="1621" t="str">
        <f>IF(P2504="",Q$1&amp;M1460,"")</f>
        <v>F</v>
      </c>
      <c r="K2514" s="1621" t="str">
        <f t="shared" si="345"/>
        <v>Customer Inputs</v>
      </c>
      <c r="L2514" s="1621"/>
      <c r="M2514" s="1621"/>
      <c r="N2514" s="1621"/>
    </row>
    <row r="2515" spans="1:17" s="1620" customFormat="1" x14ac:dyDescent="0.25">
      <c r="A2515" s="814" t="s">
        <v>204</v>
      </c>
      <c r="B2515" s="766" t="str">
        <f ca="1">_xlfn.IFNA(_xlfn.CONCAT(SUBSTITUTE(ADDRESS(1,MATCH(A2515,INDIRECT("'"&amp;E2515&amp;"'"&amp;"!A5:Z5"),0),4),1,""),17),"")</f>
        <v>S17</v>
      </c>
      <c r="C2515" s="766" t="str">
        <f t="shared" ca="1" si="343"/>
        <v>S</v>
      </c>
      <c r="D2515" s="1621" t="s">
        <v>1350</v>
      </c>
      <c r="E2515" s="766" t="s">
        <v>865</v>
      </c>
      <c r="F2515" s="1621"/>
      <c r="G2515" s="1621"/>
      <c r="H2515" s="1621"/>
      <c r="I2515" s="1241" t="str">
        <f t="shared" si="344"/>
        <v>Zip Code</v>
      </c>
      <c r="J2515" s="1621" t="str">
        <f>IF(P2505="",Q$1&amp;M1471,"")</f>
        <v>F</v>
      </c>
      <c r="K2515" s="1621" t="str">
        <f t="shared" si="345"/>
        <v>Customer Inputs</v>
      </c>
      <c r="L2515" s="1621"/>
      <c r="M2515" s="1621"/>
      <c r="N2515" s="1621"/>
    </row>
    <row r="2516" spans="1:17" s="1620" customFormat="1" x14ac:dyDescent="0.25">
      <c r="A2516" s="817" t="s">
        <v>204</v>
      </c>
      <c r="B2516" s="766" t="str">
        <f ca="1">_xlfn.IFNA(_xlfn.CONCAT(SUBSTITUTE(ADDRESS(1,MATCH(A2516,INDIRECT("'"&amp;E2516&amp;"'"&amp;"!A5:Z5"),0),4),1,""),18),"")</f>
        <v>S18</v>
      </c>
      <c r="C2516" s="766" t="str">
        <f t="shared" ca="1" si="343"/>
        <v>S</v>
      </c>
      <c r="D2516" s="1621" t="s">
        <v>1350</v>
      </c>
      <c r="E2516" s="766" t="s">
        <v>865</v>
      </c>
      <c r="F2516" s="1621"/>
      <c r="G2516" s="1621"/>
      <c r="H2516" s="1621"/>
      <c r="I2516" s="1241" t="str">
        <f t="shared" si="344"/>
        <v>Zip Code</v>
      </c>
      <c r="J2516" s="1621" t="str">
        <f>IF(P2506="",Q$1&amp;M1482,"")</f>
        <v>F</v>
      </c>
      <c r="K2516" s="1621" t="str">
        <f t="shared" si="345"/>
        <v>Customer Inputs</v>
      </c>
      <c r="L2516" s="1621"/>
      <c r="M2516" s="1621"/>
      <c r="N2516" s="1621"/>
    </row>
    <row r="2517" spans="1:17" s="1620" customFormat="1" x14ac:dyDescent="0.25">
      <c r="A2517" s="814" t="s">
        <v>204</v>
      </c>
      <c r="B2517" s="766" t="str">
        <f ca="1">_xlfn.IFNA(_xlfn.CONCAT(SUBSTITUTE(ADDRESS(1,MATCH(A2517,INDIRECT("'"&amp;E2517&amp;"'"&amp;"!A5:Z5"),0),4),1,""),19),"")</f>
        <v>S19</v>
      </c>
      <c r="C2517" s="766" t="str">
        <f t="shared" ca="1" si="343"/>
        <v>S</v>
      </c>
      <c r="D2517" s="1621" t="s">
        <v>1350</v>
      </c>
      <c r="E2517" s="766" t="s">
        <v>865</v>
      </c>
      <c r="F2517" s="1621"/>
      <c r="G2517" s="1621"/>
      <c r="H2517" s="1621"/>
      <c r="I2517" s="1241" t="str">
        <f t="shared" si="344"/>
        <v>Zip Code</v>
      </c>
      <c r="J2517" s="1621" t="str">
        <f>IF(P2507="",Q$1&amp;M1493,"")</f>
        <v>F</v>
      </c>
      <c r="K2517" s="1621" t="str">
        <f t="shared" si="345"/>
        <v>Customer Inputs</v>
      </c>
      <c r="L2517" s="1621"/>
      <c r="M2517" s="1621"/>
      <c r="N2517" s="1621"/>
    </row>
    <row r="2518" spans="1:17" s="1620" customFormat="1" x14ac:dyDescent="0.25">
      <c r="A2518" s="817" t="s">
        <v>204</v>
      </c>
      <c r="B2518" s="766" t="str">
        <f ca="1">_xlfn.IFNA(_xlfn.CONCAT(SUBSTITUTE(ADDRESS(1,MATCH(A2518,INDIRECT("'"&amp;E2518&amp;"'"&amp;"!A5:Z5"),0),4),1,""),20),"")</f>
        <v>S20</v>
      </c>
      <c r="C2518" s="766" t="str">
        <f t="shared" ca="1" si="343"/>
        <v>S</v>
      </c>
      <c r="D2518" s="1621" t="s">
        <v>1350</v>
      </c>
      <c r="E2518" s="766" t="s">
        <v>865</v>
      </c>
      <c r="F2518" s="1621"/>
      <c r="G2518" s="1621"/>
      <c r="H2518" s="1621"/>
      <c r="I2518" s="1241" t="str">
        <f t="shared" si="344"/>
        <v>Zip Code</v>
      </c>
      <c r="J2518" s="1621" t="str">
        <f>IF(P2508="",Q$1&amp;M1504,"")</f>
        <v>F</v>
      </c>
      <c r="K2518" s="1621" t="str">
        <f t="shared" si="345"/>
        <v>Customer Inputs</v>
      </c>
      <c r="L2518" s="1621"/>
      <c r="M2518" s="1621"/>
      <c r="N2518" s="1621"/>
    </row>
    <row r="2519" spans="1:17" s="1620" customFormat="1" x14ac:dyDescent="0.25">
      <c r="A2519" s="814" t="s">
        <v>204</v>
      </c>
      <c r="B2519" s="766" t="str">
        <f ca="1">_xlfn.IFNA(_xlfn.CONCAT(SUBSTITUTE(ADDRESS(1,MATCH(A2519,INDIRECT("'"&amp;E2519&amp;"'"&amp;"!A5:Z5"),0),4),1,""),21),"")</f>
        <v>S21</v>
      </c>
      <c r="C2519" s="766" t="str">
        <f t="shared" ca="1" si="343"/>
        <v>S</v>
      </c>
      <c r="D2519" s="1621" t="s">
        <v>1350</v>
      </c>
      <c r="E2519" s="766" t="s">
        <v>865</v>
      </c>
      <c r="F2519" s="1621"/>
      <c r="G2519" s="1621"/>
      <c r="H2519" s="1621"/>
      <c r="I2519" s="1241" t="str">
        <f t="shared" si="344"/>
        <v>Zip Code</v>
      </c>
      <c r="J2519" s="1621" t="str">
        <f>IF(P2509="",Q$1&amp;M1515,"")</f>
        <v>F</v>
      </c>
      <c r="K2519" s="1621" t="str">
        <f t="shared" si="345"/>
        <v>Customer Inputs</v>
      </c>
      <c r="L2519" s="1621"/>
      <c r="M2519" s="1621"/>
      <c r="N2519" s="1621"/>
    </row>
    <row r="2520" spans="1:17" s="1620" customFormat="1" x14ac:dyDescent="0.25">
      <c r="A2520" s="817" t="s">
        <v>204</v>
      </c>
      <c r="B2520" s="766" t="str">
        <f ca="1">_xlfn.IFNA(_xlfn.CONCAT(SUBSTITUTE(ADDRESS(1,MATCH(A2520,INDIRECT("'"&amp;E2520&amp;"'"&amp;"!A5:Z5"),0),4),1,""),22),"")</f>
        <v>S22</v>
      </c>
      <c r="C2520" s="766" t="str">
        <f t="shared" ca="1" si="343"/>
        <v>S</v>
      </c>
      <c r="D2520" s="1621" t="s">
        <v>1350</v>
      </c>
      <c r="E2520" s="766" t="s">
        <v>865</v>
      </c>
      <c r="F2520" s="1621"/>
      <c r="G2520" s="1621"/>
      <c r="H2520" s="1621"/>
      <c r="I2520" s="1241" t="str">
        <f t="shared" si="344"/>
        <v>Zip Code</v>
      </c>
      <c r="J2520" s="1621" t="str">
        <f>IF(P2510="",Q$1&amp;M1526,"")</f>
        <v>F</v>
      </c>
      <c r="K2520" s="1621" t="str">
        <f t="shared" si="345"/>
        <v>Customer Inputs</v>
      </c>
      <c r="L2520" s="1621"/>
      <c r="M2520" s="1621"/>
      <c r="N2520" s="1621"/>
    </row>
    <row r="2521" spans="1:17" s="1620" customFormat="1" x14ac:dyDescent="0.25">
      <c r="A2521" s="814" t="s">
        <v>204</v>
      </c>
      <c r="B2521" s="766" t="str">
        <f ca="1">_xlfn.IFNA(_xlfn.CONCAT(SUBSTITUTE(ADDRESS(1,MATCH(A2521,INDIRECT("'"&amp;E2521&amp;"'"&amp;"!A5:Z5"),0),4),1,""),23),"")</f>
        <v>S23</v>
      </c>
      <c r="C2521" s="766" t="str">
        <f t="shared" ca="1" si="343"/>
        <v>S</v>
      </c>
      <c r="D2521" s="1621" t="s">
        <v>1350</v>
      </c>
      <c r="E2521" s="766" t="s">
        <v>865</v>
      </c>
      <c r="F2521" s="1621"/>
      <c r="G2521" s="1621"/>
      <c r="H2521" s="1621"/>
      <c r="I2521" s="1241" t="str">
        <f t="shared" si="344"/>
        <v>Zip Code</v>
      </c>
      <c r="J2521" s="1621" t="str">
        <f>IF(P2511="",Q$1&amp;M1537,"")</f>
        <v>F</v>
      </c>
      <c r="K2521" s="1621" t="str">
        <f t="shared" si="345"/>
        <v>Customer Inputs</v>
      </c>
      <c r="L2521" s="1621"/>
      <c r="M2521" s="1621"/>
      <c r="N2521" s="1621"/>
    </row>
    <row r="2522" spans="1:17" s="1620" customFormat="1" x14ac:dyDescent="0.25">
      <c r="A2522" s="817" t="s">
        <v>204</v>
      </c>
      <c r="B2522" s="766" t="str">
        <f ca="1">_xlfn.IFNA(_xlfn.CONCAT(SUBSTITUTE(ADDRESS(1,MATCH(A2522,INDIRECT("'"&amp;E2522&amp;"'"&amp;"!A5:Z5"),0),4),1,""),24),"")</f>
        <v>S24</v>
      </c>
      <c r="C2522" s="766" t="str">
        <f t="shared" ca="1" si="343"/>
        <v>S</v>
      </c>
      <c r="D2522" s="1621" t="s">
        <v>1350</v>
      </c>
      <c r="E2522" s="766" t="s">
        <v>865</v>
      </c>
      <c r="F2522" s="1621"/>
      <c r="G2522" s="1621"/>
      <c r="H2522" s="1621"/>
      <c r="I2522" s="1241" t="str">
        <f t="shared" si="344"/>
        <v>Zip Code</v>
      </c>
      <c r="J2522" s="1621" t="str">
        <f>IF(P2512="",Q$1&amp;M1548,"")</f>
        <v>F</v>
      </c>
      <c r="K2522" s="1621" t="str">
        <f t="shared" si="345"/>
        <v>Customer Inputs</v>
      </c>
      <c r="L2522" s="1621"/>
      <c r="M2522" s="1621"/>
      <c r="N2522" s="1621"/>
    </row>
    <row r="2523" spans="1:17" s="1620" customFormat="1" x14ac:dyDescent="0.25">
      <c r="A2523" s="814" t="s">
        <v>204</v>
      </c>
      <c r="B2523" s="766" t="str">
        <f ca="1">_xlfn.IFNA(_xlfn.CONCAT(SUBSTITUTE(ADDRESS(1,MATCH(A2523,INDIRECT("'"&amp;E2523&amp;"'"&amp;"!A5:Z5"),0),4),1,""),25),"")</f>
        <v>S25</v>
      </c>
      <c r="C2523" s="766" t="str">
        <f t="shared" ca="1" si="343"/>
        <v>S</v>
      </c>
      <c r="D2523" s="1621" t="s">
        <v>1350</v>
      </c>
      <c r="E2523" s="766" t="s">
        <v>865</v>
      </c>
      <c r="F2523" s="1621"/>
      <c r="G2523" s="1621"/>
      <c r="H2523" s="1621"/>
      <c r="I2523" s="1241" t="str">
        <f t="shared" si="344"/>
        <v>Zip Code</v>
      </c>
      <c r="J2523" s="1621" t="str">
        <f>IF(P2513="",Q$1&amp;M1559,"")</f>
        <v>F</v>
      </c>
      <c r="K2523" s="1621" t="str">
        <f t="shared" si="345"/>
        <v>Customer Inputs</v>
      </c>
      <c r="L2523" s="1621"/>
      <c r="M2523" s="1621"/>
      <c r="N2523" s="1621"/>
    </row>
    <row r="2524" spans="1:17" s="1620" customFormat="1" x14ac:dyDescent="0.25">
      <c r="A2524" s="814" t="s">
        <v>1171</v>
      </c>
      <c r="B2524" s="766" t="str">
        <f ca="1">_xlfn.IFNA(_xlfn.CONCAT(SUBSTITUTE(ADDRESS(1,MATCH(A2524,INDIRECT("'"&amp;E2524&amp;"'"&amp;"!A18:Z18"),0),4),1,""),29),"")</f>
        <v>E29</v>
      </c>
      <c r="C2524" s="766" t="str">
        <f t="shared" ref="C2524:C2587" ca="1" si="346">_xlfn.IFNA(SUBSTITUTE(ADDRESS(1,MATCH(A2524,INDIRECT("'"&amp;E2524&amp;"'"&amp;"!A18:Z18"),0),4),1,""),"")</f>
        <v>E</v>
      </c>
      <c r="D2524" s="1621" t="s">
        <v>1350</v>
      </c>
      <c r="E2524" s="766" t="s">
        <v>1351</v>
      </c>
      <c r="F2524" s="1621"/>
      <c r="G2524" s="1621"/>
      <c r="H2524" s="1621"/>
      <c r="I2524" s="1241" t="str">
        <f t="shared" si="344"/>
        <v/>
      </c>
      <c r="J2524" s="1621"/>
      <c r="K2524" s="1621" t="str">
        <f t="shared" si="345"/>
        <v/>
      </c>
      <c r="L2524" s="799" t="s">
        <v>1171</v>
      </c>
      <c r="M2524" s="1621">
        <v>1407</v>
      </c>
      <c r="N2524" s="1621"/>
      <c r="P2524" s="1621" t="str">
        <f>IFERROR(VLOOKUP(Q$2524,'Existing Customers'!$A:$F,1,FALSE),"")</f>
        <v/>
      </c>
      <c r="Q2524" s="1621"/>
    </row>
    <row r="2525" spans="1:17" s="1620" customFormat="1" x14ac:dyDescent="0.25">
      <c r="A2525" s="815" t="s">
        <v>766</v>
      </c>
      <c r="B2525" s="766" t="str">
        <f t="shared" ref="B2525:B2534" ca="1" si="347">_xlfn.IFNA(_xlfn.CONCAT(SUBSTITUTE(ADDRESS(1,MATCH(A2525,INDIRECT("'"&amp;E2525&amp;"'"&amp;"!A18:Z18"),0),4),1,""),29),"")</f>
        <v>F29</v>
      </c>
      <c r="C2525" s="766" t="str">
        <f t="shared" ca="1" si="346"/>
        <v>F</v>
      </c>
      <c r="D2525" s="1621" t="s">
        <v>1350</v>
      </c>
      <c r="E2525" s="766" t="s">
        <v>1351</v>
      </c>
      <c r="F2525" s="1621"/>
      <c r="G2525" s="1621"/>
      <c r="H2525" s="1621"/>
      <c r="I2525" s="1241" t="str">
        <f t="shared" si="344"/>
        <v>Name</v>
      </c>
      <c r="J2525" s="1621" t="str">
        <f>IF(P2524="",Q$1&amp;M2525,"")</f>
        <v>F1409</v>
      </c>
      <c r="K2525" s="1621" t="str">
        <f t="shared" si="345"/>
        <v>Required Info to Submit</v>
      </c>
      <c r="L2525" s="799" t="s">
        <v>766</v>
      </c>
      <c r="M2525" s="1621">
        <v>1409</v>
      </c>
      <c r="N2525" s="1621"/>
    </row>
    <row r="2526" spans="1:17" s="1620" customFormat="1" x14ac:dyDescent="0.25">
      <c r="A2526" s="815" t="s">
        <v>765</v>
      </c>
      <c r="B2526" s="766" t="str">
        <f t="shared" ca="1" si="347"/>
        <v>G29</v>
      </c>
      <c r="C2526" s="766" t="str">
        <f t="shared" ca="1" si="346"/>
        <v>G</v>
      </c>
      <c r="D2526" s="1621" t="s">
        <v>1350</v>
      </c>
      <c r="E2526" s="766" t="s">
        <v>1351</v>
      </c>
      <c r="F2526" s="1621"/>
      <c r="G2526" s="1621"/>
      <c r="H2526" s="1621"/>
      <c r="I2526" s="1241" t="str">
        <f t="shared" si="344"/>
        <v/>
      </c>
      <c r="J2526" s="1621"/>
      <c r="K2526" s="1621" t="str">
        <f t="shared" si="345"/>
        <v/>
      </c>
      <c r="L2526" s="799" t="s">
        <v>765</v>
      </c>
      <c r="M2526" s="1621">
        <v>1419</v>
      </c>
      <c r="N2526" s="1621"/>
    </row>
    <row r="2527" spans="1:17" s="1620" customFormat="1" x14ac:dyDescent="0.25">
      <c r="A2527" s="815" t="s">
        <v>1172</v>
      </c>
      <c r="B2527" s="766" t="str">
        <f t="shared" ca="1" si="347"/>
        <v>H29</v>
      </c>
      <c r="C2527" s="766" t="str">
        <f t="shared" ca="1" si="346"/>
        <v>H</v>
      </c>
      <c r="D2527" s="1621" t="s">
        <v>1350</v>
      </c>
      <c r="E2527" s="766" t="s">
        <v>1351</v>
      </c>
      <c r="F2527" s="1621"/>
      <c r="G2527" s="1621"/>
      <c r="H2527" s="1621"/>
      <c r="I2527" s="1241" t="str">
        <f t="shared" si="344"/>
        <v/>
      </c>
      <c r="J2527" s="1621"/>
      <c r="K2527" s="1621" t="str">
        <f t="shared" si="345"/>
        <v/>
      </c>
      <c r="L2527" s="799" t="s">
        <v>1172</v>
      </c>
      <c r="M2527" s="1621">
        <v>1420</v>
      </c>
      <c r="N2527" s="1621"/>
    </row>
    <row r="2528" spans="1:17" s="1620" customFormat="1" x14ac:dyDescent="0.25">
      <c r="A2528" s="815" t="s">
        <v>1173</v>
      </c>
      <c r="B2528" s="766" t="str">
        <f t="shared" ca="1" si="347"/>
        <v>I29</v>
      </c>
      <c r="C2528" s="766" t="str">
        <f t="shared" ca="1" si="346"/>
        <v>I</v>
      </c>
      <c r="D2528" s="1621" t="s">
        <v>1350</v>
      </c>
      <c r="E2528" s="766" t="s">
        <v>1351</v>
      </c>
      <c r="F2528" s="1621"/>
      <c r="G2528" s="1621"/>
      <c r="H2528" s="1621"/>
      <c r="I2528" s="1241" t="str">
        <f t="shared" si="344"/>
        <v>Secondary or Internal Customer</v>
      </c>
      <c r="J2528" s="1621" t="str">
        <f>IF(M2528&lt;&gt;"",Q$1&amp;M2528,"")</f>
        <v>F1421</v>
      </c>
      <c r="K2528" s="1621" t="str">
        <f t="shared" si="345"/>
        <v>Required Info to Submit</v>
      </c>
      <c r="L2528" s="799" t="s">
        <v>1173</v>
      </c>
      <c r="M2528" s="1621">
        <v>1421</v>
      </c>
      <c r="N2528" s="1621"/>
    </row>
    <row r="2529" spans="1:17" s="1620" customFormat="1" x14ac:dyDescent="0.25">
      <c r="A2529" s="815" t="s">
        <v>1174</v>
      </c>
      <c r="B2529" s="766" t="str">
        <f t="shared" ca="1" si="347"/>
        <v>J29</v>
      </c>
      <c r="C2529" s="766" t="str">
        <f t="shared" ca="1" si="346"/>
        <v>J</v>
      </c>
      <c r="D2529" s="1621" t="s">
        <v>1350</v>
      </c>
      <c r="E2529" s="766" t="s">
        <v>1351</v>
      </c>
      <c r="F2529" s="1621"/>
      <c r="G2529" s="1621"/>
      <c r="H2529" s="1621"/>
      <c r="I2529" s="1241" t="str">
        <f t="shared" si="344"/>
        <v>Fuel Surcharge Applied</v>
      </c>
      <c r="J2529" s="1621" t="str">
        <f>IF(M2529&lt;&gt;"",Q$1&amp;M2529,"")</f>
        <v>F1422</v>
      </c>
      <c r="K2529" s="1621" t="str">
        <f t="shared" si="345"/>
        <v>Required Info to Submit</v>
      </c>
      <c r="L2529" s="799" t="s">
        <v>1360</v>
      </c>
      <c r="M2529" s="1621">
        <v>1422</v>
      </c>
      <c r="N2529" s="1621"/>
    </row>
    <row r="2530" spans="1:17" s="1620" customFormat="1" x14ac:dyDescent="0.25">
      <c r="A2530" s="815" t="s">
        <v>1290</v>
      </c>
      <c r="B2530" s="766" t="str">
        <f t="shared" ca="1" si="347"/>
        <v>K29</v>
      </c>
      <c r="C2530" s="766" t="str">
        <f t="shared" ca="1" si="346"/>
        <v>K</v>
      </c>
      <c r="D2530" s="1621" t="s">
        <v>1350</v>
      </c>
      <c r="E2530" s="766" t="s">
        <v>1351</v>
      </c>
      <c r="F2530" s="1621"/>
      <c r="G2530" s="1621"/>
      <c r="H2530" s="1621"/>
      <c r="I2530" s="1241" t="str">
        <f t="shared" si="344"/>
        <v>Minimum Delivery Charge Applied Flag</v>
      </c>
      <c r="J2530" s="1621" t="str">
        <f>IF(M2530&lt;&gt;"",Q$1&amp;M2530,"")</f>
        <v>F1423</v>
      </c>
      <c r="K2530" s="1621" t="str">
        <f t="shared" si="345"/>
        <v>Required Info to Submit</v>
      </c>
      <c r="L2530" s="799" t="s">
        <v>1290</v>
      </c>
      <c r="M2530" s="1621">
        <v>1423</v>
      </c>
      <c r="N2530" s="1621"/>
    </row>
    <row r="2531" spans="1:17" s="1620" customFormat="1" x14ac:dyDescent="0.25">
      <c r="A2531" s="815" t="s">
        <v>767</v>
      </c>
      <c r="B2531" s="766" t="str">
        <f t="shared" ca="1" si="347"/>
        <v/>
      </c>
      <c r="C2531" s="766" t="str">
        <f t="shared" ca="1" si="346"/>
        <v/>
      </c>
      <c r="D2531" s="1621" t="s">
        <v>1350</v>
      </c>
      <c r="E2531" s="766" t="s">
        <v>1351</v>
      </c>
      <c r="F2531" s="1621"/>
      <c r="G2531" s="1621"/>
      <c r="H2531" s="1621"/>
      <c r="I2531" s="1241"/>
      <c r="J2531" s="1621"/>
      <c r="K2531" s="1621"/>
      <c r="L2531" s="799"/>
      <c r="M2531" s="1621"/>
      <c r="N2531" s="1621"/>
    </row>
    <row r="2532" spans="1:17" s="1620" customFormat="1" x14ac:dyDescent="0.25">
      <c r="A2532" s="815" t="s">
        <v>768</v>
      </c>
      <c r="B2532" s="766" t="str">
        <f t="shared" ca="1" si="347"/>
        <v/>
      </c>
      <c r="C2532" s="766" t="str">
        <f t="shared" ca="1" si="346"/>
        <v/>
      </c>
      <c r="D2532" s="1621" t="s">
        <v>1350</v>
      </c>
      <c r="E2532" s="766" t="s">
        <v>1351</v>
      </c>
      <c r="F2532" s="1621"/>
      <c r="G2532" s="1621"/>
      <c r="H2532" s="1621"/>
      <c r="I2532" s="1241"/>
      <c r="J2532" s="1621"/>
      <c r="K2532" s="1621"/>
      <c r="L2532" s="799"/>
      <c r="M2532" s="1621"/>
      <c r="N2532" s="1621"/>
    </row>
    <row r="2533" spans="1:17" s="1620" customFormat="1" x14ac:dyDescent="0.25">
      <c r="A2533" s="815" t="s">
        <v>769</v>
      </c>
      <c r="B2533" s="766" t="str">
        <f t="shared" ca="1" si="347"/>
        <v/>
      </c>
      <c r="C2533" s="766" t="str">
        <f t="shared" ca="1" si="346"/>
        <v/>
      </c>
      <c r="D2533" s="1621" t="s">
        <v>1350</v>
      </c>
      <c r="E2533" s="766" t="s">
        <v>1351</v>
      </c>
      <c r="F2533" s="1621"/>
      <c r="G2533" s="1621"/>
      <c r="H2533" s="1621"/>
      <c r="I2533" s="1241"/>
      <c r="J2533" s="1621"/>
      <c r="K2533" s="1621"/>
      <c r="L2533" s="799"/>
      <c r="M2533" s="1621"/>
      <c r="N2533" s="1621"/>
    </row>
    <row r="2534" spans="1:17" s="1620" customFormat="1" x14ac:dyDescent="0.25">
      <c r="A2534" s="815" t="s">
        <v>204</v>
      </c>
      <c r="B2534" s="766" t="str">
        <f t="shared" ca="1" si="347"/>
        <v/>
      </c>
      <c r="C2534" s="766" t="str">
        <f t="shared" ca="1" si="346"/>
        <v/>
      </c>
      <c r="D2534" s="1621" t="s">
        <v>1350</v>
      </c>
      <c r="E2534" s="766" t="s">
        <v>1351</v>
      </c>
      <c r="F2534" s="1621"/>
      <c r="G2534" s="1621"/>
      <c r="H2534" s="1621"/>
      <c r="I2534" s="1241"/>
      <c r="J2534" s="1621"/>
      <c r="K2534" s="1621"/>
      <c r="L2534" s="799"/>
      <c r="M2534" s="1621"/>
      <c r="N2534" s="1621"/>
    </row>
    <row r="2535" spans="1:17" s="1620" customFormat="1" x14ac:dyDescent="0.25">
      <c r="A2535" s="816" t="s">
        <v>1171</v>
      </c>
      <c r="B2535" s="766" t="str">
        <f ca="1">_xlfn.IFNA(_xlfn.CONCAT(SUBSTITUTE(ADDRESS(1,MATCH(A2535,INDIRECT("'"&amp;E2535&amp;"'"&amp;"!A18:Z18"),0),4),1,""),30),"")</f>
        <v>E30</v>
      </c>
      <c r="C2535" s="766" t="str">
        <f t="shared" ca="1" si="346"/>
        <v>E</v>
      </c>
      <c r="D2535" s="1621" t="s">
        <v>1350</v>
      </c>
      <c r="E2535" s="766" t="s">
        <v>1351</v>
      </c>
      <c r="F2535" s="1621"/>
      <c r="G2535" s="1621"/>
      <c r="H2535" s="1621"/>
      <c r="I2535" s="1241" t="str">
        <f t="shared" si="344"/>
        <v/>
      </c>
      <c r="J2535" s="1621"/>
      <c r="K2535" s="1621" t="str">
        <f t="shared" si="345"/>
        <v/>
      </c>
      <c r="L2535" s="799" t="s">
        <v>1171</v>
      </c>
      <c r="M2535" s="1621">
        <v>1428</v>
      </c>
      <c r="N2535" s="1621"/>
      <c r="P2535" s="1621" t="str">
        <f>IFERROR(VLOOKUP(Q$2535,'Existing Customers'!$A:$F,1,FALSE),"")</f>
        <v/>
      </c>
      <c r="Q2535" s="1621"/>
    </row>
    <row r="2536" spans="1:17" s="1620" customFormat="1" x14ac:dyDescent="0.25">
      <c r="A2536" s="817" t="s">
        <v>766</v>
      </c>
      <c r="B2536" s="766" t="str">
        <f t="shared" ref="B2536:B2545" ca="1" si="348">_xlfn.IFNA(_xlfn.CONCAT(SUBSTITUTE(ADDRESS(1,MATCH(A2536,INDIRECT("'"&amp;E2536&amp;"'"&amp;"!A18:Z18"),0),4),1,""),30),"")</f>
        <v>F30</v>
      </c>
      <c r="C2536" s="766" t="str">
        <f t="shared" ca="1" si="346"/>
        <v>F</v>
      </c>
      <c r="D2536" s="1621" t="s">
        <v>1350</v>
      </c>
      <c r="E2536" s="766" t="s">
        <v>1351</v>
      </c>
      <c r="F2536" s="1621"/>
      <c r="G2536" s="1621"/>
      <c r="H2536" s="1621"/>
      <c r="I2536" s="1241" t="str">
        <f t="shared" si="344"/>
        <v>Name</v>
      </c>
      <c r="J2536" s="1621" t="str">
        <f>IF(P2535="",Q$1&amp;M2536,"")</f>
        <v>F1430</v>
      </c>
      <c r="K2536" s="1621" t="str">
        <f t="shared" si="345"/>
        <v>Required Info to Submit</v>
      </c>
      <c r="L2536" s="799" t="s">
        <v>766</v>
      </c>
      <c r="M2536" s="1621">
        <v>1430</v>
      </c>
      <c r="N2536" s="1621"/>
    </row>
    <row r="2537" spans="1:17" s="1620" customFormat="1" x14ac:dyDescent="0.25">
      <c r="A2537" s="817" t="s">
        <v>765</v>
      </c>
      <c r="B2537" s="766" t="str">
        <f t="shared" ca="1" si="348"/>
        <v>G30</v>
      </c>
      <c r="C2537" s="766" t="str">
        <f t="shared" ca="1" si="346"/>
        <v>G</v>
      </c>
      <c r="D2537" s="1621" t="s">
        <v>1350</v>
      </c>
      <c r="E2537" s="766" t="s">
        <v>1351</v>
      </c>
      <c r="F2537" s="1621"/>
      <c r="G2537" s="1621"/>
      <c r="H2537" s="1621"/>
      <c r="I2537" s="1241" t="str">
        <f t="shared" si="344"/>
        <v/>
      </c>
      <c r="J2537" s="1621"/>
      <c r="K2537" s="1621" t="str">
        <f t="shared" si="345"/>
        <v/>
      </c>
      <c r="L2537" s="799" t="s">
        <v>765</v>
      </c>
      <c r="M2537" s="1621">
        <v>1440</v>
      </c>
      <c r="N2537" s="1621"/>
    </row>
    <row r="2538" spans="1:17" s="1620" customFormat="1" x14ac:dyDescent="0.25">
      <c r="A2538" s="817" t="s">
        <v>1172</v>
      </c>
      <c r="B2538" s="766" t="str">
        <f t="shared" ca="1" si="348"/>
        <v>H30</v>
      </c>
      <c r="C2538" s="766" t="str">
        <f t="shared" ca="1" si="346"/>
        <v>H</v>
      </c>
      <c r="D2538" s="1621" t="s">
        <v>1350</v>
      </c>
      <c r="E2538" s="766" t="s">
        <v>1351</v>
      </c>
      <c r="F2538" s="1621"/>
      <c r="G2538" s="1621"/>
      <c r="H2538" s="1621"/>
      <c r="I2538" s="1241" t="str">
        <f t="shared" si="344"/>
        <v/>
      </c>
      <c r="J2538" s="1621"/>
      <c r="K2538" s="1621" t="str">
        <f t="shared" si="345"/>
        <v/>
      </c>
      <c r="L2538" s="799" t="s">
        <v>1172</v>
      </c>
      <c r="M2538" s="1621">
        <v>1441</v>
      </c>
      <c r="N2538" s="1621"/>
    </row>
    <row r="2539" spans="1:17" s="1620" customFormat="1" x14ac:dyDescent="0.25">
      <c r="A2539" s="817" t="s">
        <v>1173</v>
      </c>
      <c r="B2539" s="766" t="str">
        <f t="shared" ca="1" si="348"/>
        <v>I30</v>
      </c>
      <c r="C2539" s="766" t="str">
        <f t="shared" ca="1" si="346"/>
        <v>I</v>
      </c>
      <c r="D2539" s="1621" t="s">
        <v>1350</v>
      </c>
      <c r="E2539" s="766" t="s">
        <v>1351</v>
      </c>
      <c r="F2539" s="1621"/>
      <c r="G2539" s="1621"/>
      <c r="H2539" s="1621"/>
      <c r="I2539" s="1241" t="str">
        <f t="shared" si="344"/>
        <v>Secondary or Internal Customer</v>
      </c>
      <c r="J2539" s="1621" t="str">
        <f>IF(M2539&lt;&gt;"",Q$1&amp;M2539,"")</f>
        <v>F1442</v>
      </c>
      <c r="K2539" s="1621" t="str">
        <f t="shared" si="345"/>
        <v>Required Info to Submit</v>
      </c>
      <c r="L2539" s="799" t="s">
        <v>1173</v>
      </c>
      <c r="M2539" s="1621">
        <v>1442</v>
      </c>
      <c r="N2539" s="1621"/>
    </row>
    <row r="2540" spans="1:17" s="1620" customFormat="1" x14ac:dyDescent="0.25">
      <c r="A2540" s="817" t="s">
        <v>1174</v>
      </c>
      <c r="B2540" s="766" t="str">
        <f t="shared" ca="1" si="348"/>
        <v>J30</v>
      </c>
      <c r="C2540" s="766" t="str">
        <f t="shared" ca="1" si="346"/>
        <v>J</v>
      </c>
      <c r="D2540" s="1621" t="s">
        <v>1350</v>
      </c>
      <c r="E2540" s="766" t="s">
        <v>1351</v>
      </c>
      <c r="F2540" s="1621"/>
      <c r="G2540" s="1621"/>
      <c r="H2540" s="1621"/>
      <c r="I2540" s="1241" t="str">
        <f t="shared" si="344"/>
        <v>Fuel Surcharge Applied</v>
      </c>
      <c r="J2540" s="1621" t="str">
        <f>IF(M2540&lt;&gt;"",Q$1&amp;M2540,"")</f>
        <v>F1443</v>
      </c>
      <c r="K2540" s="1621" t="str">
        <f t="shared" si="345"/>
        <v>Required Info to Submit</v>
      </c>
      <c r="L2540" s="799" t="s">
        <v>1360</v>
      </c>
      <c r="M2540" s="1621">
        <v>1443</v>
      </c>
      <c r="N2540" s="1621"/>
    </row>
    <row r="2541" spans="1:17" s="1620" customFormat="1" x14ac:dyDescent="0.25">
      <c r="A2541" s="817" t="s">
        <v>1290</v>
      </c>
      <c r="B2541" s="766" t="str">
        <f t="shared" ca="1" si="348"/>
        <v>K30</v>
      </c>
      <c r="C2541" s="766" t="str">
        <f t="shared" ca="1" si="346"/>
        <v>K</v>
      </c>
      <c r="D2541" s="1621" t="s">
        <v>1350</v>
      </c>
      <c r="E2541" s="766" t="s">
        <v>1351</v>
      </c>
      <c r="F2541" s="1621"/>
      <c r="G2541" s="1621"/>
      <c r="H2541" s="1621"/>
      <c r="I2541" s="1241" t="str">
        <f t="shared" si="344"/>
        <v>Minimum Delivery Charge Applied Flag</v>
      </c>
      <c r="J2541" s="1621" t="str">
        <f>IF(M2541&lt;&gt;"",Q$1&amp;M2541,"")</f>
        <v>F1444</v>
      </c>
      <c r="K2541" s="1621" t="str">
        <f t="shared" si="345"/>
        <v>Required Info to Submit</v>
      </c>
      <c r="L2541" s="799" t="s">
        <v>1290</v>
      </c>
      <c r="M2541" s="1621">
        <v>1444</v>
      </c>
      <c r="N2541" s="1621"/>
    </row>
    <row r="2542" spans="1:17" s="1620" customFormat="1" x14ac:dyDescent="0.25">
      <c r="A2542" s="817" t="s">
        <v>767</v>
      </c>
      <c r="B2542" s="766" t="str">
        <f t="shared" ca="1" si="348"/>
        <v/>
      </c>
      <c r="C2542" s="766" t="str">
        <f t="shared" ca="1" si="346"/>
        <v/>
      </c>
      <c r="D2542" s="1621" t="s">
        <v>1350</v>
      </c>
      <c r="E2542" s="766" t="s">
        <v>1351</v>
      </c>
      <c r="F2542" s="1621"/>
      <c r="G2542" s="1621"/>
      <c r="H2542" s="1621"/>
      <c r="I2542" s="1241"/>
      <c r="J2542" s="1621"/>
      <c r="K2542" s="1621"/>
      <c r="L2542" s="799"/>
      <c r="M2542" s="1621"/>
      <c r="N2542" s="1621"/>
    </row>
    <row r="2543" spans="1:17" s="1620" customFormat="1" x14ac:dyDescent="0.25">
      <c r="A2543" s="817" t="s">
        <v>768</v>
      </c>
      <c r="B2543" s="766" t="str">
        <f t="shared" ca="1" si="348"/>
        <v/>
      </c>
      <c r="C2543" s="766" t="str">
        <f t="shared" ca="1" si="346"/>
        <v/>
      </c>
      <c r="D2543" s="1621" t="s">
        <v>1350</v>
      </c>
      <c r="E2543" s="766" t="s">
        <v>1351</v>
      </c>
      <c r="F2543" s="1621"/>
      <c r="G2543" s="1621"/>
      <c r="H2543" s="1621"/>
      <c r="I2543" s="1241"/>
      <c r="J2543" s="1621"/>
      <c r="K2543" s="1621"/>
      <c r="L2543" s="799"/>
      <c r="M2543" s="1621"/>
      <c r="N2543" s="1621"/>
    </row>
    <row r="2544" spans="1:17" s="1620" customFormat="1" x14ac:dyDescent="0.25">
      <c r="A2544" s="817" t="s">
        <v>769</v>
      </c>
      <c r="B2544" s="766" t="str">
        <f t="shared" ca="1" si="348"/>
        <v/>
      </c>
      <c r="C2544" s="766" t="str">
        <f t="shared" ca="1" si="346"/>
        <v/>
      </c>
      <c r="D2544" s="1621" t="s">
        <v>1350</v>
      </c>
      <c r="E2544" s="766" t="s">
        <v>1351</v>
      </c>
      <c r="F2544" s="1621"/>
      <c r="G2544" s="1621"/>
      <c r="H2544" s="1621"/>
      <c r="I2544" s="1241"/>
      <c r="J2544" s="1621"/>
      <c r="K2544" s="1621"/>
      <c r="L2544" s="799"/>
      <c r="M2544" s="1621"/>
      <c r="N2544" s="1621"/>
    </row>
    <row r="2545" spans="1:17" s="1620" customFormat="1" x14ac:dyDescent="0.25">
      <c r="A2545" s="817" t="s">
        <v>204</v>
      </c>
      <c r="B2545" s="766" t="str">
        <f t="shared" ca="1" si="348"/>
        <v/>
      </c>
      <c r="C2545" s="766" t="str">
        <f t="shared" ca="1" si="346"/>
        <v/>
      </c>
      <c r="D2545" s="1621" t="s">
        <v>1350</v>
      </c>
      <c r="E2545" s="766" t="s">
        <v>1351</v>
      </c>
      <c r="F2545" s="1621"/>
      <c r="G2545" s="1621"/>
      <c r="H2545" s="1621"/>
      <c r="I2545" s="1241"/>
      <c r="J2545" s="1621"/>
      <c r="K2545" s="1621"/>
      <c r="L2545" s="799"/>
      <c r="M2545" s="1621"/>
      <c r="N2545" s="1621"/>
    </row>
    <row r="2546" spans="1:17" s="1620" customFormat="1" x14ac:dyDescent="0.25">
      <c r="A2546" s="814" t="s">
        <v>1171</v>
      </c>
      <c r="B2546" s="766" t="str">
        <f ca="1">_xlfn.IFNA(_xlfn.CONCAT(SUBSTITUTE(ADDRESS(1,MATCH(A2546,INDIRECT("'"&amp;E2546&amp;"'"&amp;"!A18:Z18"),0),4),1,""),31),"")</f>
        <v>E31</v>
      </c>
      <c r="C2546" s="766" t="str">
        <f t="shared" ca="1" si="346"/>
        <v>E</v>
      </c>
      <c r="D2546" s="1621" t="s">
        <v>1350</v>
      </c>
      <c r="E2546" s="766" t="s">
        <v>1351</v>
      </c>
      <c r="F2546" s="1621"/>
      <c r="G2546" s="1621"/>
      <c r="H2546" s="1621"/>
      <c r="I2546" s="1241" t="str">
        <f t="shared" si="344"/>
        <v/>
      </c>
      <c r="J2546" s="1621"/>
      <c r="K2546" s="1621" t="str">
        <f t="shared" si="345"/>
        <v/>
      </c>
      <c r="L2546" s="799" t="s">
        <v>1171</v>
      </c>
      <c r="M2546" s="1621">
        <v>1449</v>
      </c>
      <c r="N2546" s="1621"/>
      <c r="P2546" s="1621" t="str">
        <f>IFERROR(VLOOKUP(Q$2546,'Existing Customers'!$A:$F,1,FALSE),"")</f>
        <v/>
      </c>
      <c r="Q2546" s="1621"/>
    </row>
    <row r="2547" spans="1:17" s="1620" customFormat="1" x14ac:dyDescent="0.25">
      <c r="A2547" s="815" t="s">
        <v>766</v>
      </c>
      <c r="B2547" s="766" t="str">
        <f t="shared" ref="B2547:B2556" ca="1" si="349">_xlfn.IFNA(_xlfn.CONCAT(SUBSTITUTE(ADDRESS(1,MATCH(A2547,INDIRECT("'"&amp;E2547&amp;"'"&amp;"!A18:Z18"),0),4),1,""),31),"")</f>
        <v>F31</v>
      </c>
      <c r="C2547" s="766" t="str">
        <f t="shared" ca="1" si="346"/>
        <v>F</v>
      </c>
      <c r="D2547" s="1621" t="s">
        <v>1350</v>
      </c>
      <c r="E2547" s="766" t="s">
        <v>1351</v>
      </c>
      <c r="F2547" s="1621"/>
      <c r="G2547" s="1621"/>
      <c r="H2547" s="1621"/>
      <c r="I2547" s="1241" t="str">
        <f t="shared" si="344"/>
        <v>Name</v>
      </c>
      <c r="J2547" s="1621" t="str">
        <f>IF(P2546="",Q$1&amp;M2547,"")</f>
        <v>F1459</v>
      </c>
      <c r="K2547" s="1621" t="str">
        <f t="shared" si="345"/>
        <v>Required Info to Submit</v>
      </c>
      <c r="L2547" s="799" t="s">
        <v>766</v>
      </c>
      <c r="M2547" s="1621">
        <v>1459</v>
      </c>
      <c r="N2547" s="1621"/>
    </row>
    <row r="2548" spans="1:17" s="1620" customFormat="1" x14ac:dyDescent="0.25">
      <c r="A2548" s="815" t="s">
        <v>765</v>
      </c>
      <c r="B2548" s="766" t="str">
        <f t="shared" ca="1" si="349"/>
        <v>G31</v>
      </c>
      <c r="C2548" s="766" t="str">
        <f t="shared" ca="1" si="346"/>
        <v>G</v>
      </c>
      <c r="D2548" s="1621" t="s">
        <v>1350</v>
      </c>
      <c r="E2548" s="766" t="s">
        <v>1351</v>
      </c>
      <c r="F2548" s="1621"/>
      <c r="G2548" s="1621"/>
      <c r="H2548" s="1621"/>
      <c r="I2548" s="1241" t="str">
        <f t="shared" si="344"/>
        <v/>
      </c>
      <c r="J2548" s="1621"/>
      <c r="K2548" s="1621" t="str">
        <f t="shared" si="345"/>
        <v/>
      </c>
      <c r="L2548" s="799" t="s">
        <v>765</v>
      </c>
      <c r="M2548" s="1621">
        <v>1461</v>
      </c>
      <c r="N2548" s="1621"/>
    </row>
    <row r="2549" spans="1:17" s="1620" customFormat="1" x14ac:dyDescent="0.25">
      <c r="A2549" s="815" t="s">
        <v>1172</v>
      </c>
      <c r="B2549" s="766" t="str">
        <f t="shared" ca="1" si="349"/>
        <v>H31</v>
      </c>
      <c r="C2549" s="766" t="str">
        <f t="shared" ca="1" si="346"/>
        <v>H</v>
      </c>
      <c r="D2549" s="1621" t="s">
        <v>1350</v>
      </c>
      <c r="E2549" s="766" t="s">
        <v>1351</v>
      </c>
      <c r="F2549" s="1621"/>
      <c r="G2549" s="1621"/>
      <c r="H2549" s="1621"/>
      <c r="I2549" s="1241" t="str">
        <f t="shared" si="344"/>
        <v/>
      </c>
      <c r="J2549" s="1621"/>
      <c r="K2549" s="1621" t="str">
        <f t="shared" si="345"/>
        <v/>
      </c>
      <c r="L2549" s="799" t="s">
        <v>1172</v>
      </c>
      <c r="M2549" s="1621">
        <v>1462</v>
      </c>
      <c r="N2549" s="1621"/>
    </row>
    <row r="2550" spans="1:17" s="1620" customFormat="1" x14ac:dyDescent="0.25">
      <c r="A2550" s="815" t="s">
        <v>1173</v>
      </c>
      <c r="B2550" s="766" t="str">
        <f t="shared" ca="1" si="349"/>
        <v>I31</v>
      </c>
      <c r="C2550" s="766" t="str">
        <f t="shared" ca="1" si="346"/>
        <v>I</v>
      </c>
      <c r="D2550" s="1621" t="s">
        <v>1350</v>
      </c>
      <c r="E2550" s="766" t="s">
        <v>1351</v>
      </c>
      <c r="F2550" s="1621"/>
      <c r="G2550" s="1621"/>
      <c r="H2550" s="1621"/>
      <c r="I2550" s="1241" t="str">
        <f t="shared" si="344"/>
        <v>Secondary or Internal Customer</v>
      </c>
      <c r="J2550" s="1621" t="str">
        <f>IF(M2550&lt;&gt;"",Q$1&amp;M2550,"")</f>
        <v>F1463</v>
      </c>
      <c r="K2550" s="1621" t="str">
        <f t="shared" si="345"/>
        <v>Required Info to Submit</v>
      </c>
      <c r="L2550" s="799" t="s">
        <v>1173</v>
      </c>
      <c r="M2550" s="1621">
        <v>1463</v>
      </c>
      <c r="N2550" s="1621"/>
    </row>
    <row r="2551" spans="1:17" s="1620" customFormat="1" x14ac:dyDescent="0.25">
      <c r="A2551" s="815" t="s">
        <v>1174</v>
      </c>
      <c r="B2551" s="766" t="str">
        <f t="shared" ca="1" si="349"/>
        <v>J31</v>
      </c>
      <c r="C2551" s="766" t="str">
        <f t="shared" ca="1" si="346"/>
        <v>J</v>
      </c>
      <c r="D2551" s="1621" t="s">
        <v>1350</v>
      </c>
      <c r="E2551" s="766" t="s">
        <v>1351</v>
      </c>
      <c r="F2551" s="1621"/>
      <c r="G2551" s="1621"/>
      <c r="H2551" s="1621"/>
      <c r="I2551" s="1241" t="str">
        <f t="shared" si="344"/>
        <v>Fuel Surcharge Applied</v>
      </c>
      <c r="J2551" s="1621" t="str">
        <f>IF(M2551&lt;&gt;"",Q$1&amp;M2551,"")</f>
        <v>F1464</v>
      </c>
      <c r="K2551" s="1621" t="str">
        <f t="shared" si="345"/>
        <v>Required Info to Submit</v>
      </c>
      <c r="L2551" s="799" t="s">
        <v>1360</v>
      </c>
      <c r="M2551" s="1621">
        <v>1464</v>
      </c>
      <c r="N2551" s="1621"/>
    </row>
    <row r="2552" spans="1:17" s="1620" customFormat="1" x14ac:dyDescent="0.25">
      <c r="A2552" s="815" t="s">
        <v>1290</v>
      </c>
      <c r="B2552" s="766" t="str">
        <f t="shared" ca="1" si="349"/>
        <v>K31</v>
      </c>
      <c r="C2552" s="766" t="str">
        <f t="shared" ca="1" si="346"/>
        <v>K</v>
      </c>
      <c r="D2552" s="1621" t="s">
        <v>1350</v>
      </c>
      <c r="E2552" s="766" t="s">
        <v>1351</v>
      </c>
      <c r="F2552" s="1621"/>
      <c r="G2552" s="1621"/>
      <c r="H2552" s="1621"/>
      <c r="I2552" s="1241" t="str">
        <f t="shared" si="344"/>
        <v>Minimum Delivery Charge Applied Flag</v>
      </c>
      <c r="J2552" s="1621" t="str">
        <f>IF(M2552&lt;&gt;"",Q$1&amp;M2552,"")</f>
        <v>F1465</v>
      </c>
      <c r="K2552" s="1621" t="str">
        <f t="shared" si="345"/>
        <v>Required Info to Submit</v>
      </c>
      <c r="L2552" s="799" t="s">
        <v>1290</v>
      </c>
      <c r="M2552" s="1621">
        <v>1465</v>
      </c>
      <c r="N2552" s="1621"/>
    </row>
    <row r="2553" spans="1:17" s="1620" customFormat="1" x14ac:dyDescent="0.25">
      <c r="A2553" s="815" t="s">
        <v>767</v>
      </c>
      <c r="B2553" s="766" t="str">
        <f t="shared" ca="1" si="349"/>
        <v/>
      </c>
      <c r="C2553" s="766" t="str">
        <f t="shared" ca="1" si="346"/>
        <v/>
      </c>
      <c r="D2553" s="1621" t="s">
        <v>1350</v>
      </c>
      <c r="E2553" s="766" t="s">
        <v>1351</v>
      </c>
      <c r="F2553" s="1621"/>
      <c r="G2553" s="1621"/>
      <c r="H2553" s="1621"/>
      <c r="I2553" s="1241"/>
      <c r="J2553" s="1621"/>
      <c r="K2553" s="1621"/>
      <c r="L2553" s="799"/>
      <c r="M2553" s="1621"/>
      <c r="N2553" s="1621"/>
    </row>
    <row r="2554" spans="1:17" s="1620" customFormat="1" x14ac:dyDescent="0.25">
      <c r="A2554" s="815" t="s">
        <v>768</v>
      </c>
      <c r="B2554" s="766" t="str">
        <f t="shared" ca="1" si="349"/>
        <v/>
      </c>
      <c r="C2554" s="766" t="str">
        <f t="shared" ca="1" si="346"/>
        <v/>
      </c>
      <c r="D2554" s="1621" t="s">
        <v>1350</v>
      </c>
      <c r="E2554" s="766" t="s">
        <v>1351</v>
      </c>
      <c r="F2554" s="1621"/>
      <c r="G2554" s="1621"/>
      <c r="H2554" s="1621"/>
      <c r="I2554" s="1241"/>
      <c r="J2554" s="1621"/>
      <c r="K2554" s="1621"/>
      <c r="L2554" s="799"/>
      <c r="M2554" s="1621"/>
      <c r="N2554" s="1621"/>
    </row>
    <row r="2555" spans="1:17" s="1620" customFormat="1" x14ac:dyDescent="0.25">
      <c r="A2555" s="815" t="s">
        <v>769</v>
      </c>
      <c r="B2555" s="766" t="str">
        <f t="shared" ca="1" si="349"/>
        <v/>
      </c>
      <c r="C2555" s="766" t="str">
        <f t="shared" ca="1" si="346"/>
        <v/>
      </c>
      <c r="D2555" s="1621" t="s">
        <v>1350</v>
      </c>
      <c r="E2555" s="766" t="s">
        <v>1351</v>
      </c>
      <c r="F2555" s="1621"/>
      <c r="G2555" s="1621"/>
      <c r="H2555" s="1621"/>
      <c r="I2555" s="1241"/>
      <c r="J2555" s="1621"/>
      <c r="K2555" s="1621"/>
      <c r="L2555" s="799"/>
      <c r="M2555" s="1621"/>
      <c r="N2555" s="1621"/>
    </row>
    <row r="2556" spans="1:17" s="1620" customFormat="1" x14ac:dyDescent="0.25">
      <c r="A2556" s="815" t="s">
        <v>204</v>
      </c>
      <c r="B2556" s="766" t="str">
        <f t="shared" ca="1" si="349"/>
        <v/>
      </c>
      <c r="C2556" s="766" t="str">
        <f t="shared" ca="1" si="346"/>
        <v/>
      </c>
      <c r="D2556" s="1621" t="s">
        <v>1350</v>
      </c>
      <c r="E2556" s="766" t="s">
        <v>1351</v>
      </c>
      <c r="F2556" s="1621"/>
      <c r="G2556" s="1621"/>
      <c r="H2556" s="1621"/>
      <c r="I2556" s="1241"/>
      <c r="J2556" s="1621"/>
      <c r="K2556" s="1621"/>
      <c r="L2556" s="799"/>
      <c r="M2556" s="1621"/>
      <c r="N2556" s="1621"/>
    </row>
    <row r="2557" spans="1:17" s="1620" customFormat="1" x14ac:dyDescent="0.25">
      <c r="A2557" s="816" t="s">
        <v>1171</v>
      </c>
      <c r="B2557" s="766" t="str">
        <f ca="1">_xlfn.IFNA(_xlfn.CONCAT(SUBSTITUTE(ADDRESS(1,MATCH(A2557,INDIRECT("'"&amp;E2557&amp;"'"&amp;"!A18:Z18"),0),4),1,""),32),"")</f>
        <v>E32</v>
      </c>
      <c r="C2557" s="766" t="str">
        <f t="shared" ca="1" si="346"/>
        <v>E</v>
      </c>
      <c r="D2557" s="1621" t="s">
        <v>1350</v>
      </c>
      <c r="E2557" s="766" t="s">
        <v>1351</v>
      </c>
      <c r="F2557" s="1621"/>
      <c r="G2557" s="1621"/>
      <c r="H2557" s="1621"/>
      <c r="I2557" s="1241" t="str">
        <f t="shared" si="344"/>
        <v/>
      </c>
      <c r="J2557" s="1621"/>
      <c r="K2557" s="1621" t="str">
        <f t="shared" si="345"/>
        <v/>
      </c>
      <c r="L2557" s="799" t="s">
        <v>1171</v>
      </c>
      <c r="M2557" s="1621">
        <v>1470</v>
      </c>
      <c r="N2557" s="1621"/>
      <c r="P2557" s="1621" t="str">
        <f>IFERROR(VLOOKUP(Q$2557,'Existing Customers'!$A:$F,1,FALSE),"")</f>
        <v/>
      </c>
      <c r="Q2557" s="1621"/>
    </row>
    <row r="2558" spans="1:17" s="1620" customFormat="1" x14ac:dyDescent="0.25">
      <c r="A2558" s="817" t="s">
        <v>766</v>
      </c>
      <c r="B2558" s="766" t="str">
        <f t="shared" ref="B2558:B2567" ca="1" si="350">_xlfn.IFNA(_xlfn.CONCAT(SUBSTITUTE(ADDRESS(1,MATCH(A2558,INDIRECT("'"&amp;E2558&amp;"'"&amp;"!A18:Z18"),0),4),1,""),32),"")</f>
        <v>F32</v>
      </c>
      <c r="C2558" s="766" t="str">
        <f t="shared" ca="1" si="346"/>
        <v>F</v>
      </c>
      <c r="D2558" s="1621" t="s">
        <v>1350</v>
      </c>
      <c r="E2558" s="766" t="s">
        <v>1351</v>
      </c>
      <c r="F2558" s="1621"/>
      <c r="G2558" s="1621"/>
      <c r="H2558" s="1621"/>
      <c r="I2558" s="1241" t="str">
        <f t="shared" si="344"/>
        <v>Name</v>
      </c>
      <c r="J2558" s="1621" t="str">
        <f>IF(P2557="",Q$1&amp;M2558,"")</f>
        <v>F1472</v>
      </c>
      <c r="K2558" s="1621" t="str">
        <f t="shared" si="345"/>
        <v>Required Info to Submit</v>
      </c>
      <c r="L2558" s="799" t="s">
        <v>766</v>
      </c>
      <c r="M2558" s="1621">
        <v>1472</v>
      </c>
      <c r="N2558" s="1621"/>
    </row>
    <row r="2559" spans="1:17" s="1620" customFormat="1" x14ac:dyDescent="0.25">
      <c r="A2559" s="817" t="s">
        <v>765</v>
      </c>
      <c r="B2559" s="766" t="str">
        <f t="shared" ca="1" si="350"/>
        <v>G32</v>
      </c>
      <c r="C2559" s="766" t="str">
        <f t="shared" ca="1" si="346"/>
        <v>G</v>
      </c>
      <c r="D2559" s="1621" t="s">
        <v>1350</v>
      </c>
      <c r="E2559" s="766" t="s">
        <v>1351</v>
      </c>
      <c r="F2559" s="1621"/>
      <c r="G2559" s="1621"/>
      <c r="H2559" s="1621"/>
      <c r="I2559" s="1241" t="str">
        <f t="shared" si="344"/>
        <v/>
      </c>
      <c r="J2559" s="1621"/>
      <c r="K2559" s="1621" t="str">
        <f t="shared" si="345"/>
        <v/>
      </c>
      <c r="L2559" s="799" t="s">
        <v>765</v>
      </c>
      <c r="M2559" s="1621">
        <v>1482</v>
      </c>
      <c r="N2559" s="1621"/>
    </row>
    <row r="2560" spans="1:17" s="1620" customFormat="1" x14ac:dyDescent="0.25">
      <c r="A2560" s="817" t="s">
        <v>1172</v>
      </c>
      <c r="B2560" s="766" t="str">
        <f t="shared" ca="1" si="350"/>
        <v>H32</v>
      </c>
      <c r="C2560" s="766" t="str">
        <f t="shared" ca="1" si="346"/>
        <v>H</v>
      </c>
      <c r="D2560" s="1621" t="s">
        <v>1350</v>
      </c>
      <c r="E2560" s="766" t="s">
        <v>1351</v>
      </c>
      <c r="F2560" s="1621"/>
      <c r="G2560" s="1621"/>
      <c r="H2560" s="1621"/>
      <c r="I2560" s="1241" t="str">
        <f t="shared" si="344"/>
        <v/>
      </c>
      <c r="J2560" s="1621"/>
      <c r="K2560" s="1621" t="str">
        <f t="shared" si="345"/>
        <v/>
      </c>
      <c r="L2560" s="799" t="s">
        <v>1172</v>
      </c>
      <c r="M2560" s="1621">
        <v>1483</v>
      </c>
      <c r="N2560" s="1621"/>
    </row>
    <row r="2561" spans="1:17" s="1620" customFormat="1" x14ac:dyDescent="0.25">
      <c r="A2561" s="817" t="s">
        <v>1173</v>
      </c>
      <c r="B2561" s="766" t="str">
        <f t="shared" ca="1" si="350"/>
        <v>I32</v>
      </c>
      <c r="C2561" s="766" t="str">
        <f t="shared" ca="1" si="346"/>
        <v>I</v>
      </c>
      <c r="D2561" s="1621" t="s">
        <v>1350</v>
      </c>
      <c r="E2561" s="766" t="s">
        <v>1351</v>
      </c>
      <c r="F2561" s="1621"/>
      <c r="G2561" s="1621"/>
      <c r="H2561" s="1621"/>
      <c r="I2561" s="1241" t="str">
        <f t="shared" si="344"/>
        <v>Secondary or Internal Customer</v>
      </c>
      <c r="J2561" s="1621" t="str">
        <f>IF(M2561&lt;&gt;"",Q$1&amp;M2561,"")</f>
        <v>F1484</v>
      </c>
      <c r="K2561" s="1621" t="str">
        <f t="shared" si="345"/>
        <v>Required Info to Submit</v>
      </c>
      <c r="L2561" s="799" t="s">
        <v>1173</v>
      </c>
      <c r="M2561" s="1621">
        <v>1484</v>
      </c>
      <c r="N2561" s="1621"/>
    </row>
    <row r="2562" spans="1:17" s="1620" customFormat="1" x14ac:dyDescent="0.25">
      <c r="A2562" s="817" t="s">
        <v>1174</v>
      </c>
      <c r="B2562" s="766" t="str">
        <f t="shared" ca="1" si="350"/>
        <v>J32</v>
      </c>
      <c r="C2562" s="766" t="str">
        <f t="shared" ca="1" si="346"/>
        <v>J</v>
      </c>
      <c r="D2562" s="1621" t="s">
        <v>1350</v>
      </c>
      <c r="E2562" s="766" t="s">
        <v>1351</v>
      </c>
      <c r="F2562" s="1621"/>
      <c r="G2562" s="1621"/>
      <c r="H2562" s="1621"/>
      <c r="I2562" s="1241" t="str">
        <f t="shared" si="344"/>
        <v>Fuel Surcharge Applied</v>
      </c>
      <c r="J2562" s="1621" t="str">
        <f>IF(M2562&lt;&gt;"",Q$1&amp;M2562,"")</f>
        <v>F1485</v>
      </c>
      <c r="K2562" s="1621" t="str">
        <f t="shared" si="345"/>
        <v>Required Info to Submit</v>
      </c>
      <c r="L2562" s="799" t="s">
        <v>1360</v>
      </c>
      <c r="M2562" s="1621">
        <v>1485</v>
      </c>
      <c r="N2562" s="1621"/>
    </row>
    <row r="2563" spans="1:17" s="1620" customFormat="1" x14ac:dyDescent="0.25">
      <c r="A2563" s="817" t="s">
        <v>1290</v>
      </c>
      <c r="B2563" s="766" t="str">
        <f t="shared" ca="1" si="350"/>
        <v>K32</v>
      </c>
      <c r="C2563" s="766" t="str">
        <f t="shared" ca="1" si="346"/>
        <v>K</v>
      </c>
      <c r="D2563" s="1621" t="s">
        <v>1350</v>
      </c>
      <c r="E2563" s="766" t="s">
        <v>1351</v>
      </c>
      <c r="F2563" s="1621"/>
      <c r="G2563" s="1621"/>
      <c r="H2563" s="1621"/>
      <c r="I2563" s="1241" t="str">
        <f t="shared" si="344"/>
        <v>Minimum Delivery Charge Applied Flag</v>
      </c>
      <c r="J2563" s="1621" t="str">
        <f>IF(M2563&lt;&gt;"",Q$1&amp;M2563,"")</f>
        <v>F1486</v>
      </c>
      <c r="K2563" s="1621" t="str">
        <f t="shared" si="345"/>
        <v>Required Info to Submit</v>
      </c>
      <c r="L2563" s="799" t="s">
        <v>1290</v>
      </c>
      <c r="M2563" s="1621">
        <v>1486</v>
      </c>
      <c r="N2563" s="1621"/>
    </row>
    <row r="2564" spans="1:17" s="1620" customFormat="1" x14ac:dyDescent="0.25">
      <c r="A2564" s="817" t="s">
        <v>767</v>
      </c>
      <c r="B2564" s="766" t="str">
        <f t="shared" ca="1" si="350"/>
        <v/>
      </c>
      <c r="C2564" s="766" t="str">
        <f t="shared" ca="1" si="346"/>
        <v/>
      </c>
      <c r="D2564" s="1621" t="s">
        <v>1350</v>
      </c>
      <c r="E2564" s="766" t="s">
        <v>1351</v>
      </c>
      <c r="F2564" s="1621"/>
      <c r="G2564" s="1621"/>
      <c r="H2564" s="1621"/>
      <c r="I2564" s="1241"/>
      <c r="J2564" s="1621"/>
      <c r="K2564" s="1621"/>
      <c r="L2564" s="799"/>
      <c r="M2564" s="1621"/>
      <c r="N2564" s="1621"/>
    </row>
    <row r="2565" spans="1:17" s="1620" customFormat="1" x14ac:dyDescent="0.25">
      <c r="A2565" s="817" t="s">
        <v>768</v>
      </c>
      <c r="B2565" s="766" t="str">
        <f t="shared" ca="1" si="350"/>
        <v/>
      </c>
      <c r="C2565" s="766" t="str">
        <f t="shared" ca="1" si="346"/>
        <v/>
      </c>
      <c r="D2565" s="1621" t="s">
        <v>1350</v>
      </c>
      <c r="E2565" s="766" t="s">
        <v>1351</v>
      </c>
      <c r="F2565" s="1621"/>
      <c r="G2565" s="1621"/>
      <c r="H2565" s="1621"/>
      <c r="I2565" s="1241"/>
      <c r="J2565" s="1621"/>
      <c r="K2565" s="1621"/>
      <c r="L2565" s="799"/>
      <c r="M2565" s="1621"/>
      <c r="N2565" s="1621"/>
    </row>
    <row r="2566" spans="1:17" s="1620" customFormat="1" x14ac:dyDescent="0.25">
      <c r="A2566" s="817" t="s">
        <v>769</v>
      </c>
      <c r="B2566" s="766" t="str">
        <f t="shared" ca="1" si="350"/>
        <v/>
      </c>
      <c r="C2566" s="766" t="str">
        <f t="shared" ca="1" si="346"/>
        <v/>
      </c>
      <c r="D2566" s="1621" t="s">
        <v>1350</v>
      </c>
      <c r="E2566" s="766" t="s">
        <v>1351</v>
      </c>
      <c r="F2566" s="1621"/>
      <c r="G2566" s="1621"/>
      <c r="H2566" s="1621"/>
      <c r="I2566" s="1241"/>
      <c r="J2566" s="1621"/>
      <c r="K2566" s="1621"/>
      <c r="L2566" s="799"/>
      <c r="M2566" s="1621"/>
      <c r="N2566" s="1621"/>
    </row>
    <row r="2567" spans="1:17" s="1620" customFormat="1" x14ac:dyDescent="0.25">
      <c r="A2567" s="817" t="s">
        <v>204</v>
      </c>
      <c r="B2567" s="766" t="str">
        <f t="shared" ca="1" si="350"/>
        <v/>
      </c>
      <c r="C2567" s="766" t="str">
        <f t="shared" ca="1" si="346"/>
        <v/>
      </c>
      <c r="D2567" s="1621" t="s">
        <v>1350</v>
      </c>
      <c r="E2567" s="766" t="s">
        <v>1351</v>
      </c>
      <c r="F2567" s="1621"/>
      <c r="G2567" s="1621"/>
      <c r="H2567" s="1621"/>
      <c r="I2567" s="1241"/>
      <c r="J2567" s="1621"/>
      <c r="K2567" s="1621"/>
      <c r="L2567" s="799"/>
      <c r="M2567" s="1621"/>
      <c r="N2567" s="1621"/>
    </row>
    <row r="2568" spans="1:17" s="1620" customFormat="1" x14ac:dyDescent="0.25">
      <c r="A2568" s="814" t="s">
        <v>1171</v>
      </c>
      <c r="B2568" s="766" t="str">
        <f ca="1">_xlfn.IFNA(_xlfn.CONCAT(SUBSTITUTE(ADDRESS(1,MATCH(A2568,INDIRECT("'"&amp;E2568&amp;"'"&amp;"!A18:Z18"),0),4),1,""),33),"")</f>
        <v>E33</v>
      </c>
      <c r="C2568" s="766" t="str">
        <f t="shared" ca="1" si="346"/>
        <v>E</v>
      </c>
      <c r="D2568" s="1621" t="s">
        <v>1350</v>
      </c>
      <c r="E2568" s="766" t="s">
        <v>1351</v>
      </c>
      <c r="F2568" s="1621"/>
      <c r="G2568" s="1621"/>
      <c r="H2568" s="1621"/>
      <c r="I2568" s="1241" t="str">
        <f t="shared" si="344"/>
        <v/>
      </c>
      <c r="J2568" s="1621"/>
      <c r="K2568" s="1621" t="str">
        <f t="shared" si="345"/>
        <v/>
      </c>
      <c r="L2568" s="799" t="s">
        <v>1171</v>
      </c>
      <c r="M2568" s="1621">
        <v>1491</v>
      </c>
      <c r="N2568" s="1621"/>
      <c r="P2568" s="1621" t="str">
        <f>IFERROR(VLOOKUP(Q$2568,'Existing Customers'!$A:$F,1,FALSE),"")</f>
        <v/>
      </c>
      <c r="Q2568" s="1621"/>
    </row>
    <row r="2569" spans="1:17" s="1620" customFormat="1" x14ac:dyDescent="0.25">
      <c r="A2569" s="815" t="s">
        <v>766</v>
      </c>
      <c r="B2569" s="766" t="str">
        <f t="shared" ref="B2569:B2578" ca="1" si="351">_xlfn.IFNA(_xlfn.CONCAT(SUBSTITUTE(ADDRESS(1,MATCH(A2569,INDIRECT("'"&amp;E2569&amp;"'"&amp;"!A18:Z18"),0),4),1,""),33),"")</f>
        <v>F33</v>
      </c>
      <c r="C2569" s="766" t="str">
        <f t="shared" ca="1" si="346"/>
        <v>F</v>
      </c>
      <c r="D2569" s="1621" t="s">
        <v>1350</v>
      </c>
      <c r="E2569" s="766" t="s">
        <v>1351</v>
      </c>
      <c r="F2569" s="1621"/>
      <c r="G2569" s="1621"/>
      <c r="H2569" s="1621"/>
      <c r="I2569" s="1241" t="str">
        <f t="shared" si="344"/>
        <v>Name</v>
      </c>
      <c r="J2569" s="1621" t="str">
        <f>IF(P2568="",Q$1&amp;M2569,"")</f>
        <v>F1493</v>
      </c>
      <c r="K2569" s="1621" t="str">
        <f t="shared" si="345"/>
        <v>Required Info to Submit</v>
      </c>
      <c r="L2569" s="799" t="s">
        <v>766</v>
      </c>
      <c r="M2569" s="1621">
        <v>1493</v>
      </c>
      <c r="N2569" s="1621"/>
    </row>
    <row r="2570" spans="1:17" s="1620" customFormat="1" x14ac:dyDescent="0.25">
      <c r="A2570" s="815" t="s">
        <v>765</v>
      </c>
      <c r="B2570" s="766" t="str">
        <f t="shared" ca="1" si="351"/>
        <v>G33</v>
      </c>
      <c r="C2570" s="766" t="str">
        <f t="shared" ca="1" si="346"/>
        <v>G</v>
      </c>
      <c r="D2570" s="1621" t="s">
        <v>1350</v>
      </c>
      <c r="E2570" s="766" t="s">
        <v>1351</v>
      </c>
      <c r="F2570" s="1621"/>
      <c r="G2570" s="1621"/>
      <c r="H2570" s="1621"/>
      <c r="I2570" s="1241" t="str">
        <f t="shared" si="344"/>
        <v/>
      </c>
      <c r="J2570" s="1621"/>
      <c r="K2570" s="1621" t="str">
        <f t="shared" si="345"/>
        <v/>
      </c>
      <c r="L2570" s="799" t="s">
        <v>765</v>
      </c>
      <c r="M2570" s="1621">
        <v>1503</v>
      </c>
      <c r="N2570" s="1621"/>
    </row>
    <row r="2571" spans="1:17" s="1620" customFormat="1" x14ac:dyDescent="0.25">
      <c r="A2571" s="815" t="s">
        <v>1172</v>
      </c>
      <c r="B2571" s="766" t="str">
        <f t="shared" ca="1" si="351"/>
        <v>H33</v>
      </c>
      <c r="C2571" s="766" t="str">
        <f t="shared" ca="1" si="346"/>
        <v>H</v>
      </c>
      <c r="D2571" s="1621" t="s">
        <v>1350</v>
      </c>
      <c r="E2571" s="766" t="s">
        <v>1351</v>
      </c>
      <c r="F2571" s="1621"/>
      <c r="G2571" s="1621"/>
      <c r="H2571" s="1621"/>
      <c r="I2571" s="1241" t="str">
        <f t="shared" si="344"/>
        <v/>
      </c>
      <c r="J2571" s="1621"/>
      <c r="K2571" s="1621" t="str">
        <f t="shared" si="345"/>
        <v/>
      </c>
      <c r="L2571" s="799" t="s">
        <v>1172</v>
      </c>
      <c r="M2571" s="1621">
        <v>1504</v>
      </c>
      <c r="N2571" s="1621"/>
    </row>
    <row r="2572" spans="1:17" s="1620" customFormat="1" x14ac:dyDescent="0.25">
      <c r="A2572" s="815" t="s">
        <v>1173</v>
      </c>
      <c r="B2572" s="766" t="str">
        <f t="shared" ca="1" si="351"/>
        <v>I33</v>
      </c>
      <c r="C2572" s="766" t="str">
        <f t="shared" ca="1" si="346"/>
        <v>I</v>
      </c>
      <c r="D2572" s="1621" t="s">
        <v>1350</v>
      </c>
      <c r="E2572" s="766" t="s">
        <v>1351</v>
      </c>
      <c r="F2572" s="1621"/>
      <c r="G2572" s="1621"/>
      <c r="H2572" s="1621"/>
      <c r="I2572" s="1241" t="str">
        <f t="shared" ref="I2572:I2629" si="352">IF(J2572&lt;&gt;"",A2572,"")</f>
        <v>Secondary or Internal Customer</v>
      </c>
      <c r="J2572" s="1621" t="str">
        <f>IF(M2572&lt;&gt;"",Q$1&amp;M2572,"")</f>
        <v>F1505</v>
      </c>
      <c r="K2572" s="1621" t="str">
        <f t="shared" ref="K2572:K2629" si="353">IF(J2572&lt;&gt;"",E2572,"")</f>
        <v>Required Info to Submit</v>
      </c>
      <c r="L2572" s="799" t="s">
        <v>1173</v>
      </c>
      <c r="M2572" s="1621">
        <v>1505</v>
      </c>
      <c r="N2572" s="1621"/>
    </row>
    <row r="2573" spans="1:17" s="1620" customFormat="1" x14ac:dyDescent="0.25">
      <c r="A2573" s="815" t="s">
        <v>1174</v>
      </c>
      <c r="B2573" s="766" t="str">
        <f t="shared" ca="1" si="351"/>
        <v>J33</v>
      </c>
      <c r="C2573" s="766" t="str">
        <f t="shared" ca="1" si="346"/>
        <v>J</v>
      </c>
      <c r="D2573" s="1621" t="s">
        <v>1350</v>
      </c>
      <c r="E2573" s="766" t="s">
        <v>1351</v>
      </c>
      <c r="F2573" s="1621"/>
      <c r="G2573" s="1621"/>
      <c r="H2573" s="1621"/>
      <c r="I2573" s="1241" t="str">
        <f t="shared" si="352"/>
        <v>Fuel Surcharge Applied</v>
      </c>
      <c r="J2573" s="1621" t="str">
        <f>IF(M2573&lt;&gt;"",Q$1&amp;M2573,"")</f>
        <v>F1506</v>
      </c>
      <c r="K2573" s="1621" t="str">
        <f t="shared" si="353"/>
        <v>Required Info to Submit</v>
      </c>
      <c r="L2573" s="799" t="s">
        <v>1360</v>
      </c>
      <c r="M2573" s="1621">
        <v>1506</v>
      </c>
      <c r="N2573" s="1621"/>
    </row>
    <row r="2574" spans="1:17" s="1620" customFormat="1" x14ac:dyDescent="0.25">
      <c r="A2574" s="815" t="s">
        <v>1290</v>
      </c>
      <c r="B2574" s="766" t="str">
        <f t="shared" ca="1" si="351"/>
        <v>K33</v>
      </c>
      <c r="C2574" s="766" t="str">
        <f t="shared" ca="1" si="346"/>
        <v>K</v>
      </c>
      <c r="D2574" s="1621" t="s">
        <v>1350</v>
      </c>
      <c r="E2574" s="766" t="s">
        <v>1351</v>
      </c>
      <c r="F2574" s="1621"/>
      <c r="G2574" s="1621"/>
      <c r="H2574" s="1621"/>
      <c r="I2574" s="1241" t="str">
        <f t="shared" si="352"/>
        <v>Minimum Delivery Charge Applied Flag</v>
      </c>
      <c r="J2574" s="1621" t="str">
        <f>IF(M2574&lt;&gt;"",Q$1&amp;M2574,"")</f>
        <v>F1507</v>
      </c>
      <c r="K2574" s="1621" t="str">
        <f t="shared" si="353"/>
        <v>Required Info to Submit</v>
      </c>
      <c r="L2574" s="799" t="s">
        <v>1290</v>
      </c>
      <c r="M2574" s="1621">
        <v>1507</v>
      </c>
      <c r="N2574" s="1621"/>
    </row>
    <row r="2575" spans="1:17" s="1620" customFormat="1" x14ac:dyDescent="0.25">
      <c r="A2575" s="815" t="s">
        <v>767</v>
      </c>
      <c r="B2575" s="766" t="str">
        <f t="shared" ca="1" si="351"/>
        <v/>
      </c>
      <c r="C2575" s="766" t="str">
        <f t="shared" ca="1" si="346"/>
        <v/>
      </c>
      <c r="D2575" s="1621" t="s">
        <v>1350</v>
      </c>
      <c r="E2575" s="766" t="s">
        <v>1351</v>
      </c>
      <c r="F2575" s="1621"/>
      <c r="G2575" s="1621"/>
      <c r="H2575" s="1621"/>
      <c r="I2575" s="1241"/>
      <c r="J2575" s="1621"/>
      <c r="K2575" s="1621"/>
      <c r="L2575" s="799"/>
      <c r="M2575" s="1621"/>
      <c r="N2575" s="1621"/>
    </row>
    <row r="2576" spans="1:17" s="1620" customFormat="1" x14ac:dyDescent="0.25">
      <c r="A2576" s="815" t="s">
        <v>768</v>
      </c>
      <c r="B2576" s="766" t="str">
        <f t="shared" ca="1" si="351"/>
        <v/>
      </c>
      <c r="C2576" s="766" t="str">
        <f t="shared" ca="1" si="346"/>
        <v/>
      </c>
      <c r="D2576" s="1621" t="s">
        <v>1350</v>
      </c>
      <c r="E2576" s="766" t="s">
        <v>1351</v>
      </c>
      <c r="F2576" s="1621"/>
      <c r="G2576" s="1621"/>
      <c r="H2576" s="1621"/>
      <c r="I2576" s="1241"/>
      <c r="J2576" s="1621"/>
      <c r="K2576" s="1621"/>
      <c r="L2576" s="799"/>
      <c r="M2576" s="1621"/>
      <c r="N2576" s="1621"/>
    </row>
    <row r="2577" spans="1:17" s="1620" customFormat="1" x14ac:dyDescent="0.25">
      <c r="A2577" s="815" t="s">
        <v>769</v>
      </c>
      <c r="B2577" s="766" t="str">
        <f t="shared" ca="1" si="351"/>
        <v/>
      </c>
      <c r="C2577" s="766" t="str">
        <f t="shared" ca="1" si="346"/>
        <v/>
      </c>
      <c r="D2577" s="1621" t="s">
        <v>1350</v>
      </c>
      <c r="E2577" s="766" t="s">
        <v>1351</v>
      </c>
      <c r="F2577" s="1621"/>
      <c r="G2577" s="1621"/>
      <c r="H2577" s="1621"/>
      <c r="I2577" s="1241"/>
      <c r="J2577" s="1621"/>
      <c r="K2577" s="1621"/>
      <c r="L2577" s="799"/>
      <c r="M2577" s="1621"/>
      <c r="N2577" s="1621"/>
    </row>
    <row r="2578" spans="1:17" s="1620" customFormat="1" x14ac:dyDescent="0.25">
      <c r="A2578" s="815" t="s">
        <v>204</v>
      </c>
      <c r="B2578" s="766" t="str">
        <f t="shared" ca="1" si="351"/>
        <v/>
      </c>
      <c r="C2578" s="766" t="str">
        <f t="shared" ca="1" si="346"/>
        <v/>
      </c>
      <c r="D2578" s="1621" t="s">
        <v>1350</v>
      </c>
      <c r="E2578" s="766" t="s">
        <v>1351</v>
      </c>
      <c r="F2578" s="1621"/>
      <c r="G2578" s="1621"/>
      <c r="H2578" s="1621"/>
      <c r="I2578" s="1241"/>
      <c r="J2578" s="1621"/>
      <c r="K2578" s="1621"/>
      <c r="L2578" s="799"/>
      <c r="M2578" s="1621"/>
      <c r="N2578" s="1621"/>
    </row>
    <row r="2579" spans="1:17" s="1620" customFormat="1" x14ac:dyDescent="0.25">
      <c r="A2579" s="816" t="s">
        <v>1171</v>
      </c>
      <c r="B2579" s="766" t="str">
        <f ca="1">_xlfn.IFNA(_xlfn.CONCAT(SUBSTITUTE(ADDRESS(1,MATCH(A2579,INDIRECT("'"&amp;E2579&amp;"'"&amp;"!A18:Z18"),0),4),1,""),34),"")</f>
        <v>E34</v>
      </c>
      <c r="C2579" s="766" t="str">
        <f t="shared" ca="1" si="346"/>
        <v>E</v>
      </c>
      <c r="D2579" s="1621" t="s">
        <v>1350</v>
      </c>
      <c r="E2579" s="766" t="s">
        <v>1351</v>
      </c>
      <c r="F2579" s="1621"/>
      <c r="G2579" s="1621"/>
      <c r="H2579" s="1621"/>
      <c r="I2579" s="1241" t="str">
        <f t="shared" si="352"/>
        <v/>
      </c>
      <c r="J2579" s="1621"/>
      <c r="K2579" s="1621" t="str">
        <f t="shared" si="353"/>
        <v/>
      </c>
      <c r="L2579" s="799" t="s">
        <v>1171</v>
      </c>
      <c r="M2579" s="1621">
        <v>1512</v>
      </c>
      <c r="N2579" s="1621"/>
      <c r="P2579" s="1621" t="str">
        <f>IFERROR(VLOOKUP(Q$2579,'Existing Customers'!$A:$F,1,FALSE),"")</f>
        <v/>
      </c>
      <c r="Q2579" s="1621"/>
    </row>
    <row r="2580" spans="1:17" s="1620" customFormat="1" x14ac:dyDescent="0.25">
      <c r="A2580" s="817" t="s">
        <v>766</v>
      </c>
      <c r="B2580" s="766" t="str">
        <f t="shared" ref="B2580:B2589" ca="1" si="354">_xlfn.IFNA(_xlfn.CONCAT(SUBSTITUTE(ADDRESS(1,MATCH(A2580,INDIRECT("'"&amp;E2580&amp;"'"&amp;"!A18:Z18"),0),4),1,""),34),"")</f>
        <v>F34</v>
      </c>
      <c r="C2580" s="766" t="str">
        <f t="shared" ca="1" si="346"/>
        <v>F</v>
      </c>
      <c r="D2580" s="1621" t="s">
        <v>1350</v>
      </c>
      <c r="E2580" s="766" t="s">
        <v>1351</v>
      </c>
      <c r="F2580" s="1621"/>
      <c r="G2580" s="1621"/>
      <c r="H2580" s="1621"/>
      <c r="I2580" s="1241" t="str">
        <f t="shared" si="352"/>
        <v>Name</v>
      </c>
      <c r="J2580" s="1621" t="str">
        <f>IF(P2579="",Q$1&amp;M2580,"")</f>
        <v>F1514</v>
      </c>
      <c r="K2580" s="1621" t="str">
        <f t="shared" si="353"/>
        <v>Required Info to Submit</v>
      </c>
      <c r="L2580" s="799" t="s">
        <v>766</v>
      </c>
      <c r="M2580" s="1621">
        <v>1514</v>
      </c>
      <c r="N2580" s="1621"/>
    </row>
    <row r="2581" spans="1:17" s="1620" customFormat="1" x14ac:dyDescent="0.25">
      <c r="A2581" s="817" t="s">
        <v>765</v>
      </c>
      <c r="B2581" s="766" t="str">
        <f t="shared" ca="1" si="354"/>
        <v>G34</v>
      </c>
      <c r="C2581" s="766" t="str">
        <f t="shared" ca="1" si="346"/>
        <v>G</v>
      </c>
      <c r="D2581" s="1621" t="s">
        <v>1350</v>
      </c>
      <c r="E2581" s="766" t="s">
        <v>1351</v>
      </c>
      <c r="F2581" s="1621"/>
      <c r="G2581" s="1621"/>
      <c r="H2581" s="1621"/>
      <c r="I2581" s="1241" t="str">
        <f t="shared" si="352"/>
        <v/>
      </c>
      <c r="J2581" s="1621"/>
      <c r="K2581" s="1621" t="str">
        <f t="shared" si="353"/>
        <v/>
      </c>
      <c r="L2581" s="799" t="s">
        <v>765</v>
      </c>
      <c r="M2581" s="1621">
        <v>1524</v>
      </c>
      <c r="N2581" s="1621"/>
    </row>
    <row r="2582" spans="1:17" s="1620" customFormat="1" x14ac:dyDescent="0.25">
      <c r="A2582" s="817" t="s">
        <v>1172</v>
      </c>
      <c r="B2582" s="766" t="str">
        <f t="shared" ca="1" si="354"/>
        <v>H34</v>
      </c>
      <c r="C2582" s="766" t="str">
        <f t="shared" ca="1" si="346"/>
        <v>H</v>
      </c>
      <c r="D2582" s="1621" t="s">
        <v>1350</v>
      </c>
      <c r="E2582" s="766" t="s">
        <v>1351</v>
      </c>
      <c r="F2582" s="1621"/>
      <c r="G2582" s="1621"/>
      <c r="H2582" s="1621"/>
      <c r="I2582" s="1241" t="str">
        <f t="shared" si="352"/>
        <v/>
      </c>
      <c r="J2582" s="1621"/>
      <c r="K2582" s="1621" t="str">
        <f t="shared" si="353"/>
        <v/>
      </c>
      <c r="L2582" s="799" t="s">
        <v>1172</v>
      </c>
      <c r="M2582" s="1621">
        <v>1525</v>
      </c>
      <c r="N2582" s="1621"/>
    </row>
    <row r="2583" spans="1:17" s="1620" customFormat="1" x14ac:dyDescent="0.25">
      <c r="A2583" s="817" t="s">
        <v>1173</v>
      </c>
      <c r="B2583" s="766" t="str">
        <f t="shared" ca="1" si="354"/>
        <v>I34</v>
      </c>
      <c r="C2583" s="766" t="str">
        <f t="shared" ca="1" si="346"/>
        <v>I</v>
      </c>
      <c r="D2583" s="1621" t="s">
        <v>1350</v>
      </c>
      <c r="E2583" s="766" t="s">
        <v>1351</v>
      </c>
      <c r="F2583" s="1621"/>
      <c r="G2583" s="1621"/>
      <c r="H2583" s="1621"/>
      <c r="I2583" s="1241" t="str">
        <f t="shared" si="352"/>
        <v>Secondary or Internal Customer</v>
      </c>
      <c r="J2583" s="1621" t="str">
        <f>IF(M2583&lt;&gt;"",Q$1&amp;M2583,"")</f>
        <v>F1526</v>
      </c>
      <c r="K2583" s="1621" t="str">
        <f t="shared" si="353"/>
        <v>Required Info to Submit</v>
      </c>
      <c r="L2583" s="799" t="s">
        <v>1173</v>
      </c>
      <c r="M2583" s="1621">
        <v>1526</v>
      </c>
      <c r="N2583" s="1621"/>
    </row>
    <row r="2584" spans="1:17" s="1620" customFormat="1" x14ac:dyDescent="0.25">
      <c r="A2584" s="817" t="s">
        <v>1174</v>
      </c>
      <c r="B2584" s="766" t="str">
        <f t="shared" ca="1" si="354"/>
        <v>J34</v>
      </c>
      <c r="C2584" s="766" t="str">
        <f t="shared" ca="1" si="346"/>
        <v>J</v>
      </c>
      <c r="D2584" s="1621" t="s">
        <v>1350</v>
      </c>
      <c r="E2584" s="766" t="s">
        <v>1351</v>
      </c>
      <c r="F2584" s="1621"/>
      <c r="G2584" s="1621"/>
      <c r="H2584" s="1621"/>
      <c r="I2584" s="1241" t="str">
        <f t="shared" si="352"/>
        <v>Fuel Surcharge Applied</v>
      </c>
      <c r="J2584" s="1621" t="str">
        <f>IF(M2584&lt;&gt;"",Q$1&amp;M2584,"")</f>
        <v>F1527</v>
      </c>
      <c r="K2584" s="1621" t="str">
        <f t="shared" si="353"/>
        <v>Required Info to Submit</v>
      </c>
      <c r="L2584" s="799" t="s">
        <v>1360</v>
      </c>
      <c r="M2584" s="1621">
        <v>1527</v>
      </c>
      <c r="N2584" s="1621"/>
    </row>
    <row r="2585" spans="1:17" s="1620" customFormat="1" x14ac:dyDescent="0.25">
      <c r="A2585" s="817" t="s">
        <v>1290</v>
      </c>
      <c r="B2585" s="766" t="str">
        <f t="shared" ca="1" si="354"/>
        <v>K34</v>
      </c>
      <c r="C2585" s="766" t="str">
        <f t="shared" ca="1" si="346"/>
        <v>K</v>
      </c>
      <c r="D2585" s="1621" t="s">
        <v>1350</v>
      </c>
      <c r="E2585" s="766" t="s">
        <v>1351</v>
      </c>
      <c r="F2585" s="1621"/>
      <c r="G2585" s="1621"/>
      <c r="H2585" s="1621"/>
      <c r="I2585" s="1241" t="str">
        <f t="shared" si="352"/>
        <v>Minimum Delivery Charge Applied Flag</v>
      </c>
      <c r="J2585" s="1621" t="str">
        <f>IF(M2585&lt;&gt;"",Q$1&amp;M2585,"")</f>
        <v>F1528</v>
      </c>
      <c r="K2585" s="1621" t="str">
        <f t="shared" si="353"/>
        <v>Required Info to Submit</v>
      </c>
      <c r="L2585" s="799" t="s">
        <v>1290</v>
      </c>
      <c r="M2585" s="1621">
        <v>1528</v>
      </c>
      <c r="N2585" s="1621"/>
    </row>
    <row r="2586" spans="1:17" s="1620" customFormat="1" x14ac:dyDescent="0.25">
      <c r="A2586" s="817" t="s">
        <v>767</v>
      </c>
      <c r="B2586" s="766" t="str">
        <f t="shared" ca="1" si="354"/>
        <v/>
      </c>
      <c r="C2586" s="766" t="str">
        <f t="shared" ca="1" si="346"/>
        <v/>
      </c>
      <c r="D2586" s="1621" t="s">
        <v>1350</v>
      </c>
      <c r="E2586" s="766" t="s">
        <v>1351</v>
      </c>
      <c r="F2586" s="1621"/>
      <c r="G2586" s="1621"/>
      <c r="H2586" s="1621"/>
      <c r="I2586" s="1241"/>
      <c r="J2586" s="1621"/>
      <c r="K2586" s="1621"/>
      <c r="L2586" s="799"/>
      <c r="M2586" s="1621"/>
      <c r="N2586" s="1621"/>
    </row>
    <row r="2587" spans="1:17" s="1620" customFormat="1" x14ac:dyDescent="0.25">
      <c r="A2587" s="817" t="s">
        <v>768</v>
      </c>
      <c r="B2587" s="766" t="str">
        <f t="shared" ca="1" si="354"/>
        <v/>
      </c>
      <c r="C2587" s="766" t="str">
        <f t="shared" ca="1" si="346"/>
        <v/>
      </c>
      <c r="D2587" s="1621" t="s">
        <v>1350</v>
      </c>
      <c r="E2587" s="766" t="s">
        <v>1351</v>
      </c>
      <c r="F2587" s="1621"/>
      <c r="G2587" s="1621"/>
      <c r="H2587" s="1621"/>
      <c r="I2587" s="1241"/>
      <c r="J2587" s="1621"/>
      <c r="K2587" s="1621"/>
      <c r="L2587" s="799"/>
      <c r="M2587" s="1621"/>
      <c r="N2587" s="1621"/>
    </row>
    <row r="2588" spans="1:17" s="1620" customFormat="1" x14ac:dyDescent="0.25">
      <c r="A2588" s="817" t="s">
        <v>769</v>
      </c>
      <c r="B2588" s="766" t="str">
        <f t="shared" ca="1" si="354"/>
        <v/>
      </c>
      <c r="C2588" s="766" t="str">
        <f t="shared" ref="C2588:C2633" ca="1" si="355">_xlfn.IFNA(SUBSTITUTE(ADDRESS(1,MATCH(A2588,INDIRECT("'"&amp;E2588&amp;"'"&amp;"!A18:Z18"),0),4),1,""),"")</f>
        <v/>
      </c>
      <c r="D2588" s="1621" t="s">
        <v>1350</v>
      </c>
      <c r="E2588" s="766" t="s">
        <v>1351</v>
      </c>
      <c r="F2588" s="1621"/>
      <c r="G2588" s="1621"/>
      <c r="H2588" s="1621"/>
      <c r="I2588" s="1241"/>
      <c r="J2588" s="1621"/>
      <c r="K2588" s="1621"/>
      <c r="L2588" s="799"/>
      <c r="M2588" s="1621"/>
      <c r="N2588" s="1621"/>
    </row>
    <row r="2589" spans="1:17" s="1620" customFormat="1" x14ac:dyDescent="0.25">
      <c r="A2589" s="817" t="s">
        <v>204</v>
      </c>
      <c r="B2589" s="766" t="str">
        <f t="shared" ca="1" si="354"/>
        <v/>
      </c>
      <c r="C2589" s="766" t="str">
        <f t="shared" ca="1" si="355"/>
        <v/>
      </c>
      <c r="D2589" s="1621" t="s">
        <v>1350</v>
      </c>
      <c r="E2589" s="766" t="s">
        <v>1351</v>
      </c>
      <c r="F2589" s="1621"/>
      <c r="G2589" s="1621"/>
      <c r="H2589" s="1621"/>
      <c r="I2589" s="1241"/>
      <c r="J2589" s="1621"/>
      <c r="K2589" s="1621"/>
      <c r="L2589" s="799"/>
      <c r="M2589" s="1621"/>
      <c r="N2589" s="1621"/>
    </row>
    <row r="2590" spans="1:17" s="1620" customFormat="1" x14ac:dyDescent="0.25">
      <c r="A2590" s="814" t="s">
        <v>1171</v>
      </c>
      <c r="B2590" s="766" t="str">
        <f ca="1">_xlfn.IFNA(_xlfn.CONCAT(SUBSTITUTE(ADDRESS(1,MATCH(A2590,INDIRECT("'"&amp;E2590&amp;"'"&amp;"!A18:Z18"),0),4),1,""),35),"")</f>
        <v>E35</v>
      </c>
      <c r="C2590" s="766" t="str">
        <f t="shared" ca="1" si="355"/>
        <v>E</v>
      </c>
      <c r="D2590" s="1621" t="s">
        <v>1350</v>
      </c>
      <c r="E2590" s="766" t="s">
        <v>1351</v>
      </c>
      <c r="F2590" s="1621"/>
      <c r="G2590" s="1621"/>
      <c r="H2590" s="1621"/>
      <c r="I2590" s="1241" t="str">
        <f t="shared" si="352"/>
        <v/>
      </c>
      <c r="J2590" s="1621"/>
      <c r="K2590" s="1621" t="str">
        <f t="shared" si="353"/>
        <v/>
      </c>
      <c r="L2590" s="799" t="s">
        <v>1171</v>
      </c>
      <c r="M2590" s="1621">
        <v>1533</v>
      </c>
      <c r="N2590" s="1621"/>
      <c r="P2590" s="1621" t="str">
        <f>IFERROR(VLOOKUP(Q$2590,'Existing Customers'!$A:$F,1,FALSE),"")</f>
        <v/>
      </c>
      <c r="Q2590" s="1621"/>
    </row>
    <row r="2591" spans="1:17" s="1620" customFormat="1" x14ac:dyDescent="0.25">
      <c r="A2591" s="815" t="s">
        <v>766</v>
      </c>
      <c r="B2591" s="766" t="str">
        <f t="shared" ref="B2591:B2600" ca="1" si="356">_xlfn.IFNA(_xlfn.CONCAT(SUBSTITUTE(ADDRESS(1,MATCH(A2591,INDIRECT("'"&amp;E2591&amp;"'"&amp;"!A18:Z18"),0),4),1,""),35),"")</f>
        <v>F35</v>
      </c>
      <c r="C2591" s="766" t="str">
        <f t="shared" ca="1" si="355"/>
        <v>F</v>
      </c>
      <c r="D2591" s="1621" t="s">
        <v>1350</v>
      </c>
      <c r="E2591" s="766" t="s">
        <v>1351</v>
      </c>
      <c r="F2591" s="1621"/>
      <c r="G2591" s="1621"/>
      <c r="H2591" s="1621"/>
      <c r="I2591" s="1241" t="str">
        <f t="shared" si="352"/>
        <v>Name</v>
      </c>
      <c r="J2591" s="1621" t="str">
        <f>IF(P2590="",Q$1&amp;M2591,"")</f>
        <v>F1535</v>
      </c>
      <c r="K2591" s="1621" t="str">
        <f t="shared" si="353"/>
        <v>Required Info to Submit</v>
      </c>
      <c r="L2591" s="799" t="s">
        <v>766</v>
      </c>
      <c r="M2591" s="1621">
        <v>1535</v>
      </c>
      <c r="N2591" s="1621"/>
    </row>
    <row r="2592" spans="1:17" s="1620" customFormat="1" x14ac:dyDescent="0.25">
      <c r="A2592" s="815" t="s">
        <v>765</v>
      </c>
      <c r="B2592" s="766" t="str">
        <f t="shared" ca="1" si="356"/>
        <v>G35</v>
      </c>
      <c r="C2592" s="766" t="str">
        <f t="shared" ca="1" si="355"/>
        <v>G</v>
      </c>
      <c r="D2592" s="1621" t="s">
        <v>1350</v>
      </c>
      <c r="E2592" s="766" t="s">
        <v>1351</v>
      </c>
      <c r="F2592" s="1621"/>
      <c r="G2592" s="1621"/>
      <c r="H2592" s="1621"/>
      <c r="I2592" s="1241" t="str">
        <f t="shared" si="352"/>
        <v/>
      </c>
      <c r="J2592" s="1621"/>
      <c r="K2592" s="1621" t="str">
        <f t="shared" si="353"/>
        <v/>
      </c>
      <c r="L2592" s="799" t="s">
        <v>765</v>
      </c>
      <c r="M2592" s="1621">
        <v>1545</v>
      </c>
      <c r="N2592" s="1621"/>
    </row>
    <row r="2593" spans="1:17" s="1620" customFormat="1" x14ac:dyDescent="0.25">
      <c r="A2593" s="815" t="s">
        <v>1172</v>
      </c>
      <c r="B2593" s="766" t="str">
        <f t="shared" ca="1" si="356"/>
        <v>H35</v>
      </c>
      <c r="C2593" s="766" t="str">
        <f t="shared" ca="1" si="355"/>
        <v>H</v>
      </c>
      <c r="D2593" s="1621" t="s">
        <v>1350</v>
      </c>
      <c r="E2593" s="766" t="s">
        <v>1351</v>
      </c>
      <c r="F2593" s="1621"/>
      <c r="G2593" s="1621"/>
      <c r="H2593" s="1621"/>
      <c r="I2593" s="1241" t="str">
        <f t="shared" si="352"/>
        <v/>
      </c>
      <c r="J2593" s="1621"/>
      <c r="K2593" s="1621" t="str">
        <f t="shared" si="353"/>
        <v/>
      </c>
      <c r="L2593" s="799" t="s">
        <v>1172</v>
      </c>
      <c r="M2593" s="1621">
        <v>1546</v>
      </c>
      <c r="N2593" s="1621"/>
    </row>
    <row r="2594" spans="1:17" s="1620" customFormat="1" x14ac:dyDescent="0.25">
      <c r="A2594" s="815" t="s">
        <v>1173</v>
      </c>
      <c r="B2594" s="766" t="str">
        <f t="shared" ca="1" si="356"/>
        <v>I35</v>
      </c>
      <c r="C2594" s="766" t="str">
        <f t="shared" ca="1" si="355"/>
        <v>I</v>
      </c>
      <c r="D2594" s="1621" t="s">
        <v>1350</v>
      </c>
      <c r="E2594" s="766" t="s">
        <v>1351</v>
      </c>
      <c r="F2594" s="1621"/>
      <c r="G2594" s="1621"/>
      <c r="H2594" s="1621"/>
      <c r="I2594" s="1241" t="str">
        <f t="shared" si="352"/>
        <v>Secondary or Internal Customer</v>
      </c>
      <c r="J2594" s="1621" t="str">
        <f>IF(M2594&lt;&gt;"",Q$1&amp;M2594,"")</f>
        <v>F1547</v>
      </c>
      <c r="K2594" s="1621" t="str">
        <f t="shared" si="353"/>
        <v>Required Info to Submit</v>
      </c>
      <c r="L2594" s="799" t="s">
        <v>1173</v>
      </c>
      <c r="M2594" s="1621">
        <v>1547</v>
      </c>
      <c r="N2594" s="1621"/>
    </row>
    <row r="2595" spans="1:17" s="1620" customFormat="1" x14ac:dyDescent="0.25">
      <c r="A2595" s="815" t="s">
        <v>1174</v>
      </c>
      <c r="B2595" s="766" t="str">
        <f t="shared" ca="1" si="356"/>
        <v>J35</v>
      </c>
      <c r="C2595" s="766" t="str">
        <f t="shared" ca="1" si="355"/>
        <v>J</v>
      </c>
      <c r="D2595" s="1621" t="s">
        <v>1350</v>
      </c>
      <c r="E2595" s="766" t="s">
        <v>1351</v>
      </c>
      <c r="F2595" s="1621"/>
      <c r="G2595" s="1621"/>
      <c r="H2595" s="1621"/>
      <c r="I2595" s="1241" t="str">
        <f t="shared" si="352"/>
        <v>Fuel Surcharge Applied</v>
      </c>
      <c r="J2595" s="1621" t="str">
        <f>IF(M2595&lt;&gt;"",Q$1&amp;M2595,"")</f>
        <v>F1548</v>
      </c>
      <c r="K2595" s="1621" t="str">
        <f t="shared" si="353"/>
        <v>Required Info to Submit</v>
      </c>
      <c r="L2595" s="799" t="s">
        <v>1360</v>
      </c>
      <c r="M2595" s="1621">
        <v>1548</v>
      </c>
      <c r="N2595" s="1621"/>
    </row>
    <row r="2596" spans="1:17" s="1620" customFormat="1" x14ac:dyDescent="0.25">
      <c r="A2596" s="815" t="s">
        <v>1290</v>
      </c>
      <c r="B2596" s="766" t="str">
        <f t="shared" ca="1" si="356"/>
        <v>K35</v>
      </c>
      <c r="C2596" s="766" t="str">
        <f t="shared" ca="1" si="355"/>
        <v>K</v>
      </c>
      <c r="D2596" s="1621" t="s">
        <v>1350</v>
      </c>
      <c r="E2596" s="766" t="s">
        <v>1351</v>
      </c>
      <c r="F2596" s="1621"/>
      <c r="G2596" s="1621"/>
      <c r="H2596" s="1621"/>
      <c r="I2596" s="1241" t="str">
        <f t="shared" si="352"/>
        <v>Minimum Delivery Charge Applied Flag</v>
      </c>
      <c r="J2596" s="1621" t="str">
        <f>IF(M2596&lt;&gt;"",Q$1&amp;M2596,"")</f>
        <v>F1549</v>
      </c>
      <c r="K2596" s="1621" t="str">
        <f t="shared" si="353"/>
        <v>Required Info to Submit</v>
      </c>
      <c r="L2596" s="799" t="s">
        <v>1290</v>
      </c>
      <c r="M2596" s="1621">
        <v>1549</v>
      </c>
      <c r="N2596" s="1621"/>
    </row>
    <row r="2597" spans="1:17" s="1620" customFormat="1" x14ac:dyDescent="0.25">
      <c r="A2597" s="815" t="s">
        <v>767</v>
      </c>
      <c r="B2597" s="766" t="str">
        <f t="shared" ca="1" si="356"/>
        <v/>
      </c>
      <c r="C2597" s="766" t="str">
        <f t="shared" ca="1" si="355"/>
        <v/>
      </c>
      <c r="D2597" s="1621" t="s">
        <v>1350</v>
      </c>
      <c r="E2597" s="766" t="s">
        <v>1351</v>
      </c>
      <c r="F2597" s="1621"/>
      <c r="G2597" s="1621"/>
      <c r="H2597" s="1621"/>
      <c r="I2597" s="1241"/>
      <c r="J2597" s="1621"/>
      <c r="K2597" s="1621"/>
      <c r="L2597" s="799"/>
      <c r="M2597" s="1621"/>
      <c r="N2597" s="1621"/>
    </row>
    <row r="2598" spans="1:17" s="1620" customFormat="1" x14ac:dyDescent="0.25">
      <c r="A2598" s="815" t="s">
        <v>768</v>
      </c>
      <c r="B2598" s="766" t="str">
        <f t="shared" ca="1" si="356"/>
        <v/>
      </c>
      <c r="C2598" s="766" t="str">
        <f t="shared" ca="1" si="355"/>
        <v/>
      </c>
      <c r="D2598" s="1621" t="s">
        <v>1350</v>
      </c>
      <c r="E2598" s="766" t="s">
        <v>1351</v>
      </c>
      <c r="F2598" s="1621"/>
      <c r="G2598" s="1621"/>
      <c r="H2598" s="1621"/>
      <c r="I2598" s="1241"/>
      <c r="J2598" s="1621"/>
      <c r="K2598" s="1621"/>
      <c r="L2598" s="799"/>
      <c r="M2598" s="1621"/>
      <c r="N2598" s="1621"/>
    </row>
    <row r="2599" spans="1:17" s="1620" customFormat="1" x14ac:dyDescent="0.25">
      <c r="A2599" s="815" t="s">
        <v>769</v>
      </c>
      <c r="B2599" s="766" t="str">
        <f t="shared" ca="1" si="356"/>
        <v/>
      </c>
      <c r="C2599" s="766" t="str">
        <f t="shared" ca="1" si="355"/>
        <v/>
      </c>
      <c r="D2599" s="1621" t="s">
        <v>1350</v>
      </c>
      <c r="E2599" s="766" t="s">
        <v>1351</v>
      </c>
      <c r="F2599" s="1621"/>
      <c r="G2599" s="1621"/>
      <c r="H2599" s="1621"/>
      <c r="I2599" s="1241"/>
      <c r="J2599" s="1621"/>
      <c r="K2599" s="1621"/>
      <c r="L2599" s="799"/>
      <c r="M2599" s="1621"/>
      <c r="N2599" s="1621"/>
    </row>
    <row r="2600" spans="1:17" s="1620" customFormat="1" x14ac:dyDescent="0.25">
      <c r="A2600" s="815" t="s">
        <v>204</v>
      </c>
      <c r="B2600" s="766" t="str">
        <f t="shared" ca="1" si="356"/>
        <v/>
      </c>
      <c r="C2600" s="766" t="str">
        <f t="shared" ca="1" si="355"/>
        <v/>
      </c>
      <c r="D2600" s="1621" t="s">
        <v>1350</v>
      </c>
      <c r="E2600" s="766" t="s">
        <v>1351</v>
      </c>
      <c r="F2600" s="1621"/>
      <c r="G2600" s="1621"/>
      <c r="H2600" s="1621"/>
      <c r="I2600" s="1241"/>
      <c r="J2600" s="1621"/>
      <c r="K2600" s="1621"/>
      <c r="L2600" s="799"/>
      <c r="M2600" s="1621"/>
      <c r="N2600" s="1621"/>
    </row>
    <row r="2601" spans="1:17" s="1620" customFormat="1" x14ac:dyDescent="0.25">
      <c r="A2601" s="816" t="s">
        <v>1171</v>
      </c>
      <c r="B2601" s="766" t="str">
        <f ca="1">_xlfn.IFNA(_xlfn.CONCAT(SUBSTITUTE(ADDRESS(1,MATCH(A2601,INDIRECT("'"&amp;E2601&amp;"'"&amp;"!A18:Z18"),0),4),1,""),36),"")</f>
        <v>E36</v>
      </c>
      <c r="C2601" s="766" t="str">
        <f t="shared" ca="1" si="355"/>
        <v>E</v>
      </c>
      <c r="D2601" s="1621" t="s">
        <v>1350</v>
      </c>
      <c r="E2601" s="766" t="s">
        <v>1351</v>
      </c>
      <c r="F2601" s="1621"/>
      <c r="G2601" s="1621"/>
      <c r="H2601" s="1621"/>
      <c r="I2601" s="1241" t="str">
        <f t="shared" si="352"/>
        <v/>
      </c>
      <c r="J2601" s="1621"/>
      <c r="K2601" s="1621" t="str">
        <f t="shared" si="353"/>
        <v/>
      </c>
      <c r="L2601" s="799" t="s">
        <v>1171</v>
      </c>
      <c r="M2601" s="1621">
        <v>1554</v>
      </c>
      <c r="N2601" s="1621"/>
      <c r="P2601" s="1621" t="str">
        <f>IFERROR(VLOOKUP(Q$2601,'Existing Customers'!$A:$F,1,FALSE),"")</f>
        <v/>
      </c>
      <c r="Q2601" s="1621"/>
    </row>
    <row r="2602" spans="1:17" s="1620" customFormat="1" x14ac:dyDescent="0.25">
      <c r="A2602" s="817" t="s">
        <v>766</v>
      </c>
      <c r="B2602" s="766" t="str">
        <f t="shared" ref="B2602:B2611" ca="1" si="357">_xlfn.IFNA(_xlfn.CONCAT(SUBSTITUTE(ADDRESS(1,MATCH(A2602,INDIRECT("'"&amp;E2602&amp;"'"&amp;"!A18:Z18"),0),4),1,""),36),"")</f>
        <v>F36</v>
      </c>
      <c r="C2602" s="766" t="str">
        <f t="shared" ca="1" si="355"/>
        <v>F</v>
      </c>
      <c r="D2602" s="1621" t="s">
        <v>1350</v>
      </c>
      <c r="E2602" s="766" t="s">
        <v>1351</v>
      </c>
      <c r="F2602" s="1621"/>
      <c r="G2602" s="1621"/>
      <c r="H2602" s="1621"/>
      <c r="I2602" s="1241" t="str">
        <f t="shared" si="352"/>
        <v>Name</v>
      </c>
      <c r="J2602" s="1621" t="str">
        <f>IF(P2601="",Q$1&amp;M2602,"")</f>
        <v>F1556</v>
      </c>
      <c r="K2602" s="1621" t="str">
        <f t="shared" si="353"/>
        <v>Required Info to Submit</v>
      </c>
      <c r="L2602" s="799" t="s">
        <v>766</v>
      </c>
      <c r="M2602" s="1621">
        <v>1556</v>
      </c>
      <c r="N2602" s="1621"/>
    </row>
    <row r="2603" spans="1:17" s="1620" customFormat="1" x14ac:dyDescent="0.25">
      <c r="A2603" s="817" t="s">
        <v>765</v>
      </c>
      <c r="B2603" s="766" t="str">
        <f t="shared" ca="1" si="357"/>
        <v>G36</v>
      </c>
      <c r="C2603" s="766" t="str">
        <f t="shared" ca="1" si="355"/>
        <v>G</v>
      </c>
      <c r="D2603" s="1621" t="s">
        <v>1350</v>
      </c>
      <c r="E2603" s="766" t="s">
        <v>1351</v>
      </c>
      <c r="F2603" s="1621"/>
      <c r="G2603" s="1621"/>
      <c r="H2603" s="1621"/>
      <c r="I2603" s="1241" t="str">
        <f t="shared" si="352"/>
        <v/>
      </c>
      <c r="J2603" s="1621"/>
      <c r="K2603" s="1621" t="str">
        <f t="shared" si="353"/>
        <v/>
      </c>
      <c r="L2603" s="799" t="s">
        <v>765</v>
      </c>
      <c r="M2603" s="1621">
        <v>1566</v>
      </c>
      <c r="N2603" s="1621"/>
    </row>
    <row r="2604" spans="1:17" s="1620" customFormat="1" x14ac:dyDescent="0.25">
      <c r="A2604" s="817" t="s">
        <v>1172</v>
      </c>
      <c r="B2604" s="766" t="str">
        <f t="shared" ca="1" si="357"/>
        <v>H36</v>
      </c>
      <c r="C2604" s="766" t="str">
        <f t="shared" ca="1" si="355"/>
        <v>H</v>
      </c>
      <c r="D2604" s="1621" t="s">
        <v>1350</v>
      </c>
      <c r="E2604" s="766" t="s">
        <v>1351</v>
      </c>
      <c r="F2604" s="1621"/>
      <c r="G2604" s="1621"/>
      <c r="H2604" s="1621"/>
      <c r="I2604" s="1241" t="str">
        <f t="shared" si="352"/>
        <v/>
      </c>
      <c r="J2604" s="1621"/>
      <c r="K2604" s="1621" t="str">
        <f t="shared" si="353"/>
        <v/>
      </c>
      <c r="L2604" s="799" t="s">
        <v>1172</v>
      </c>
      <c r="M2604" s="1621">
        <v>1567</v>
      </c>
      <c r="N2604" s="1621"/>
    </row>
    <row r="2605" spans="1:17" s="1620" customFormat="1" x14ac:dyDescent="0.25">
      <c r="A2605" s="817" t="s">
        <v>1173</v>
      </c>
      <c r="B2605" s="766" t="str">
        <f t="shared" ca="1" si="357"/>
        <v>I36</v>
      </c>
      <c r="C2605" s="766" t="str">
        <f t="shared" ca="1" si="355"/>
        <v>I</v>
      </c>
      <c r="D2605" s="1621" t="s">
        <v>1350</v>
      </c>
      <c r="E2605" s="766" t="s">
        <v>1351</v>
      </c>
      <c r="F2605" s="1621"/>
      <c r="G2605" s="1621"/>
      <c r="H2605" s="1621"/>
      <c r="I2605" s="1241" t="str">
        <f t="shared" si="352"/>
        <v>Secondary or Internal Customer</v>
      </c>
      <c r="J2605" s="1621" t="str">
        <f>IF(M2605&lt;&gt;"",Q$1&amp;M2605,"")</f>
        <v>F1568</v>
      </c>
      <c r="K2605" s="1621" t="str">
        <f t="shared" si="353"/>
        <v>Required Info to Submit</v>
      </c>
      <c r="L2605" s="799" t="s">
        <v>1173</v>
      </c>
      <c r="M2605" s="1621">
        <v>1568</v>
      </c>
      <c r="N2605" s="1621"/>
    </row>
    <row r="2606" spans="1:17" s="1620" customFormat="1" x14ac:dyDescent="0.25">
      <c r="A2606" s="817" t="s">
        <v>1174</v>
      </c>
      <c r="B2606" s="766" t="str">
        <f t="shared" ca="1" si="357"/>
        <v>J36</v>
      </c>
      <c r="C2606" s="766" t="str">
        <f t="shared" ca="1" si="355"/>
        <v>J</v>
      </c>
      <c r="D2606" s="1621" t="s">
        <v>1350</v>
      </c>
      <c r="E2606" s="766" t="s">
        <v>1351</v>
      </c>
      <c r="F2606" s="1621"/>
      <c r="G2606" s="1621"/>
      <c r="H2606" s="1621"/>
      <c r="I2606" s="1241" t="str">
        <f t="shared" si="352"/>
        <v>Fuel Surcharge Applied</v>
      </c>
      <c r="J2606" s="1621" t="str">
        <f>IF(M2606&lt;&gt;"",Q$1&amp;M2606,"")</f>
        <v>F1569</v>
      </c>
      <c r="K2606" s="1621" t="str">
        <f t="shared" si="353"/>
        <v>Required Info to Submit</v>
      </c>
      <c r="L2606" s="799" t="s">
        <v>1360</v>
      </c>
      <c r="M2606" s="1621">
        <v>1569</v>
      </c>
      <c r="N2606" s="1621"/>
    </row>
    <row r="2607" spans="1:17" s="1620" customFormat="1" x14ac:dyDescent="0.25">
      <c r="A2607" s="817" t="s">
        <v>1290</v>
      </c>
      <c r="B2607" s="766" t="str">
        <f t="shared" ca="1" si="357"/>
        <v>K36</v>
      </c>
      <c r="C2607" s="766" t="str">
        <f t="shared" ca="1" si="355"/>
        <v>K</v>
      </c>
      <c r="D2607" s="1621" t="s">
        <v>1350</v>
      </c>
      <c r="E2607" s="766" t="s">
        <v>1351</v>
      </c>
      <c r="F2607" s="1621"/>
      <c r="G2607" s="1621"/>
      <c r="H2607" s="1621"/>
      <c r="I2607" s="1241" t="str">
        <f t="shared" si="352"/>
        <v>Minimum Delivery Charge Applied Flag</v>
      </c>
      <c r="J2607" s="1621" t="str">
        <f>IF(M2607&lt;&gt;"",Q$1&amp;M2607,"")</f>
        <v>F1570</v>
      </c>
      <c r="K2607" s="1621" t="str">
        <f t="shared" si="353"/>
        <v>Required Info to Submit</v>
      </c>
      <c r="L2607" s="799" t="s">
        <v>1290</v>
      </c>
      <c r="M2607" s="1621">
        <v>1570</v>
      </c>
      <c r="N2607" s="1621"/>
    </row>
    <row r="2608" spans="1:17" s="1620" customFormat="1" x14ac:dyDescent="0.25">
      <c r="A2608" s="817" t="s">
        <v>767</v>
      </c>
      <c r="B2608" s="766" t="str">
        <f t="shared" ca="1" si="357"/>
        <v/>
      </c>
      <c r="C2608" s="766" t="str">
        <f t="shared" ca="1" si="355"/>
        <v/>
      </c>
      <c r="D2608" s="1621" t="s">
        <v>1350</v>
      </c>
      <c r="E2608" s="766" t="s">
        <v>1351</v>
      </c>
      <c r="F2608" s="1621"/>
      <c r="G2608" s="1621"/>
      <c r="H2608" s="1621"/>
      <c r="I2608" s="1241"/>
      <c r="J2608" s="1621"/>
      <c r="K2608" s="1621"/>
      <c r="L2608" s="799"/>
      <c r="M2608" s="1621"/>
      <c r="N2608" s="1621"/>
    </row>
    <row r="2609" spans="1:17" s="1620" customFormat="1" x14ac:dyDescent="0.25">
      <c r="A2609" s="817" t="s">
        <v>768</v>
      </c>
      <c r="B2609" s="766" t="str">
        <f t="shared" ca="1" si="357"/>
        <v/>
      </c>
      <c r="C2609" s="766" t="str">
        <f t="shared" ca="1" si="355"/>
        <v/>
      </c>
      <c r="D2609" s="1621" t="s">
        <v>1350</v>
      </c>
      <c r="E2609" s="766" t="s">
        <v>1351</v>
      </c>
      <c r="F2609" s="1621"/>
      <c r="G2609" s="1621"/>
      <c r="H2609" s="1621"/>
      <c r="I2609" s="1241"/>
      <c r="J2609" s="1621"/>
      <c r="K2609" s="1621"/>
      <c r="L2609" s="799"/>
      <c r="M2609" s="1621"/>
      <c r="N2609" s="1621"/>
    </row>
    <row r="2610" spans="1:17" s="1620" customFormat="1" x14ac:dyDescent="0.25">
      <c r="A2610" s="817" t="s">
        <v>769</v>
      </c>
      <c r="B2610" s="766" t="str">
        <f t="shared" ca="1" si="357"/>
        <v/>
      </c>
      <c r="C2610" s="766" t="str">
        <f t="shared" ca="1" si="355"/>
        <v/>
      </c>
      <c r="D2610" s="1621" t="s">
        <v>1350</v>
      </c>
      <c r="E2610" s="766" t="s">
        <v>1351</v>
      </c>
      <c r="F2610" s="1621"/>
      <c r="G2610" s="1621"/>
      <c r="H2610" s="1621"/>
      <c r="I2610" s="1241"/>
      <c r="J2610" s="1621"/>
      <c r="K2610" s="1621"/>
      <c r="L2610" s="799"/>
      <c r="M2610" s="1621"/>
      <c r="N2610" s="1621"/>
    </row>
    <row r="2611" spans="1:17" s="1620" customFormat="1" x14ac:dyDescent="0.25">
      <c r="A2611" s="817" t="s">
        <v>204</v>
      </c>
      <c r="B2611" s="766" t="str">
        <f t="shared" ca="1" si="357"/>
        <v/>
      </c>
      <c r="C2611" s="766" t="str">
        <f t="shared" ca="1" si="355"/>
        <v/>
      </c>
      <c r="D2611" s="1621" t="s">
        <v>1350</v>
      </c>
      <c r="E2611" s="766" t="s">
        <v>1351</v>
      </c>
      <c r="F2611" s="1621"/>
      <c r="G2611" s="1621"/>
      <c r="H2611" s="1621"/>
      <c r="I2611" s="1241"/>
      <c r="J2611" s="1621"/>
      <c r="K2611" s="1621"/>
      <c r="L2611" s="799"/>
      <c r="M2611" s="1621"/>
      <c r="N2611" s="1621"/>
    </row>
    <row r="2612" spans="1:17" s="1620" customFormat="1" x14ac:dyDescent="0.25">
      <c r="A2612" s="814" t="s">
        <v>1171</v>
      </c>
      <c r="B2612" s="766" t="str">
        <f ca="1">_xlfn.IFNA(_xlfn.CONCAT(SUBSTITUTE(ADDRESS(1,MATCH(A2612,INDIRECT("'"&amp;E2612&amp;"'"&amp;"!A18:Z18"),0),4),1,""),37),"")</f>
        <v>E37</v>
      </c>
      <c r="C2612" s="766" t="str">
        <f t="shared" ca="1" si="355"/>
        <v>E</v>
      </c>
      <c r="D2612" s="1621" t="s">
        <v>1350</v>
      </c>
      <c r="E2612" s="766" t="s">
        <v>1351</v>
      </c>
      <c r="F2612" s="1621"/>
      <c r="G2612" s="1621"/>
      <c r="H2612" s="1621"/>
      <c r="I2612" s="1241" t="str">
        <f t="shared" si="352"/>
        <v/>
      </c>
      <c r="J2612" s="1621"/>
      <c r="K2612" s="1621" t="str">
        <f t="shared" si="353"/>
        <v/>
      </c>
      <c r="L2612" s="799" t="s">
        <v>1171</v>
      </c>
      <c r="M2612" s="1621">
        <v>1575</v>
      </c>
      <c r="N2612" s="1621"/>
      <c r="P2612" s="1621" t="str">
        <f>IFERROR(VLOOKUP(Q$2612,'Existing Customers'!$A:$F,1,FALSE),"")</f>
        <v/>
      </c>
      <c r="Q2612" s="1621"/>
    </row>
    <row r="2613" spans="1:17" s="1620" customFormat="1" x14ac:dyDescent="0.25">
      <c r="A2613" s="815" t="s">
        <v>766</v>
      </c>
      <c r="B2613" s="766" t="str">
        <f t="shared" ref="B2613:B2622" ca="1" si="358">_xlfn.IFNA(_xlfn.CONCAT(SUBSTITUTE(ADDRESS(1,MATCH(A2613,INDIRECT("'"&amp;E2613&amp;"'"&amp;"!A18:Z18"),0),4),1,""),37),"")</f>
        <v>F37</v>
      </c>
      <c r="C2613" s="766" t="str">
        <f t="shared" ca="1" si="355"/>
        <v>F</v>
      </c>
      <c r="D2613" s="1621" t="s">
        <v>1350</v>
      </c>
      <c r="E2613" s="766" t="s">
        <v>1351</v>
      </c>
      <c r="F2613" s="1621"/>
      <c r="G2613" s="1621"/>
      <c r="H2613" s="1621"/>
      <c r="I2613" s="1241" t="str">
        <f t="shared" si="352"/>
        <v>Name</v>
      </c>
      <c r="J2613" s="1621" t="str">
        <f>IF(P2612="",Q$1&amp;M2613,"")</f>
        <v>F1577</v>
      </c>
      <c r="K2613" s="1621" t="str">
        <f t="shared" si="353"/>
        <v>Required Info to Submit</v>
      </c>
      <c r="L2613" s="799" t="s">
        <v>766</v>
      </c>
      <c r="M2613" s="1621">
        <v>1577</v>
      </c>
      <c r="N2613" s="1621"/>
    </row>
    <row r="2614" spans="1:17" s="1620" customFormat="1" x14ac:dyDescent="0.25">
      <c r="A2614" s="815" t="s">
        <v>765</v>
      </c>
      <c r="B2614" s="766" t="str">
        <f t="shared" ca="1" si="358"/>
        <v>G37</v>
      </c>
      <c r="C2614" s="766" t="str">
        <f t="shared" ca="1" si="355"/>
        <v>G</v>
      </c>
      <c r="D2614" s="1621" t="s">
        <v>1350</v>
      </c>
      <c r="E2614" s="766" t="s">
        <v>1351</v>
      </c>
      <c r="F2614" s="1621"/>
      <c r="G2614" s="1621"/>
      <c r="H2614" s="1621"/>
      <c r="I2614" s="1241" t="str">
        <f t="shared" si="352"/>
        <v/>
      </c>
      <c r="J2614" s="1621"/>
      <c r="K2614" s="1621" t="str">
        <f t="shared" si="353"/>
        <v/>
      </c>
      <c r="L2614" s="799" t="s">
        <v>765</v>
      </c>
      <c r="M2614" s="1621">
        <v>1587</v>
      </c>
      <c r="N2614" s="1621"/>
    </row>
    <row r="2615" spans="1:17" s="1620" customFormat="1" x14ac:dyDescent="0.25">
      <c r="A2615" s="815" t="s">
        <v>1172</v>
      </c>
      <c r="B2615" s="766" t="str">
        <f t="shared" ca="1" si="358"/>
        <v>H37</v>
      </c>
      <c r="C2615" s="766" t="str">
        <f t="shared" ca="1" si="355"/>
        <v>H</v>
      </c>
      <c r="D2615" s="1621" t="s">
        <v>1350</v>
      </c>
      <c r="E2615" s="766" t="s">
        <v>1351</v>
      </c>
      <c r="F2615" s="1621"/>
      <c r="G2615" s="1621"/>
      <c r="H2615" s="1621"/>
      <c r="I2615" s="1241" t="str">
        <f t="shared" si="352"/>
        <v/>
      </c>
      <c r="J2615" s="1621"/>
      <c r="K2615" s="1621" t="str">
        <f t="shared" si="353"/>
        <v/>
      </c>
      <c r="L2615" s="799" t="s">
        <v>1172</v>
      </c>
      <c r="M2615" s="1621">
        <v>1588</v>
      </c>
      <c r="N2615" s="1621"/>
    </row>
    <row r="2616" spans="1:17" s="1620" customFormat="1" x14ac:dyDescent="0.25">
      <c r="A2616" s="815" t="s">
        <v>1173</v>
      </c>
      <c r="B2616" s="766" t="str">
        <f t="shared" ca="1" si="358"/>
        <v>I37</v>
      </c>
      <c r="C2616" s="766" t="str">
        <f t="shared" ca="1" si="355"/>
        <v>I</v>
      </c>
      <c r="D2616" s="1621" t="s">
        <v>1350</v>
      </c>
      <c r="E2616" s="766" t="s">
        <v>1351</v>
      </c>
      <c r="F2616" s="1621"/>
      <c r="G2616" s="1621"/>
      <c r="H2616" s="1621"/>
      <c r="I2616" s="1241" t="str">
        <f t="shared" si="352"/>
        <v>Secondary or Internal Customer</v>
      </c>
      <c r="J2616" s="1621" t="str">
        <f>IF(M2616&lt;&gt;"",Q$1&amp;M2616,"")</f>
        <v>F1589</v>
      </c>
      <c r="K2616" s="1621" t="str">
        <f t="shared" si="353"/>
        <v>Required Info to Submit</v>
      </c>
      <c r="L2616" s="799" t="s">
        <v>1173</v>
      </c>
      <c r="M2616" s="1621">
        <v>1589</v>
      </c>
      <c r="N2616" s="1621"/>
    </row>
    <row r="2617" spans="1:17" s="1620" customFormat="1" x14ac:dyDescent="0.25">
      <c r="A2617" s="815" t="s">
        <v>1174</v>
      </c>
      <c r="B2617" s="766" t="str">
        <f t="shared" ca="1" si="358"/>
        <v>J37</v>
      </c>
      <c r="C2617" s="766" t="str">
        <f t="shared" ca="1" si="355"/>
        <v>J</v>
      </c>
      <c r="D2617" s="1621" t="s">
        <v>1350</v>
      </c>
      <c r="E2617" s="766" t="s">
        <v>1351</v>
      </c>
      <c r="F2617" s="1621"/>
      <c r="G2617" s="1621"/>
      <c r="H2617" s="1621"/>
      <c r="I2617" s="1241" t="str">
        <f t="shared" si="352"/>
        <v>Fuel Surcharge Applied</v>
      </c>
      <c r="J2617" s="1621" t="str">
        <f>IF(M2617&lt;&gt;"",Q$1&amp;M2617,"")</f>
        <v>F1590</v>
      </c>
      <c r="K2617" s="1621" t="str">
        <f t="shared" si="353"/>
        <v>Required Info to Submit</v>
      </c>
      <c r="L2617" s="799" t="s">
        <v>1360</v>
      </c>
      <c r="M2617" s="1621">
        <v>1590</v>
      </c>
      <c r="N2617" s="1621"/>
    </row>
    <row r="2618" spans="1:17" s="1620" customFormat="1" x14ac:dyDescent="0.25">
      <c r="A2618" s="815" t="s">
        <v>1290</v>
      </c>
      <c r="B2618" s="766" t="str">
        <f t="shared" ca="1" si="358"/>
        <v>K37</v>
      </c>
      <c r="C2618" s="766" t="str">
        <f t="shared" ca="1" si="355"/>
        <v>K</v>
      </c>
      <c r="D2618" s="1621" t="s">
        <v>1350</v>
      </c>
      <c r="E2618" s="766" t="s">
        <v>1351</v>
      </c>
      <c r="F2618" s="1621"/>
      <c r="G2618" s="1621"/>
      <c r="H2618" s="1621"/>
      <c r="I2618" s="1241" t="str">
        <f t="shared" si="352"/>
        <v>Minimum Delivery Charge Applied Flag</v>
      </c>
      <c r="J2618" s="1621" t="str">
        <f>IF(M2618&lt;&gt;"",Q$1&amp;M2618,"")</f>
        <v>F1591</v>
      </c>
      <c r="K2618" s="1621" t="str">
        <f t="shared" si="353"/>
        <v>Required Info to Submit</v>
      </c>
      <c r="L2618" s="799" t="s">
        <v>1290</v>
      </c>
      <c r="M2618" s="1621">
        <v>1591</v>
      </c>
      <c r="N2618" s="1621"/>
    </row>
    <row r="2619" spans="1:17" s="1620" customFormat="1" x14ac:dyDescent="0.25">
      <c r="A2619" s="815" t="s">
        <v>767</v>
      </c>
      <c r="B2619" s="766" t="str">
        <f t="shared" ca="1" si="358"/>
        <v/>
      </c>
      <c r="C2619" s="766" t="str">
        <f t="shared" ca="1" si="355"/>
        <v/>
      </c>
      <c r="D2619" s="1621" t="s">
        <v>1350</v>
      </c>
      <c r="E2619" s="766" t="s">
        <v>1351</v>
      </c>
      <c r="F2619" s="1621"/>
      <c r="G2619" s="1621"/>
      <c r="H2619" s="1621"/>
      <c r="I2619" s="1241"/>
      <c r="J2619" s="1621"/>
      <c r="K2619" s="1621"/>
      <c r="L2619" s="799"/>
      <c r="M2619" s="1621"/>
      <c r="N2619" s="1621"/>
    </row>
    <row r="2620" spans="1:17" s="1620" customFormat="1" x14ac:dyDescent="0.25">
      <c r="A2620" s="815" t="s">
        <v>768</v>
      </c>
      <c r="B2620" s="766" t="str">
        <f t="shared" ca="1" si="358"/>
        <v/>
      </c>
      <c r="C2620" s="766" t="str">
        <f t="shared" ca="1" si="355"/>
        <v/>
      </c>
      <c r="D2620" s="1621" t="s">
        <v>1350</v>
      </c>
      <c r="E2620" s="766" t="s">
        <v>1351</v>
      </c>
      <c r="F2620" s="1621"/>
      <c r="G2620" s="1621"/>
      <c r="H2620" s="1621"/>
      <c r="I2620" s="1241"/>
      <c r="J2620" s="1621"/>
      <c r="K2620" s="1621"/>
      <c r="L2620" s="799"/>
      <c r="M2620" s="1621"/>
      <c r="N2620" s="1621"/>
    </row>
    <row r="2621" spans="1:17" s="1620" customFormat="1" x14ac:dyDescent="0.25">
      <c r="A2621" s="815" t="s">
        <v>769</v>
      </c>
      <c r="B2621" s="766" t="str">
        <f t="shared" ca="1" si="358"/>
        <v/>
      </c>
      <c r="C2621" s="766" t="str">
        <f t="shared" ca="1" si="355"/>
        <v/>
      </c>
      <c r="D2621" s="1621" t="s">
        <v>1350</v>
      </c>
      <c r="E2621" s="766" t="s">
        <v>1351</v>
      </c>
      <c r="F2621" s="1621"/>
      <c r="G2621" s="1621"/>
      <c r="H2621" s="1621"/>
      <c r="I2621" s="1241"/>
      <c r="J2621" s="1621"/>
      <c r="K2621" s="1621"/>
      <c r="L2621" s="799"/>
      <c r="M2621" s="1621"/>
      <c r="N2621" s="1621"/>
    </row>
    <row r="2622" spans="1:17" s="1620" customFormat="1" x14ac:dyDescent="0.25">
      <c r="A2622" s="815" t="s">
        <v>204</v>
      </c>
      <c r="B2622" s="766" t="str">
        <f t="shared" ca="1" si="358"/>
        <v/>
      </c>
      <c r="C2622" s="766" t="str">
        <f t="shared" ca="1" si="355"/>
        <v/>
      </c>
      <c r="D2622" s="1621" t="s">
        <v>1350</v>
      </c>
      <c r="E2622" s="766" t="s">
        <v>1351</v>
      </c>
      <c r="F2622" s="1621"/>
      <c r="G2622" s="1621"/>
      <c r="H2622" s="1621"/>
      <c r="I2622" s="1241"/>
      <c r="J2622" s="1621"/>
      <c r="K2622" s="1621"/>
      <c r="L2622" s="799"/>
      <c r="M2622" s="1621"/>
      <c r="N2622" s="1621"/>
    </row>
    <row r="2623" spans="1:17" s="1620" customFormat="1" x14ac:dyDescent="0.25">
      <c r="A2623" s="816" t="s">
        <v>1171</v>
      </c>
      <c r="B2623" s="766" t="str">
        <f ca="1">_xlfn.IFNA(_xlfn.CONCAT(SUBSTITUTE(ADDRESS(1,MATCH(A2623,INDIRECT("'"&amp;E2623&amp;"'"&amp;"!A18:Z18"),0),4),1,""),38),"")</f>
        <v>E38</v>
      </c>
      <c r="C2623" s="766" t="str">
        <f t="shared" ca="1" si="355"/>
        <v>E</v>
      </c>
      <c r="D2623" s="1621" t="s">
        <v>1350</v>
      </c>
      <c r="E2623" s="766" t="s">
        <v>1351</v>
      </c>
      <c r="F2623" s="1621"/>
      <c r="G2623" s="1621"/>
      <c r="H2623" s="1621"/>
      <c r="I2623" s="1241" t="str">
        <f t="shared" si="352"/>
        <v/>
      </c>
      <c r="J2623" s="1621"/>
      <c r="K2623" s="1621" t="str">
        <f t="shared" si="353"/>
        <v/>
      </c>
      <c r="L2623" s="799" t="s">
        <v>1171</v>
      </c>
      <c r="M2623" s="1621">
        <v>1596</v>
      </c>
      <c r="N2623" s="1621"/>
      <c r="P2623" s="1621" t="str">
        <f>IFERROR(VLOOKUP(Q$2623,'Existing Customers'!$A:$F,1,FALSE),"")</f>
        <v/>
      </c>
      <c r="Q2623" s="1621"/>
    </row>
    <row r="2624" spans="1:17" s="1620" customFormat="1" x14ac:dyDescent="0.25">
      <c r="A2624" s="817" t="s">
        <v>766</v>
      </c>
      <c r="B2624" s="766" t="str">
        <f t="shared" ref="B2624:B2633" ca="1" si="359">_xlfn.IFNA(_xlfn.CONCAT(SUBSTITUTE(ADDRESS(1,MATCH(A2624,INDIRECT("'"&amp;E2624&amp;"'"&amp;"!A18:Z18"),0),4),1,""),38),"")</f>
        <v>F38</v>
      </c>
      <c r="C2624" s="766" t="str">
        <f t="shared" ca="1" si="355"/>
        <v>F</v>
      </c>
      <c r="D2624" s="1621" t="s">
        <v>1350</v>
      </c>
      <c r="E2624" s="766" t="s">
        <v>1351</v>
      </c>
      <c r="F2624" s="1621"/>
      <c r="G2624" s="1621"/>
      <c r="H2624" s="1621"/>
      <c r="I2624" s="1241" t="str">
        <f t="shared" si="352"/>
        <v>Name</v>
      </c>
      <c r="J2624" s="1621" t="str">
        <f>IF(P2623="",Q$1&amp;M2624,"")</f>
        <v>F1598</v>
      </c>
      <c r="K2624" s="1621" t="str">
        <f t="shared" si="353"/>
        <v>Required Info to Submit</v>
      </c>
      <c r="L2624" s="799" t="s">
        <v>766</v>
      </c>
      <c r="M2624" s="1621">
        <v>1598</v>
      </c>
      <c r="N2624" s="1621"/>
    </row>
    <row r="2625" spans="1:20" s="1620" customFormat="1" x14ac:dyDescent="0.25">
      <c r="A2625" s="817" t="s">
        <v>765</v>
      </c>
      <c r="B2625" s="766" t="str">
        <f t="shared" ca="1" si="359"/>
        <v>G38</v>
      </c>
      <c r="C2625" s="766" t="str">
        <f t="shared" ca="1" si="355"/>
        <v>G</v>
      </c>
      <c r="D2625" s="1621" t="s">
        <v>1350</v>
      </c>
      <c r="E2625" s="766" t="s">
        <v>1351</v>
      </c>
      <c r="F2625" s="1621"/>
      <c r="G2625" s="1621"/>
      <c r="H2625" s="1621"/>
      <c r="I2625" s="1241" t="str">
        <f t="shared" si="352"/>
        <v/>
      </c>
      <c r="J2625" s="1621"/>
      <c r="K2625" s="1621" t="str">
        <f t="shared" si="353"/>
        <v/>
      </c>
      <c r="L2625" s="799" t="s">
        <v>765</v>
      </c>
      <c r="M2625" s="1621">
        <v>1608</v>
      </c>
      <c r="N2625" s="1621"/>
    </row>
    <row r="2626" spans="1:20" s="1620" customFormat="1" x14ac:dyDescent="0.25">
      <c r="A2626" s="817" t="s">
        <v>1172</v>
      </c>
      <c r="B2626" s="766" t="str">
        <f t="shared" ca="1" si="359"/>
        <v>H38</v>
      </c>
      <c r="C2626" s="766" t="str">
        <f t="shared" ca="1" si="355"/>
        <v>H</v>
      </c>
      <c r="D2626" s="1621" t="s">
        <v>1350</v>
      </c>
      <c r="E2626" s="766" t="s">
        <v>1351</v>
      </c>
      <c r="F2626" s="1621"/>
      <c r="G2626" s="1621"/>
      <c r="H2626" s="1621"/>
      <c r="I2626" s="1241" t="str">
        <f t="shared" si="352"/>
        <v/>
      </c>
      <c r="J2626" s="1621"/>
      <c r="K2626" s="1621" t="str">
        <f t="shared" si="353"/>
        <v/>
      </c>
      <c r="L2626" s="799" t="s">
        <v>1172</v>
      </c>
      <c r="M2626" s="1621">
        <v>1609</v>
      </c>
      <c r="N2626" s="1621"/>
    </row>
    <row r="2627" spans="1:20" s="1620" customFormat="1" x14ac:dyDescent="0.25">
      <c r="A2627" s="817" t="s">
        <v>1173</v>
      </c>
      <c r="B2627" s="766" t="str">
        <f t="shared" ca="1" si="359"/>
        <v>I38</v>
      </c>
      <c r="C2627" s="766" t="str">
        <f t="shared" ca="1" si="355"/>
        <v>I</v>
      </c>
      <c r="D2627" s="1621" t="s">
        <v>1350</v>
      </c>
      <c r="E2627" s="766" t="s">
        <v>1351</v>
      </c>
      <c r="F2627" s="1621"/>
      <c r="G2627" s="1621"/>
      <c r="H2627" s="1621"/>
      <c r="I2627" s="1241" t="str">
        <f t="shared" si="352"/>
        <v>Secondary or Internal Customer</v>
      </c>
      <c r="J2627" s="1621" t="str">
        <f>IF(M2627&lt;&gt;"",Q$1&amp;M2627,"")</f>
        <v>F1610</v>
      </c>
      <c r="K2627" s="1621" t="str">
        <f t="shared" si="353"/>
        <v>Required Info to Submit</v>
      </c>
      <c r="L2627" s="799" t="s">
        <v>1173</v>
      </c>
      <c r="M2627" s="1621">
        <v>1610</v>
      </c>
      <c r="N2627" s="1621"/>
    </row>
    <row r="2628" spans="1:20" s="1620" customFormat="1" x14ac:dyDescent="0.25">
      <c r="A2628" s="817" t="s">
        <v>1174</v>
      </c>
      <c r="B2628" s="766" t="str">
        <f t="shared" ca="1" si="359"/>
        <v>J38</v>
      </c>
      <c r="C2628" s="766" t="str">
        <f t="shared" ca="1" si="355"/>
        <v>J</v>
      </c>
      <c r="D2628" s="1621" t="s">
        <v>1350</v>
      </c>
      <c r="E2628" s="766" t="s">
        <v>1351</v>
      </c>
      <c r="F2628" s="1621"/>
      <c r="G2628" s="1621"/>
      <c r="H2628" s="1621"/>
      <c r="I2628" s="1241" t="str">
        <f t="shared" si="352"/>
        <v>Fuel Surcharge Applied</v>
      </c>
      <c r="J2628" s="1621" t="str">
        <f>IF(M2628&lt;&gt;"",Q$1&amp;M2628,"")</f>
        <v>F1611</v>
      </c>
      <c r="K2628" s="1621" t="str">
        <f t="shared" si="353"/>
        <v>Required Info to Submit</v>
      </c>
      <c r="L2628" s="799" t="s">
        <v>1360</v>
      </c>
      <c r="M2628" s="1621">
        <v>1611</v>
      </c>
      <c r="N2628" s="1621"/>
    </row>
    <row r="2629" spans="1:20" s="1620" customFormat="1" x14ac:dyDescent="0.25">
      <c r="A2629" s="817" t="s">
        <v>1290</v>
      </c>
      <c r="B2629" s="766" t="str">
        <f t="shared" ca="1" si="359"/>
        <v>K38</v>
      </c>
      <c r="C2629" s="766" t="str">
        <f t="shared" ca="1" si="355"/>
        <v>K</v>
      </c>
      <c r="D2629" s="1621" t="s">
        <v>1350</v>
      </c>
      <c r="E2629" s="766" t="s">
        <v>1351</v>
      </c>
      <c r="F2629" s="1621"/>
      <c r="G2629" s="1621"/>
      <c r="H2629" s="1621"/>
      <c r="I2629" s="1241" t="str">
        <f t="shared" si="352"/>
        <v>Minimum Delivery Charge Applied Flag</v>
      </c>
      <c r="J2629" s="1621" t="str">
        <f>IF(M2629&lt;&gt;"",Q$1&amp;M2629,"")</f>
        <v>F1612</v>
      </c>
      <c r="K2629" s="1621" t="str">
        <f t="shared" si="353"/>
        <v>Required Info to Submit</v>
      </c>
      <c r="L2629" s="799" t="s">
        <v>1290</v>
      </c>
      <c r="M2629" s="1621">
        <v>1612</v>
      </c>
      <c r="N2629" s="1621"/>
    </row>
    <row r="2630" spans="1:20" s="1620" customFormat="1" x14ac:dyDescent="0.25">
      <c r="A2630" s="817" t="s">
        <v>767</v>
      </c>
      <c r="B2630" s="766" t="str">
        <f t="shared" ca="1" si="359"/>
        <v/>
      </c>
      <c r="C2630" s="766" t="str">
        <f t="shared" ca="1" si="355"/>
        <v/>
      </c>
      <c r="D2630" s="1621" t="s">
        <v>1350</v>
      </c>
      <c r="E2630" s="766" t="s">
        <v>1351</v>
      </c>
      <c r="F2630" s="1621"/>
      <c r="G2630" s="1621"/>
      <c r="H2630" s="1621"/>
      <c r="I2630" s="1241"/>
      <c r="J2630" s="1621"/>
      <c r="K2630" s="1621"/>
      <c r="L2630" s="799"/>
      <c r="M2630" s="1621"/>
      <c r="N2630" s="1621"/>
    </row>
    <row r="2631" spans="1:20" s="1620" customFormat="1" x14ac:dyDescent="0.25">
      <c r="A2631" s="817" t="s">
        <v>768</v>
      </c>
      <c r="B2631" s="766" t="str">
        <f t="shared" ca="1" si="359"/>
        <v/>
      </c>
      <c r="C2631" s="766" t="str">
        <f t="shared" ca="1" si="355"/>
        <v/>
      </c>
      <c r="D2631" s="1621" t="s">
        <v>1350</v>
      </c>
      <c r="E2631" s="766" t="s">
        <v>1351</v>
      </c>
      <c r="F2631" s="1621"/>
      <c r="G2631" s="1621"/>
      <c r="H2631" s="1621"/>
      <c r="I2631" s="1241"/>
      <c r="J2631" s="1621"/>
      <c r="K2631" s="1621"/>
      <c r="L2631" s="799"/>
      <c r="M2631" s="1621"/>
      <c r="N2631" s="1621"/>
    </row>
    <row r="2632" spans="1:20" s="1620" customFormat="1" x14ac:dyDescent="0.25">
      <c r="A2632" s="817" t="s">
        <v>769</v>
      </c>
      <c r="B2632" s="766" t="str">
        <f t="shared" ca="1" si="359"/>
        <v/>
      </c>
      <c r="C2632" s="766" t="str">
        <f t="shared" ca="1" si="355"/>
        <v/>
      </c>
      <c r="D2632" s="1621" t="s">
        <v>1350</v>
      </c>
      <c r="E2632" s="766" t="s">
        <v>1351</v>
      </c>
      <c r="F2632" s="1621"/>
      <c r="G2632" s="1621"/>
      <c r="H2632" s="1621"/>
      <c r="I2632" s="1241"/>
      <c r="J2632" s="1621"/>
      <c r="K2632" s="1621"/>
      <c r="L2632" s="799"/>
      <c r="M2632" s="1621"/>
      <c r="N2632" s="1621"/>
    </row>
    <row r="2633" spans="1:20" s="1620" customFormat="1" x14ac:dyDescent="0.25">
      <c r="A2633" s="817" t="s">
        <v>204</v>
      </c>
      <c r="B2633" s="766" t="str">
        <f t="shared" ca="1" si="359"/>
        <v/>
      </c>
      <c r="C2633" s="766" t="str">
        <f t="shared" ca="1" si="355"/>
        <v/>
      </c>
      <c r="D2633" s="1621" t="s">
        <v>1350</v>
      </c>
      <c r="E2633" s="766" t="s">
        <v>1351</v>
      </c>
      <c r="F2633" s="1621"/>
      <c r="G2633" s="1621"/>
      <c r="H2633" s="1621"/>
      <c r="I2633" s="1241"/>
      <c r="J2633" s="1621"/>
      <c r="K2633" s="1621"/>
      <c r="L2633" s="799"/>
      <c r="M2633" s="1621"/>
      <c r="N2633" s="1621"/>
    </row>
    <row r="2634" spans="1:20" s="1632"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4" t="str">
        <f>IF(T2634&lt;&gt;"","A","")</f>
        <v/>
      </c>
      <c r="H2634" s="1634" t="s">
        <v>1982</v>
      </c>
      <c r="I2634" s="801"/>
      <c r="J2634" s="801"/>
      <c r="K2634" s="801"/>
      <c r="L2634" s="801" t="s">
        <v>1483</v>
      </c>
      <c r="M2634" s="1298">
        <v>1617</v>
      </c>
      <c r="N2634" s="801"/>
      <c r="O2634" s="1632" t="s">
        <v>725</v>
      </c>
      <c r="R2634" s="1634" t="s">
        <v>2182</v>
      </c>
      <c r="T2634" s="1634" t="str">
        <f>IF(Q$2635="Yes",45,"")</f>
        <v/>
      </c>
    </row>
    <row r="2635" spans="1:20" s="1632"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4"/>
      <c r="H2635" s="1634"/>
      <c r="I2635" s="801"/>
      <c r="J2635" s="801"/>
      <c r="K2635" s="801"/>
      <c r="L2635" s="801" t="s">
        <v>1697</v>
      </c>
      <c r="M2635" s="1298">
        <v>1618</v>
      </c>
      <c r="N2635" s="801"/>
      <c r="O2635" s="1632">
        <f>'Configurable Tab'!H47</f>
        <v>629</v>
      </c>
      <c r="P2635" s="18" t="str">
        <f>'Configurable Tab'!J47</f>
        <v>No</v>
      </c>
      <c r="Q2635" s="1632" t="s">
        <v>648</v>
      </c>
      <c r="R2635" s="1634" t="s">
        <v>2182</v>
      </c>
      <c r="T2635" s="1634" t="str">
        <f t="shared" ref="T2635:T2644" si="360">IF(Q$2635="Yes",45,"")</f>
        <v/>
      </c>
    </row>
    <row r="2636" spans="1:20" s="1632"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4" t="str">
        <f>IF(T2636&lt;&gt;"","B","")</f>
        <v/>
      </c>
      <c r="H2636" s="1634" t="s">
        <v>1982</v>
      </c>
      <c r="I2636" s="801"/>
      <c r="J2636" s="801"/>
      <c r="K2636" s="801"/>
      <c r="L2636" s="801" t="s">
        <v>1376</v>
      </c>
      <c r="M2636" s="1298">
        <v>1619</v>
      </c>
      <c r="N2636" s="801"/>
      <c r="O2636" s="1632" t="s">
        <v>726</v>
      </c>
      <c r="R2636" s="1634" t="s">
        <v>2182</v>
      </c>
      <c r="T2636" s="1634" t="str">
        <f t="shared" si="360"/>
        <v/>
      </c>
    </row>
    <row r="2637" spans="1:20" s="1632"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4" t="str">
        <f>IF(T2637&lt;&gt;"","I","")</f>
        <v/>
      </c>
      <c r="H2637" s="1634" t="s">
        <v>1982</v>
      </c>
      <c r="I2637" s="801"/>
      <c r="J2637" s="801"/>
      <c r="K2637" s="801"/>
      <c r="L2637" s="801" t="s">
        <v>1374</v>
      </c>
      <c r="M2637" s="1298">
        <v>1620</v>
      </c>
      <c r="N2637" s="801"/>
      <c r="O2637" s="1632">
        <f>'Configurable Tab'!I47</f>
        <v>642</v>
      </c>
      <c r="R2637" s="1634" t="s">
        <v>2182</v>
      </c>
      <c r="T2637" s="1634" t="str">
        <f t="shared" si="360"/>
        <v/>
      </c>
    </row>
    <row r="2638" spans="1:20" s="1632"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4" t="str">
        <f>IF(T2638&lt;&gt;"",IF(Q2637="Credit Memo","J",IF(Q2637="Check","K","")),"")</f>
        <v/>
      </c>
      <c r="H2638" s="1634" t="s">
        <v>1982</v>
      </c>
      <c r="I2638" s="801"/>
      <c r="J2638" s="801"/>
      <c r="K2638" s="801"/>
      <c r="L2638" s="801" t="s">
        <v>1375</v>
      </c>
      <c r="M2638" s="1298">
        <v>1621</v>
      </c>
      <c r="N2638" s="801"/>
      <c r="O2638" s="1632" t="s">
        <v>2183</v>
      </c>
      <c r="R2638" s="1634" t="s">
        <v>2182</v>
      </c>
      <c r="T2638" s="1634" t="str">
        <f t="shared" si="360"/>
        <v/>
      </c>
    </row>
    <row r="2639" spans="1:20" s="1632"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4" t="str">
        <f>IF(T2639&lt;&gt;"","C","")</f>
        <v/>
      </c>
      <c r="H2639" s="1634" t="s">
        <v>1982</v>
      </c>
      <c r="I2639" s="801"/>
      <c r="J2639" s="801"/>
      <c r="K2639" s="801"/>
      <c r="L2639" s="801" t="s">
        <v>1378</v>
      </c>
      <c r="M2639" s="1298">
        <v>1622</v>
      </c>
      <c r="N2639" s="801"/>
      <c r="R2639" s="1634" t="s">
        <v>2182</v>
      </c>
      <c r="T2639" s="1634" t="str">
        <f t="shared" si="360"/>
        <v/>
      </c>
    </row>
    <row r="2640" spans="1:20" s="1632"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4" t="str">
        <f>IF(T2640&lt;&gt;"","D","")</f>
        <v/>
      </c>
      <c r="H2640" s="1634" t="s">
        <v>1982</v>
      </c>
      <c r="I2640" s="801"/>
      <c r="J2640" s="801"/>
      <c r="K2640" s="801"/>
      <c r="L2640" s="801" t="s">
        <v>1379</v>
      </c>
      <c r="M2640" s="1298">
        <v>1623</v>
      </c>
      <c r="N2640" s="801"/>
      <c r="R2640" s="1634" t="s">
        <v>2182</v>
      </c>
      <c r="T2640" s="1634" t="str">
        <f t="shared" si="360"/>
        <v/>
      </c>
    </row>
    <row r="2641" spans="1:20" s="1632"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4" t="s">
        <v>1389</v>
      </c>
      <c r="G2641" s="1634" t="str">
        <f>IF(T2641&lt;&gt;"","S","")</f>
        <v/>
      </c>
      <c r="H2641" s="1634" t="s">
        <v>1982</v>
      </c>
      <c r="I2641" s="801"/>
      <c r="J2641" s="801"/>
      <c r="K2641" s="801"/>
      <c r="L2641" s="801" t="s">
        <v>1389</v>
      </c>
      <c r="M2641" s="1298">
        <v>1624</v>
      </c>
      <c r="N2641" s="801"/>
      <c r="R2641" s="1634" t="s">
        <v>2182</v>
      </c>
      <c r="T2641" s="1634" t="str">
        <f t="shared" si="360"/>
        <v/>
      </c>
    </row>
    <row r="2642" spans="1:20" s="1632"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4" t="str">
        <f>IF(T2642&lt;&gt;"","AQ","")</f>
        <v/>
      </c>
      <c r="H2642" s="1634" t="s">
        <v>1982</v>
      </c>
      <c r="I2642" s="801"/>
      <c r="J2642" s="801"/>
      <c r="K2642" s="801"/>
      <c r="L2642" s="801" t="s">
        <v>1996</v>
      </c>
      <c r="M2642" s="1298">
        <v>1625</v>
      </c>
      <c r="N2642" s="801"/>
      <c r="R2642" s="1634" t="s">
        <v>2182</v>
      </c>
      <c r="T2642" s="1634" t="str">
        <f t="shared" si="360"/>
        <v/>
      </c>
    </row>
    <row r="2643" spans="1:20" s="1632"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4" t="str">
        <f>IF(T2643&lt;&gt;"","AA","")</f>
        <v/>
      </c>
      <c r="H2643" s="1634" t="s">
        <v>1982</v>
      </c>
      <c r="I2643" s="801"/>
      <c r="J2643" s="801"/>
      <c r="K2643" s="801"/>
      <c r="L2643" s="801" t="s">
        <v>1997</v>
      </c>
      <c r="M2643" s="1298">
        <v>1626</v>
      </c>
      <c r="N2643" s="801"/>
      <c r="R2643" s="1634" t="s">
        <v>2182</v>
      </c>
      <c r="T2643" s="1634" t="str">
        <f t="shared" si="360"/>
        <v/>
      </c>
    </row>
    <row r="2644" spans="1:20" s="1632"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4" t="str">
        <f>IF(T2644&lt;&gt;"","H","")</f>
        <v/>
      </c>
      <c r="H2644" s="1634" t="s">
        <v>1982</v>
      </c>
      <c r="I2644" s="801"/>
      <c r="J2644" s="801"/>
      <c r="K2644" s="801"/>
      <c r="L2644" s="801" t="s">
        <v>1390</v>
      </c>
      <c r="M2644" s="1298">
        <v>1627</v>
      </c>
      <c r="N2644" s="801"/>
      <c r="R2644" s="1634" t="s">
        <v>2182</v>
      </c>
      <c r="T2644" s="1634" t="str">
        <f t="shared" si="360"/>
        <v/>
      </c>
    </row>
    <row r="2645" spans="1:20" s="1632" customFormat="1" x14ac:dyDescent="0.25">
      <c r="A2645" s="818" t="s">
        <v>1697</v>
      </c>
      <c r="B2645" s="1241" t="str">
        <f>IFERROR(_xlfn.CONCAT("D",('Configurable Tab'!$C$32+1)),"")</f>
        <v>D325</v>
      </c>
      <c r="C2645" s="1241" t="str">
        <f>IFERROR(_xlfn.CONCAT("E",('Configurable Tab'!$C$32+1)),"")</f>
        <v>E325</v>
      </c>
      <c r="D2645" s="801" t="s">
        <v>1343</v>
      </c>
      <c r="E2645" s="801" t="s">
        <v>1734</v>
      </c>
      <c r="F2645" s="1634"/>
      <c r="G2645" s="1634"/>
      <c r="H2645" s="1634"/>
      <c r="I2645" s="1241" t="str">
        <f t="shared" ref="I2645:I2655" si="361">IF(J2645&lt;&gt;"",A2645,"")</f>
        <v/>
      </c>
      <c r="J2645" s="1634" t="str">
        <f>IFERROR(IF($Q$2635="Yes",Q$1&amp;M2635,""),"")</f>
        <v/>
      </c>
      <c r="K2645" s="1634" t="str">
        <f t="shared" ref="K2645:K2655" si="362">IF(J2645&lt;&gt;"",E2645,"")</f>
        <v/>
      </c>
      <c r="M2645" s="1633"/>
      <c r="Q2645" s="1241" t="str">
        <f>IFERROR(_xlfn.CONCAT("C",('Configurable Tab'!$C32+1)),"")</f>
        <v>C325</v>
      </c>
      <c r="R2645" s="1634" t="s">
        <v>2182</v>
      </c>
    </row>
    <row r="2646" spans="1:20" s="1632" customFormat="1" x14ac:dyDescent="0.25">
      <c r="A2646" s="818" t="s">
        <v>1376</v>
      </c>
      <c r="B2646" s="1241" t="str">
        <f>IFERROR(_xlfn.CONCAT("D",('Configurable Tab'!$C$32+2)),"")</f>
        <v>D326</v>
      </c>
      <c r="C2646" s="1241" t="str">
        <f>IFERROR(_xlfn.CONCAT("E",('Configurable Tab'!$C$32+2)),"")</f>
        <v>E326</v>
      </c>
      <c r="D2646" s="801" t="s">
        <v>1343</v>
      </c>
      <c r="E2646" s="801" t="s">
        <v>1734</v>
      </c>
      <c r="F2646" s="1634"/>
      <c r="G2646" s="1634"/>
      <c r="H2646" s="1634"/>
      <c r="I2646" s="1241" t="str">
        <f t="shared" si="361"/>
        <v/>
      </c>
      <c r="J2646" s="1634" t="str">
        <f t="shared" ref="J2646:J2654" si="363">IFERROR(IF($Q$2635="Yes",Q$1&amp;M2636,""),"")</f>
        <v/>
      </c>
      <c r="K2646" s="1634" t="str">
        <f t="shared" si="362"/>
        <v/>
      </c>
      <c r="M2646" s="1633"/>
      <c r="R2646" s="1634" t="s">
        <v>2182</v>
      </c>
    </row>
    <row r="2647" spans="1:20" s="1632" customFormat="1" x14ac:dyDescent="0.25">
      <c r="A2647" s="818" t="s">
        <v>1374</v>
      </c>
      <c r="B2647" s="1241" t="str">
        <f>IFERROR(_xlfn.CONCAT("I",('Configurable Tab'!$C$32+1)),"")</f>
        <v>I325</v>
      </c>
      <c r="C2647" s="1241" t="str">
        <f>IFERROR(_xlfn.CONCAT("I",('Configurable Tab'!$C$32+2)),"")</f>
        <v>I326</v>
      </c>
      <c r="D2647" s="801" t="s">
        <v>1343</v>
      </c>
      <c r="E2647" s="801" t="s">
        <v>1734</v>
      </c>
      <c r="F2647" s="1634"/>
      <c r="G2647" s="1634"/>
      <c r="H2647" s="1634"/>
      <c r="I2647" s="1241" t="str">
        <f t="shared" si="361"/>
        <v/>
      </c>
      <c r="J2647" s="1634" t="str">
        <f t="shared" si="363"/>
        <v/>
      </c>
      <c r="K2647" s="1634" t="str">
        <f t="shared" si="362"/>
        <v/>
      </c>
      <c r="M2647" s="1633"/>
      <c r="R2647" s="1634" t="s">
        <v>2182</v>
      </c>
    </row>
    <row r="2648" spans="1:20" s="1632" customFormat="1" x14ac:dyDescent="0.25">
      <c r="A2648" s="818" t="s">
        <v>1375</v>
      </c>
      <c r="B2648" s="1241" t="str">
        <f>IFERROR(_xlfn.CONCAT("M",('Configurable Tab'!$C$32+1)),"")</f>
        <v>M325</v>
      </c>
      <c r="C2648" s="1241" t="str">
        <f>IFERROR(_xlfn.CONCAT("M",('Configurable Tab'!$C$32+2)),"")</f>
        <v>M326</v>
      </c>
      <c r="D2648" s="801" t="s">
        <v>1343</v>
      </c>
      <c r="E2648" s="801" t="s">
        <v>1734</v>
      </c>
      <c r="F2648" s="1634"/>
      <c r="G2648" s="1634"/>
      <c r="H2648" s="1634"/>
      <c r="I2648" s="1241" t="str">
        <f t="shared" si="361"/>
        <v/>
      </c>
      <c r="J2648" s="1634" t="str">
        <f t="shared" si="363"/>
        <v/>
      </c>
      <c r="K2648" s="1634" t="str">
        <f t="shared" si="362"/>
        <v/>
      </c>
      <c r="M2648" s="1633"/>
      <c r="R2648" s="1634" t="s">
        <v>2182</v>
      </c>
    </row>
    <row r="2649" spans="1:20" s="1632" customFormat="1" x14ac:dyDescent="0.25">
      <c r="A2649" s="818" t="s">
        <v>1378</v>
      </c>
      <c r="B2649" s="1241" t="str">
        <f>IFERROR(_xlfn.CONCAT("D",('Configurable Tab'!$C$32+4)),"")</f>
        <v>D328</v>
      </c>
      <c r="C2649" s="1241" t="str">
        <f>IFERROR(_xlfn.CONCAT("E",('Configurable Tab'!$C$32+4)),"")</f>
        <v>E328</v>
      </c>
      <c r="D2649" s="801" t="s">
        <v>1343</v>
      </c>
      <c r="E2649" s="801" t="s">
        <v>1734</v>
      </c>
      <c r="F2649" s="1634"/>
      <c r="G2649" s="1634"/>
      <c r="H2649" s="1634"/>
      <c r="I2649" s="1241" t="str">
        <f t="shared" si="361"/>
        <v/>
      </c>
      <c r="J2649" s="1634" t="str">
        <f t="shared" si="363"/>
        <v/>
      </c>
      <c r="K2649" s="1634" t="str">
        <f t="shared" si="362"/>
        <v/>
      </c>
      <c r="M2649" s="1633"/>
      <c r="R2649" s="1634" t="s">
        <v>2182</v>
      </c>
    </row>
    <row r="2650" spans="1:20" s="1632" customFormat="1" x14ac:dyDescent="0.25">
      <c r="A2650" s="818" t="s">
        <v>1379</v>
      </c>
      <c r="B2650" s="1241" t="str">
        <f>IFERROR(_xlfn.CONCAT("D",('Configurable Tab'!$C$32+5)),"")</f>
        <v>D329</v>
      </c>
      <c r="C2650" s="1241" t="str">
        <f>IFERROR(_xlfn.CONCAT("E",('Configurable Tab'!$C$32+5)),"")</f>
        <v>E329</v>
      </c>
      <c r="D2650" s="801" t="s">
        <v>1343</v>
      </c>
      <c r="E2650" s="801" t="s">
        <v>1734</v>
      </c>
      <c r="F2650" s="1634"/>
      <c r="G2650" s="1634"/>
      <c r="H2650" s="1634"/>
      <c r="I2650" s="1241" t="str">
        <f t="shared" si="361"/>
        <v/>
      </c>
      <c r="J2650" s="1634" t="str">
        <f t="shared" si="363"/>
        <v/>
      </c>
      <c r="K2650" s="1634" t="str">
        <f t="shared" si="362"/>
        <v/>
      </c>
      <c r="M2650" s="1633"/>
      <c r="R2650" s="1634" t="s">
        <v>2182</v>
      </c>
    </row>
    <row r="2651" spans="1:20" s="1632" customFormat="1" x14ac:dyDescent="0.25">
      <c r="A2651" s="818" t="s">
        <v>1389</v>
      </c>
      <c r="B2651" s="1241" t="str">
        <f>IFERROR(_xlfn.CONCAT("G",('Configurable Tab'!$C$32+4)),"")</f>
        <v>G328</v>
      </c>
      <c r="C2651" s="1241" t="str">
        <f>IFERROR(_xlfn.CONCAT("G",('Configurable Tab'!$C$32+5)),"")</f>
        <v>G329</v>
      </c>
      <c r="D2651" s="801" t="s">
        <v>1343</v>
      </c>
      <c r="E2651" s="801" t="s">
        <v>1734</v>
      </c>
      <c r="F2651" s="1634"/>
      <c r="G2651" s="1634"/>
      <c r="H2651" s="1634"/>
      <c r="I2651" s="1241" t="str">
        <f t="shared" si="361"/>
        <v/>
      </c>
      <c r="J2651" s="1634" t="str">
        <f t="shared" si="363"/>
        <v/>
      </c>
      <c r="K2651" s="1634" t="str">
        <f t="shared" si="362"/>
        <v/>
      </c>
      <c r="M2651" s="1633"/>
      <c r="R2651" s="1634" t="s">
        <v>2182</v>
      </c>
    </row>
    <row r="2652" spans="1:20" s="1632" customFormat="1" x14ac:dyDescent="0.25">
      <c r="A2652" s="818" t="s">
        <v>1996</v>
      </c>
      <c r="B2652" s="1241" t="str">
        <f>IFERROR(_xlfn.CONCAT("G",('Configurable Tab'!$C$32+7)),"")</f>
        <v>G331</v>
      </c>
      <c r="C2652" s="1241" t="str">
        <f>IFERROR(_xlfn.CONCAT("G",('Configurable Tab'!$C$32+8)),"")</f>
        <v>G332</v>
      </c>
      <c r="D2652" s="801" t="s">
        <v>1343</v>
      </c>
      <c r="E2652" s="801" t="s">
        <v>1734</v>
      </c>
      <c r="F2652" s="1634"/>
      <c r="G2652" s="1634"/>
      <c r="H2652" s="1634"/>
      <c r="I2652" s="1241" t="str">
        <f t="shared" si="361"/>
        <v/>
      </c>
      <c r="J2652" s="1634" t="str">
        <f t="shared" si="363"/>
        <v/>
      </c>
      <c r="K2652" s="1634" t="str">
        <f t="shared" si="362"/>
        <v/>
      </c>
      <c r="M2652" s="1633"/>
      <c r="R2652" s="1634" t="s">
        <v>2182</v>
      </c>
    </row>
    <row r="2653" spans="1:20" s="1632" customFormat="1" x14ac:dyDescent="0.25">
      <c r="A2653" s="818" t="s">
        <v>1474</v>
      </c>
      <c r="B2653" s="1241" t="str">
        <f>IFERROR(_xlfn.CONCAT("K",('Configurable Tab'!$C$32+7)),"")</f>
        <v>K331</v>
      </c>
      <c r="C2653" s="1241" t="str">
        <f>IFERROR(_xlfn.CONCAT("K",('Configurable Tab'!$C$32+8)),"")</f>
        <v>K332</v>
      </c>
      <c r="D2653" s="801" t="s">
        <v>1343</v>
      </c>
      <c r="E2653" s="801" t="s">
        <v>1734</v>
      </c>
      <c r="F2653" s="1634"/>
      <c r="G2653" s="1634"/>
      <c r="H2653" s="1634"/>
      <c r="I2653" s="1241" t="str">
        <f t="shared" si="361"/>
        <v/>
      </c>
      <c r="J2653" s="1634" t="str">
        <f t="shared" si="363"/>
        <v/>
      </c>
      <c r="K2653" s="1634" t="str">
        <f t="shared" si="362"/>
        <v/>
      </c>
      <c r="M2653" s="1633"/>
      <c r="R2653" s="1634" t="s">
        <v>2182</v>
      </c>
    </row>
    <row r="2654" spans="1:20" s="1632" customFormat="1" x14ac:dyDescent="0.25">
      <c r="A2654" s="818" t="s">
        <v>1390</v>
      </c>
      <c r="B2654" s="1241" t="str">
        <f>IFERROR(_xlfn.CONCAT("K",('Configurable Tab'!$C$32+1)),"")</f>
        <v>K325</v>
      </c>
      <c r="C2654" s="1241" t="str">
        <f>IFERROR(_xlfn.CONCAT("K",('Configurable Tab'!$C$32+2)),"")</f>
        <v>K326</v>
      </c>
      <c r="D2654" s="801" t="s">
        <v>1343</v>
      </c>
      <c r="E2654" s="801" t="s">
        <v>1734</v>
      </c>
      <c r="F2654" s="1634"/>
      <c r="G2654" s="1634"/>
      <c r="H2654" s="1634"/>
      <c r="I2654" s="1241" t="str">
        <f t="shared" si="361"/>
        <v/>
      </c>
      <c r="J2654" s="1634" t="str">
        <f t="shared" si="363"/>
        <v/>
      </c>
      <c r="K2654" s="1634" t="str">
        <f t="shared" si="362"/>
        <v/>
      </c>
      <c r="M2654" s="1633"/>
      <c r="R2654" s="1634" t="s">
        <v>2182</v>
      </c>
    </row>
    <row r="2655" spans="1:20" s="1632"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4" t="s">
        <v>1488</v>
      </c>
      <c r="G2655" s="1634" t="str">
        <f>IF(T2655&lt;&gt;"","AS","")</f>
        <v/>
      </c>
      <c r="H2655" s="1634" t="s">
        <v>1982</v>
      </c>
      <c r="I2655" s="1241" t="str">
        <f t="shared" si="361"/>
        <v/>
      </c>
      <c r="J2655" s="1634"/>
      <c r="K2655" s="1634" t="str">
        <f t="shared" si="362"/>
        <v/>
      </c>
      <c r="L2655" s="801"/>
      <c r="M2655" s="1635"/>
      <c r="N2655" s="1634"/>
      <c r="R2655" s="1634" t="s">
        <v>2182</v>
      </c>
      <c r="T2655" s="1634" t="str">
        <f>IF(Q$2635="Yes",45,"")</f>
        <v/>
      </c>
    </row>
    <row r="2656" spans="1:20" s="1632"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4" t="s">
        <v>1487</v>
      </c>
      <c r="G2656" s="1634" t="str">
        <f>IF(T2656&lt;&gt;"","AN","")</f>
        <v/>
      </c>
      <c r="H2656" s="1634" t="s">
        <v>1982</v>
      </c>
      <c r="I2656" s="1241"/>
      <c r="J2656" s="1634"/>
      <c r="K2656" s="1634"/>
      <c r="L2656" s="801"/>
      <c r="M2656" s="1635"/>
      <c r="N2656" s="1634"/>
      <c r="O2656" s="1526"/>
      <c r="P2656" s="595"/>
      <c r="Q2656" s="595"/>
      <c r="R2656" s="1634" t="s">
        <v>2182</v>
      </c>
      <c r="T2656" s="1634" t="str">
        <f t="shared" ref="T2656:T2663" si="364">IF(Q$2635="Yes",45,"")</f>
        <v/>
      </c>
    </row>
    <row r="2657" spans="1:20" s="1632"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4" t="s">
        <v>1484</v>
      </c>
      <c r="G2657" s="1634" t="str">
        <f>IF(T2657&lt;&gt;"","AL","")</f>
        <v/>
      </c>
      <c r="H2657" s="1634" t="s">
        <v>1982</v>
      </c>
      <c r="I2657" s="1241"/>
      <c r="J2657" s="1634"/>
      <c r="K2657" s="1634"/>
      <c r="L2657" s="801"/>
      <c r="M2657" s="1635"/>
      <c r="N2657" s="1634"/>
      <c r="O2657" s="595"/>
      <c r="P2657" s="595"/>
      <c r="Q2657" s="595"/>
      <c r="R2657" s="1634" t="s">
        <v>2182</v>
      </c>
      <c r="T2657" s="1634" t="str">
        <f t="shared" si="364"/>
        <v/>
      </c>
    </row>
    <row r="2658" spans="1:20" s="1632"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4" t="s">
        <v>1983</v>
      </c>
      <c r="G2658" s="1634" t="str">
        <f>IF(T2658&lt;&gt;"","E","")</f>
        <v/>
      </c>
      <c r="H2658" s="1634" t="s">
        <v>1982</v>
      </c>
      <c r="I2658" s="1241"/>
      <c r="J2658" s="1634"/>
      <c r="K2658" s="1634"/>
      <c r="L2658" s="801"/>
      <c r="M2658" s="1635"/>
      <c r="N2658" s="1634"/>
      <c r="O2658" s="595"/>
      <c r="P2658" s="595"/>
      <c r="Q2658" s="595"/>
      <c r="R2658" s="1634" t="s">
        <v>2182</v>
      </c>
      <c r="T2658" s="1634" t="str">
        <f t="shared" si="364"/>
        <v/>
      </c>
    </row>
    <row r="2659" spans="1:20" s="1632"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4" t="s">
        <v>1987</v>
      </c>
      <c r="G2659" s="1634" t="str">
        <f>IF(T2659&lt;&gt;"","G","")</f>
        <v/>
      </c>
      <c r="H2659" s="1634" t="s">
        <v>1982</v>
      </c>
      <c r="I2659" s="1241"/>
      <c r="J2659" s="1634"/>
      <c r="K2659" s="1634"/>
      <c r="L2659" s="801"/>
      <c r="M2659" s="1635"/>
      <c r="N2659" s="1634"/>
      <c r="O2659" s="595"/>
      <c r="P2659" s="595"/>
      <c r="Q2659" s="595"/>
      <c r="R2659" s="1634" t="s">
        <v>2182</v>
      </c>
      <c r="T2659" s="1634" t="str">
        <f t="shared" si="364"/>
        <v/>
      </c>
    </row>
    <row r="2660" spans="1:20" s="1632"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4" t="str">
        <f>IF(T2660&lt;&gt;"","AW","")</f>
        <v/>
      </c>
      <c r="H2660" s="1634" t="s">
        <v>1982</v>
      </c>
      <c r="I2660" s="1241"/>
      <c r="J2660" s="1634"/>
      <c r="K2660" s="1634"/>
      <c r="L2660" s="801"/>
      <c r="M2660" s="1635"/>
      <c r="N2660" s="1634"/>
      <c r="O2660" s="595"/>
      <c r="P2660" s="595"/>
      <c r="Q2660" s="595"/>
      <c r="R2660" s="1634" t="s">
        <v>2182</v>
      </c>
      <c r="T2660" s="1634" t="str">
        <f t="shared" si="364"/>
        <v/>
      </c>
    </row>
    <row r="2661" spans="1:20" s="1632"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4" t="s">
        <v>1991</v>
      </c>
      <c r="G2661" s="1634" t="str">
        <f>IF(T2661&lt;&gt;"","AB","")</f>
        <v/>
      </c>
      <c r="H2661" s="1634" t="s">
        <v>1982</v>
      </c>
      <c r="I2661" s="1241"/>
      <c r="J2661" s="1634"/>
      <c r="K2661" s="1634"/>
      <c r="L2661" s="801"/>
      <c r="M2661" s="1635"/>
      <c r="N2661" s="1634"/>
      <c r="O2661" s="595"/>
      <c r="P2661" s="595"/>
      <c r="Q2661" s="595"/>
      <c r="R2661" s="1634" t="s">
        <v>2182</v>
      </c>
      <c r="T2661" s="1634" t="str">
        <f t="shared" si="364"/>
        <v/>
      </c>
    </row>
    <row r="2662" spans="1:20" s="1632"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4" t="s">
        <v>1596</v>
      </c>
      <c r="G2662" s="1634" t="str">
        <f>IF(T2662&lt;&gt;"","AP","")</f>
        <v/>
      </c>
      <c r="H2662" s="1634" t="s">
        <v>1982</v>
      </c>
      <c r="I2662" s="1241"/>
      <c r="J2662" s="1634"/>
      <c r="K2662" s="1634"/>
      <c r="L2662" s="801"/>
      <c r="M2662" s="1635"/>
      <c r="N2662" s="1634"/>
      <c r="O2662" s="595"/>
      <c r="P2662" s="595"/>
      <c r="Q2662" s="595"/>
      <c r="R2662" s="1634" t="s">
        <v>2182</v>
      </c>
      <c r="T2662" s="1634" t="str">
        <f t="shared" si="364"/>
        <v/>
      </c>
    </row>
    <row r="2663" spans="1:20" s="1632"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4" t="s">
        <v>2126</v>
      </c>
      <c r="G2663" s="1634" t="str">
        <f>IF(T2663&lt;&gt;"","AZ","")</f>
        <v/>
      </c>
      <c r="H2663" s="1634" t="s">
        <v>1982</v>
      </c>
      <c r="I2663" s="1241"/>
      <c r="J2663" s="1634"/>
      <c r="K2663" s="1634"/>
      <c r="L2663" s="801" t="s">
        <v>2126</v>
      </c>
      <c r="M2663" s="1635">
        <v>1628</v>
      </c>
      <c r="N2663" s="1634"/>
      <c r="O2663" s="595"/>
      <c r="P2663" s="595"/>
      <c r="Q2663" s="595"/>
      <c r="R2663" s="1634" t="s">
        <v>2182</v>
      </c>
      <c r="T2663" s="1634" t="str">
        <f t="shared" si="364"/>
        <v/>
      </c>
    </row>
    <row r="2664" spans="1:20" s="1632" customFormat="1" x14ac:dyDescent="0.25">
      <c r="A2664" s="1636"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4" t="str">
        <f>IF(T2664&lt;&gt;"","A","")</f>
        <v/>
      </c>
      <c r="H2664" s="1634" t="s">
        <v>1982</v>
      </c>
      <c r="I2664" s="801"/>
      <c r="J2664" s="801"/>
      <c r="K2664" s="801"/>
      <c r="L2664" s="801" t="s">
        <v>1483</v>
      </c>
      <c r="M2664" s="1298">
        <v>1629</v>
      </c>
      <c r="N2664" s="801"/>
      <c r="O2664" s="1632" t="s">
        <v>725</v>
      </c>
      <c r="R2664" s="1634" t="s">
        <v>2184</v>
      </c>
      <c r="T2664" s="1634" t="str">
        <f>IF(Q$2665="Yes",46,"")</f>
        <v/>
      </c>
    </row>
    <row r="2665" spans="1:20" s="1632" customFormat="1" x14ac:dyDescent="0.25">
      <c r="A2665" s="1636"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4"/>
      <c r="H2665" s="1634"/>
      <c r="I2665" s="801"/>
      <c r="J2665" s="801"/>
      <c r="K2665" s="801"/>
      <c r="L2665" s="801" t="s">
        <v>1697</v>
      </c>
      <c r="M2665" s="1298">
        <v>1630</v>
      </c>
      <c r="N2665" s="801"/>
      <c r="O2665" s="1632">
        <f>'Configurable Tab'!H48</f>
        <v>643</v>
      </c>
      <c r="P2665" s="18" t="str">
        <f>'Configurable Tab'!J48</f>
        <v>No</v>
      </c>
      <c r="Q2665" s="1632" t="s">
        <v>648</v>
      </c>
      <c r="R2665" s="1634" t="s">
        <v>2184</v>
      </c>
      <c r="T2665" s="1634" t="str">
        <f t="shared" ref="T2665:T2674" si="365">IF(Q$2665="Yes",46,"")</f>
        <v/>
      </c>
    </row>
    <row r="2666" spans="1:20" s="1632" customFormat="1" x14ac:dyDescent="0.25">
      <c r="A2666" s="1636"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4" t="str">
        <f>IF(T2666&lt;&gt;"","B","")</f>
        <v/>
      </c>
      <c r="H2666" s="1634" t="s">
        <v>1982</v>
      </c>
      <c r="I2666" s="801"/>
      <c r="J2666" s="801"/>
      <c r="K2666" s="801"/>
      <c r="L2666" s="801" t="s">
        <v>1376</v>
      </c>
      <c r="M2666" s="1298">
        <v>1631</v>
      </c>
      <c r="N2666" s="801"/>
      <c r="O2666" s="1632" t="s">
        <v>726</v>
      </c>
      <c r="R2666" s="1634" t="s">
        <v>2184</v>
      </c>
      <c r="T2666" s="1634" t="str">
        <f t="shared" si="365"/>
        <v/>
      </c>
    </row>
    <row r="2667" spans="1:20" s="1632" customFormat="1" x14ac:dyDescent="0.25">
      <c r="A2667" s="1636"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4" t="str">
        <f>IF(T2667&lt;&gt;"","I","")</f>
        <v/>
      </c>
      <c r="H2667" s="1634" t="s">
        <v>1982</v>
      </c>
      <c r="I2667" s="801"/>
      <c r="J2667" s="801"/>
      <c r="K2667" s="801"/>
      <c r="L2667" s="801" t="s">
        <v>1374</v>
      </c>
      <c r="M2667" s="1298">
        <v>1632</v>
      </c>
      <c r="N2667" s="801"/>
      <c r="O2667" s="1632">
        <f>'Configurable Tab'!I48</f>
        <v>656</v>
      </c>
      <c r="R2667" s="1634" t="s">
        <v>2184</v>
      </c>
      <c r="T2667" s="1634" t="str">
        <f t="shared" si="365"/>
        <v/>
      </c>
    </row>
    <row r="2668" spans="1:20" s="1632" customFormat="1" x14ac:dyDescent="0.25">
      <c r="A2668" s="1636"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4" t="str">
        <f>IF(T2668&lt;&gt;"",IF(Q2667="Credit Memo","J",IF(Q2667="Check","K","")),"")</f>
        <v/>
      </c>
      <c r="H2668" s="1634" t="s">
        <v>1982</v>
      </c>
      <c r="I2668" s="801"/>
      <c r="J2668" s="801"/>
      <c r="K2668" s="801"/>
      <c r="L2668" s="801" t="s">
        <v>1375</v>
      </c>
      <c r="M2668" s="1298">
        <v>1633</v>
      </c>
      <c r="N2668" s="801"/>
      <c r="O2668" s="1632" t="s">
        <v>2194</v>
      </c>
      <c r="R2668" s="1634" t="s">
        <v>2184</v>
      </c>
      <c r="T2668" s="1634" t="str">
        <f t="shared" si="365"/>
        <v/>
      </c>
    </row>
    <row r="2669" spans="1:20" s="1632" customFormat="1" x14ac:dyDescent="0.25">
      <c r="A2669" s="1636"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4" t="str">
        <f>IF(T2669&lt;&gt;"","C","")</f>
        <v/>
      </c>
      <c r="H2669" s="1634" t="s">
        <v>1982</v>
      </c>
      <c r="I2669" s="801"/>
      <c r="J2669" s="801"/>
      <c r="K2669" s="801"/>
      <c r="L2669" s="801" t="s">
        <v>1378</v>
      </c>
      <c r="M2669" s="1298">
        <v>1634</v>
      </c>
      <c r="N2669" s="801"/>
      <c r="R2669" s="1634" t="s">
        <v>2184</v>
      </c>
      <c r="T2669" s="1634" t="str">
        <f t="shared" si="365"/>
        <v/>
      </c>
    </row>
    <row r="2670" spans="1:20" s="1632" customFormat="1" x14ac:dyDescent="0.25">
      <c r="A2670" s="1636"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4" t="str">
        <f>IF(T2670&lt;&gt;"","D","")</f>
        <v/>
      </c>
      <c r="H2670" s="1634" t="s">
        <v>1982</v>
      </c>
      <c r="I2670" s="801"/>
      <c r="J2670" s="801"/>
      <c r="K2670" s="801"/>
      <c r="L2670" s="801" t="s">
        <v>1379</v>
      </c>
      <c r="M2670" s="1298">
        <v>1635</v>
      </c>
      <c r="N2670" s="801"/>
      <c r="R2670" s="1634" t="s">
        <v>2184</v>
      </c>
      <c r="T2670" s="1634" t="str">
        <f t="shared" si="365"/>
        <v/>
      </c>
    </row>
    <row r="2671" spans="1:20" s="1632" customFormat="1" x14ac:dyDescent="0.25">
      <c r="A2671" s="1636"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4" t="s">
        <v>1389</v>
      </c>
      <c r="G2671" s="1634" t="str">
        <f>IF(T2671&lt;&gt;"","S","")</f>
        <v/>
      </c>
      <c r="H2671" s="1634" t="s">
        <v>1982</v>
      </c>
      <c r="I2671" s="801"/>
      <c r="J2671" s="801"/>
      <c r="K2671" s="801"/>
      <c r="L2671" s="801" t="s">
        <v>1389</v>
      </c>
      <c r="M2671" s="1298">
        <v>1636</v>
      </c>
      <c r="N2671" s="801"/>
      <c r="R2671" s="1634" t="s">
        <v>2184</v>
      </c>
      <c r="T2671" s="1634" t="str">
        <f t="shared" si="365"/>
        <v/>
      </c>
    </row>
    <row r="2672" spans="1:20" s="1632" customFormat="1" x14ac:dyDescent="0.25">
      <c r="A2672" s="1636"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4" t="str">
        <f>IF(T2672&lt;&gt;"","AQ","")</f>
        <v/>
      </c>
      <c r="H2672" s="1634" t="s">
        <v>1982</v>
      </c>
      <c r="I2672" s="801"/>
      <c r="J2672" s="801"/>
      <c r="K2672" s="801"/>
      <c r="L2672" s="801" t="s">
        <v>1996</v>
      </c>
      <c r="M2672" s="1298">
        <v>1637</v>
      </c>
      <c r="N2672" s="801"/>
      <c r="R2672" s="1634" t="s">
        <v>2184</v>
      </c>
      <c r="T2672" s="1634" t="str">
        <f t="shared" si="365"/>
        <v/>
      </c>
    </row>
    <row r="2673" spans="1:20" s="1632" customFormat="1" x14ac:dyDescent="0.25">
      <c r="A2673" s="1636"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4" t="str">
        <f>IF(T2673&lt;&gt;"","AA","")</f>
        <v/>
      </c>
      <c r="H2673" s="1634" t="s">
        <v>1982</v>
      </c>
      <c r="I2673" s="801"/>
      <c r="J2673" s="801"/>
      <c r="K2673" s="801"/>
      <c r="L2673" s="801" t="s">
        <v>1997</v>
      </c>
      <c r="M2673" s="1298">
        <v>1638</v>
      </c>
      <c r="N2673" s="801"/>
      <c r="R2673" s="1634" t="s">
        <v>2184</v>
      </c>
      <c r="T2673" s="1634" t="str">
        <f t="shared" si="365"/>
        <v/>
      </c>
    </row>
    <row r="2674" spans="1:20" s="1632" customFormat="1" x14ac:dyDescent="0.25">
      <c r="A2674" s="1636"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4" t="str">
        <f>IF(T2674&lt;&gt;"","H","")</f>
        <v/>
      </c>
      <c r="H2674" s="1634" t="s">
        <v>1982</v>
      </c>
      <c r="I2674" s="801"/>
      <c r="J2674" s="801"/>
      <c r="K2674" s="801"/>
      <c r="L2674" s="801" t="s">
        <v>1390</v>
      </c>
      <c r="M2674" s="1298">
        <v>1639</v>
      </c>
      <c r="N2674" s="801"/>
      <c r="R2674" s="1634" t="s">
        <v>2184</v>
      </c>
      <c r="T2674" s="1634" t="str">
        <f t="shared" si="365"/>
        <v/>
      </c>
    </row>
    <row r="2675" spans="1:20" s="1632" customFormat="1" x14ac:dyDescent="0.25">
      <c r="A2675" s="1636" t="s">
        <v>1697</v>
      </c>
      <c r="B2675" s="1241" t="str">
        <f>IFERROR(_xlfn.CONCAT("D",('Configurable Tab'!$C$33+1)),"")</f>
        <v>D336</v>
      </c>
      <c r="C2675" s="1241" t="str">
        <f>IFERROR(_xlfn.CONCAT("E",('Configurable Tab'!$C$33+1)),"")</f>
        <v>E336</v>
      </c>
      <c r="D2675" s="801" t="s">
        <v>1343</v>
      </c>
      <c r="E2675" s="801" t="s">
        <v>1734</v>
      </c>
      <c r="F2675" s="1634"/>
      <c r="G2675" s="1634"/>
      <c r="H2675" s="1634"/>
      <c r="I2675" s="1241" t="str">
        <f t="shared" ref="I2675:I2685" si="366">IF(J2675&lt;&gt;"",A2675,"")</f>
        <v/>
      </c>
      <c r="J2675" s="1634" t="str">
        <f t="shared" ref="J2675:J2684" si="367">IFERROR(IF($Q$2665="Yes",Q$1&amp;M2665,""),"")</f>
        <v/>
      </c>
      <c r="K2675" s="1634" t="str">
        <f t="shared" ref="K2675:K2685" si="368">IF(J2675&lt;&gt;"",E2675,"")</f>
        <v/>
      </c>
      <c r="M2675" s="1633"/>
      <c r="Q2675" s="1241" t="str">
        <f>IFERROR(_xlfn.CONCAT("C",('Configurable Tab'!$C33+1)),"")</f>
        <v>C336</v>
      </c>
      <c r="R2675" s="1634" t="s">
        <v>2184</v>
      </c>
    </row>
    <row r="2676" spans="1:20" s="1632" customFormat="1" x14ac:dyDescent="0.25">
      <c r="A2676" s="1636" t="s">
        <v>1376</v>
      </c>
      <c r="B2676" s="1241" t="str">
        <f>IFERROR(_xlfn.CONCAT("D",('Configurable Tab'!$C$33+2)),"")</f>
        <v>D337</v>
      </c>
      <c r="C2676" s="1241" t="str">
        <f>IFERROR(_xlfn.CONCAT("E",('Configurable Tab'!$C$33+2)),"")</f>
        <v>E337</v>
      </c>
      <c r="D2676" s="801" t="s">
        <v>1343</v>
      </c>
      <c r="E2676" s="801" t="s">
        <v>1734</v>
      </c>
      <c r="F2676" s="1634"/>
      <c r="G2676" s="1634"/>
      <c r="H2676" s="1634"/>
      <c r="I2676" s="1241" t="str">
        <f t="shared" si="366"/>
        <v/>
      </c>
      <c r="J2676" s="1634" t="str">
        <f t="shared" si="367"/>
        <v/>
      </c>
      <c r="K2676" s="1634" t="str">
        <f t="shared" si="368"/>
        <v/>
      </c>
      <c r="M2676" s="1633"/>
      <c r="R2676" s="1634" t="s">
        <v>2184</v>
      </c>
    </row>
    <row r="2677" spans="1:20" s="1632" customFormat="1" x14ac:dyDescent="0.25">
      <c r="A2677" s="1636" t="s">
        <v>1374</v>
      </c>
      <c r="B2677" s="1241" t="str">
        <f>IFERROR(_xlfn.CONCAT("I",('Configurable Tab'!$C$33+1)),"")</f>
        <v>I336</v>
      </c>
      <c r="C2677" s="1241" t="str">
        <f>IFERROR(_xlfn.CONCAT("I",('Configurable Tab'!$C$33+2)),"")</f>
        <v>I337</v>
      </c>
      <c r="D2677" s="801" t="s">
        <v>1343</v>
      </c>
      <c r="E2677" s="801" t="s">
        <v>1734</v>
      </c>
      <c r="F2677" s="1634"/>
      <c r="G2677" s="1634"/>
      <c r="H2677" s="1634"/>
      <c r="I2677" s="1241" t="str">
        <f t="shared" si="366"/>
        <v/>
      </c>
      <c r="J2677" s="1634" t="str">
        <f t="shared" si="367"/>
        <v/>
      </c>
      <c r="K2677" s="1634" t="str">
        <f t="shared" si="368"/>
        <v/>
      </c>
      <c r="M2677" s="1633"/>
      <c r="R2677" s="1634" t="s">
        <v>2184</v>
      </c>
    </row>
    <row r="2678" spans="1:20" s="1632" customFormat="1" x14ac:dyDescent="0.25">
      <c r="A2678" s="1636" t="s">
        <v>1375</v>
      </c>
      <c r="B2678" s="1241" t="str">
        <f>IFERROR(_xlfn.CONCAT("M",('Configurable Tab'!$C$33+1)),"")</f>
        <v>M336</v>
      </c>
      <c r="C2678" s="1241" t="str">
        <f>IFERROR(_xlfn.CONCAT("M",('Configurable Tab'!$C$33+2)),"")</f>
        <v>M337</v>
      </c>
      <c r="D2678" s="801" t="s">
        <v>1343</v>
      </c>
      <c r="E2678" s="801" t="s">
        <v>1734</v>
      </c>
      <c r="F2678" s="1634"/>
      <c r="G2678" s="1634"/>
      <c r="H2678" s="1634"/>
      <c r="I2678" s="1241" t="str">
        <f t="shared" si="366"/>
        <v/>
      </c>
      <c r="J2678" s="1634" t="str">
        <f t="shared" si="367"/>
        <v/>
      </c>
      <c r="K2678" s="1634" t="str">
        <f t="shared" si="368"/>
        <v/>
      </c>
      <c r="M2678" s="1633"/>
      <c r="R2678" s="1634" t="s">
        <v>2184</v>
      </c>
    </row>
    <row r="2679" spans="1:20" s="1632" customFormat="1" x14ac:dyDescent="0.25">
      <c r="A2679" s="1636" t="s">
        <v>1378</v>
      </c>
      <c r="B2679" s="1241" t="str">
        <f>IFERROR(_xlfn.CONCAT("D",('Configurable Tab'!$C$33+4)),"")</f>
        <v>D339</v>
      </c>
      <c r="C2679" s="1241" t="str">
        <f>IFERROR(_xlfn.CONCAT("E",('Configurable Tab'!$C$33+4)),"")</f>
        <v>E339</v>
      </c>
      <c r="D2679" s="801" t="s">
        <v>1343</v>
      </c>
      <c r="E2679" s="801" t="s">
        <v>1734</v>
      </c>
      <c r="F2679" s="1634"/>
      <c r="G2679" s="1634"/>
      <c r="H2679" s="1634"/>
      <c r="I2679" s="1241" t="str">
        <f t="shared" si="366"/>
        <v/>
      </c>
      <c r="J2679" s="1634" t="str">
        <f t="shared" si="367"/>
        <v/>
      </c>
      <c r="K2679" s="1634" t="str">
        <f t="shared" si="368"/>
        <v/>
      </c>
      <c r="M2679" s="1633"/>
      <c r="R2679" s="1634" t="s">
        <v>2184</v>
      </c>
    </row>
    <row r="2680" spans="1:20" s="1632" customFormat="1" x14ac:dyDescent="0.25">
      <c r="A2680" s="1636" t="s">
        <v>1379</v>
      </c>
      <c r="B2680" s="1241" t="str">
        <f>IFERROR(_xlfn.CONCAT("D",('Configurable Tab'!$C$33+5)),"")</f>
        <v>D340</v>
      </c>
      <c r="C2680" s="1241" t="str">
        <f>IFERROR(_xlfn.CONCAT("E",('Configurable Tab'!$C$33+5)),"")</f>
        <v>E340</v>
      </c>
      <c r="D2680" s="801" t="s">
        <v>1343</v>
      </c>
      <c r="E2680" s="801" t="s">
        <v>1734</v>
      </c>
      <c r="F2680" s="1634"/>
      <c r="G2680" s="1634"/>
      <c r="H2680" s="1634"/>
      <c r="I2680" s="1241" t="str">
        <f t="shared" si="366"/>
        <v/>
      </c>
      <c r="J2680" s="1634" t="str">
        <f t="shared" si="367"/>
        <v/>
      </c>
      <c r="K2680" s="1634" t="str">
        <f t="shared" si="368"/>
        <v/>
      </c>
      <c r="M2680" s="1633"/>
      <c r="R2680" s="1634" t="s">
        <v>2184</v>
      </c>
    </row>
    <row r="2681" spans="1:20" s="1632" customFormat="1" x14ac:dyDescent="0.25">
      <c r="A2681" s="1636" t="s">
        <v>1389</v>
      </c>
      <c r="B2681" s="1241" t="str">
        <f>IFERROR(_xlfn.CONCAT("G",('Configurable Tab'!$C$33+4)),"")</f>
        <v>G339</v>
      </c>
      <c r="C2681" s="1241" t="str">
        <f>IFERROR(_xlfn.CONCAT("G",('Configurable Tab'!$C$33+5)),"")</f>
        <v>G340</v>
      </c>
      <c r="D2681" s="801" t="s">
        <v>1343</v>
      </c>
      <c r="E2681" s="801" t="s">
        <v>1734</v>
      </c>
      <c r="F2681" s="1634"/>
      <c r="G2681" s="1634"/>
      <c r="H2681" s="1634"/>
      <c r="I2681" s="1241" t="str">
        <f t="shared" si="366"/>
        <v/>
      </c>
      <c r="J2681" s="1634" t="str">
        <f t="shared" si="367"/>
        <v/>
      </c>
      <c r="K2681" s="1634" t="str">
        <f t="shared" si="368"/>
        <v/>
      </c>
      <c r="M2681" s="1633"/>
      <c r="R2681" s="1634" t="s">
        <v>2184</v>
      </c>
    </row>
    <row r="2682" spans="1:20" s="1632" customFormat="1" x14ac:dyDescent="0.25">
      <c r="A2682" s="1636" t="s">
        <v>1996</v>
      </c>
      <c r="B2682" s="1241" t="str">
        <f>IFERROR(_xlfn.CONCAT("G",('Configurable Tab'!$C$33+7)),"")</f>
        <v>G342</v>
      </c>
      <c r="C2682" s="1241" t="str">
        <f>IFERROR(_xlfn.CONCAT("G",('Configurable Tab'!$C$33+8)),"")</f>
        <v>G343</v>
      </c>
      <c r="D2682" s="801" t="s">
        <v>1343</v>
      </c>
      <c r="E2682" s="801" t="s">
        <v>1734</v>
      </c>
      <c r="F2682" s="1634"/>
      <c r="G2682" s="1634"/>
      <c r="H2682" s="1634"/>
      <c r="I2682" s="1241" t="str">
        <f t="shared" si="366"/>
        <v/>
      </c>
      <c r="J2682" s="1634" t="str">
        <f t="shared" si="367"/>
        <v/>
      </c>
      <c r="K2682" s="1634" t="str">
        <f t="shared" si="368"/>
        <v/>
      </c>
      <c r="M2682" s="1633"/>
      <c r="R2682" s="1634" t="s">
        <v>2184</v>
      </c>
    </row>
    <row r="2683" spans="1:20" s="1632" customFormat="1" x14ac:dyDescent="0.25">
      <c r="A2683" s="1636" t="s">
        <v>1474</v>
      </c>
      <c r="B2683" s="1241" t="str">
        <f>IFERROR(_xlfn.CONCAT("K",('Configurable Tab'!$C$33+7)),"")</f>
        <v>K342</v>
      </c>
      <c r="C2683" s="1241" t="str">
        <f>IFERROR(_xlfn.CONCAT("K",('Configurable Tab'!$C$33+8)),"")</f>
        <v>K343</v>
      </c>
      <c r="D2683" s="801" t="s">
        <v>1343</v>
      </c>
      <c r="E2683" s="801" t="s">
        <v>1734</v>
      </c>
      <c r="F2683" s="1634"/>
      <c r="G2683" s="1634"/>
      <c r="H2683" s="1634"/>
      <c r="I2683" s="1241" t="str">
        <f t="shared" si="366"/>
        <v/>
      </c>
      <c r="J2683" s="1634" t="str">
        <f t="shared" si="367"/>
        <v/>
      </c>
      <c r="K2683" s="1634" t="str">
        <f t="shared" si="368"/>
        <v/>
      </c>
      <c r="M2683" s="1633"/>
      <c r="R2683" s="1634" t="s">
        <v>2184</v>
      </c>
    </row>
    <row r="2684" spans="1:20" s="1632" customFormat="1" x14ac:dyDescent="0.25">
      <c r="A2684" s="1636" t="s">
        <v>1390</v>
      </c>
      <c r="B2684" s="1241" t="str">
        <f>IFERROR(_xlfn.CONCAT("K",('Configurable Tab'!$C$33+1)),"")</f>
        <v>K336</v>
      </c>
      <c r="C2684" s="1241" t="str">
        <f>IFERROR(_xlfn.CONCAT("K",('Configurable Tab'!$C$33+2)),"")</f>
        <v>K337</v>
      </c>
      <c r="D2684" s="801" t="s">
        <v>1343</v>
      </c>
      <c r="E2684" s="801" t="s">
        <v>1734</v>
      </c>
      <c r="F2684" s="1634"/>
      <c r="G2684" s="1634"/>
      <c r="H2684" s="1634"/>
      <c r="I2684" s="1241" t="str">
        <f t="shared" si="366"/>
        <v/>
      </c>
      <c r="J2684" s="1634" t="str">
        <f t="shared" si="367"/>
        <v/>
      </c>
      <c r="K2684" s="1634" t="str">
        <f t="shared" si="368"/>
        <v/>
      </c>
      <c r="M2684" s="1633"/>
      <c r="R2684" s="1634" t="s">
        <v>2184</v>
      </c>
    </row>
    <row r="2685" spans="1:20" s="1632" customFormat="1" x14ac:dyDescent="0.25">
      <c r="A2685" s="1636"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4" t="s">
        <v>1488</v>
      </c>
      <c r="G2685" s="1634" t="str">
        <f>IF(T2685&lt;&gt;"","AS","")</f>
        <v/>
      </c>
      <c r="H2685" s="1634" t="s">
        <v>1982</v>
      </c>
      <c r="I2685" s="1241" t="str">
        <f t="shared" si="366"/>
        <v/>
      </c>
      <c r="J2685" s="1634"/>
      <c r="K2685" s="1634" t="str">
        <f t="shared" si="368"/>
        <v/>
      </c>
      <c r="L2685" s="801"/>
      <c r="M2685" s="1635"/>
      <c r="N2685" s="1634"/>
      <c r="R2685" s="1634" t="s">
        <v>2184</v>
      </c>
      <c r="T2685" s="1634" t="str">
        <f>IF(Q$2665="Yes",46,"")</f>
        <v/>
      </c>
    </row>
    <row r="2686" spans="1:20" s="1632" customFormat="1" x14ac:dyDescent="0.25">
      <c r="A2686" s="1637"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4" t="s">
        <v>1487</v>
      </c>
      <c r="G2686" s="1634" t="str">
        <f>IF(T2686&lt;&gt;"","AN","")</f>
        <v/>
      </c>
      <c r="H2686" s="1634" t="s">
        <v>1982</v>
      </c>
      <c r="I2686" s="1241"/>
      <c r="J2686" s="1634"/>
      <c r="K2686" s="1634"/>
      <c r="L2686" s="801"/>
      <c r="M2686" s="1635"/>
      <c r="N2686" s="1634"/>
      <c r="O2686" s="1526"/>
      <c r="P2686" s="595"/>
      <c r="Q2686" s="595"/>
      <c r="R2686" s="1634" t="s">
        <v>2184</v>
      </c>
      <c r="T2686" s="1634" t="str">
        <f t="shared" ref="T2686:T2693" si="369">IF(Q$2665="Yes",46,"")</f>
        <v/>
      </c>
    </row>
    <row r="2687" spans="1:20" s="1632" customFormat="1" x14ac:dyDescent="0.25">
      <c r="A2687" s="1637"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4" t="s">
        <v>1484</v>
      </c>
      <c r="G2687" s="1634" t="str">
        <f>IF(T2687&lt;&gt;"","AL","")</f>
        <v/>
      </c>
      <c r="H2687" s="1634" t="s">
        <v>1982</v>
      </c>
      <c r="I2687" s="1241"/>
      <c r="J2687" s="1634"/>
      <c r="K2687" s="1634"/>
      <c r="L2687" s="801"/>
      <c r="M2687" s="1635"/>
      <c r="N2687" s="1634"/>
      <c r="O2687" s="595"/>
      <c r="P2687" s="595"/>
      <c r="Q2687" s="595"/>
      <c r="R2687" s="1634" t="s">
        <v>2184</v>
      </c>
      <c r="T2687" s="1634" t="str">
        <f t="shared" si="369"/>
        <v/>
      </c>
    </row>
    <row r="2688" spans="1:20" s="1632" customFormat="1" x14ac:dyDescent="0.25">
      <c r="A2688" s="1637"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4" t="s">
        <v>1983</v>
      </c>
      <c r="G2688" s="1634" t="str">
        <f>IF(T2688&lt;&gt;"","E","")</f>
        <v/>
      </c>
      <c r="H2688" s="1634" t="s">
        <v>1982</v>
      </c>
      <c r="I2688" s="1241"/>
      <c r="J2688" s="1634"/>
      <c r="K2688" s="1634"/>
      <c r="L2688" s="801"/>
      <c r="M2688" s="1635"/>
      <c r="N2688" s="1634"/>
      <c r="O2688" s="595"/>
      <c r="P2688" s="595"/>
      <c r="Q2688" s="595"/>
      <c r="R2688" s="1634" t="s">
        <v>2184</v>
      </c>
      <c r="T2688" s="1634" t="str">
        <f t="shared" si="369"/>
        <v/>
      </c>
    </row>
    <row r="2689" spans="1:20" s="1632" customFormat="1" x14ac:dyDescent="0.25">
      <c r="A2689" s="1637"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4" t="s">
        <v>1987</v>
      </c>
      <c r="G2689" s="1634" t="str">
        <f>IF(T2689&lt;&gt;"","G","")</f>
        <v/>
      </c>
      <c r="H2689" s="1634" t="s">
        <v>1982</v>
      </c>
      <c r="I2689" s="1241"/>
      <c r="J2689" s="1634"/>
      <c r="K2689" s="1634"/>
      <c r="L2689" s="801"/>
      <c r="M2689" s="1635"/>
      <c r="N2689" s="1634"/>
      <c r="O2689" s="595"/>
      <c r="P2689" s="595"/>
      <c r="Q2689" s="595"/>
      <c r="R2689" s="1634" t="s">
        <v>2184</v>
      </c>
      <c r="T2689" s="1634" t="str">
        <f t="shared" si="369"/>
        <v/>
      </c>
    </row>
    <row r="2690" spans="1:20" s="1632" customFormat="1" x14ac:dyDescent="0.25">
      <c r="A2690" s="1637"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4" t="str">
        <f>IF(T2690&lt;&gt;"","AW","")</f>
        <v/>
      </c>
      <c r="H2690" s="1634" t="s">
        <v>1982</v>
      </c>
      <c r="I2690" s="1241"/>
      <c r="J2690" s="1634"/>
      <c r="K2690" s="1634"/>
      <c r="L2690" s="801"/>
      <c r="M2690" s="1635"/>
      <c r="N2690" s="1634"/>
      <c r="O2690" s="595"/>
      <c r="P2690" s="595"/>
      <c r="Q2690" s="595"/>
      <c r="R2690" s="1634" t="s">
        <v>2184</v>
      </c>
      <c r="T2690" s="1634" t="str">
        <f t="shared" si="369"/>
        <v/>
      </c>
    </row>
    <row r="2691" spans="1:20" s="1632" customFormat="1" x14ac:dyDescent="0.25">
      <c r="A2691" s="1637"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4" t="s">
        <v>1991</v>
      </c>
      <c r="G2691" s="1634" t="str">
        <f>IF(T2691&lt;&gt;"","AB","")</f>
        <v/>
      </c>
      <c r="H2691" s="1634" t="s">
        <v>1982</v>
      </c>
      <c r="I2691" s="1241"/>
      <c r="J2691" s="1634"/>
      <c r="K2691" s="1634"/>
      <c r="L2691" s="801"/>
      <c r="M2691" s="1635"/>
      <c r="N2691" s="1634"/>
      <c r="O2691" s="595"/>
      <c r="P2691" s="595"/>
      <c r="Q2691" s="595"/>
      <c r="R2691" s="1634" t="s">
        <v>2184</v>
      </c>
      <c r="T2691" s="1634" t="str">
        <f t="shared" si="369"/>
        <v/>
      </c>
    </row>
    <row r="2692" spans="1:20" s="1632" customFormat="1" x14ac:dyDescent="0.25">
      <c r="A2692" s="1637"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4" t="s">
        <v>1596</v>
      </c>
      <c r="G2692" s="1634" t="str">
        <f>IF(T2692&lt;&gt;"","AP","")</f>
        <v/>
      </c>
      <c r="H2692" s="1634" t="s">
        <v>1982</v>
      </c>
      <c r="I2692" s="1241"/>
      <c r="J2692" s="1634"/>
      <c r="K2692" s="1634"/>
      <c r="L2692" s="801"/>
      <c r="M2692" s="1635"/>
      <c r="N2692" s="1634"/>
      <c r="O2692" s="595"/>
      <c r="P2692" s="595"/>
      <c r="Q2692" s="595"/>
      <c r="R2692" s="1634" t="s">
        <v>2184</v>
      </c>
      <c r="T2692" s="1634" t="str">
        <f t="shared" si="369"/>
        <v/>
      </c>
    </row>
    <row r="2693" spans="1:20" s="1632" customFormat="1" x14ac:dyDescent="0.25">
      <c r="A2693" s="1637"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4" t="s">
        <v>2126</v>
      </c>
      <c r="G2693" s="1634" t="str">
        <f>IF(T2693&lt;&gt;"","AZ","")</f>
        <v/>
      </c>
      <c r="H2693" s="1634" t="s">
        <v>1982</v>
      </c>
      <c r="I2693" s="1241"/>
      <c r="J2693" s="1634"/>
      <c r="K2693" s="1634"/>
      <c r="L2693" s="801" t="s">
        <v>2126</v>
      </c>
      <c r="M2693" s="1635">
        <v>1640</v>
      </c>
      <c r="N2693" s="1634"/>
      <c r="O2693" s="595"/>
      <c r="P2693" s="595"/>
      <c r="Q2693" s="595"/>
      <c r="R2693" s="1634" t="s">
        <v>2184</v>
      </c>
      <c r="T2693" s="1634" t="str">
        <f t="shared" si="369"/>
        <v/>
      </c>
    </row>
    <row r="2694" spans="1:20" s="1632"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4" t="str">
        <f>IF(T2694&lt;&gt;"","A","")</f>
        <v/>
      </c>
      <c r="H2694" s="1634" t="s">
        <v>1982</v>
      </c>
      <c r="I2694" s="801"/>
      <c r="J2694" s="801"/>
      <c r="K2694" s="801"/>
      <c r="L2694" s="801" t="s">
        <v>1483</v>
      </c>
      <c r="M2694" s="1298">
        <v>1641</v>
      </c>
      <c r="N2694" s="801"/>
      <c r="O2694" s="1632" t="s">
        <v>725</v>
      </c>
      <c r="R2694" s="1634" t="s">
        <v>2185</v>
      </c>
      <c r="T2694" s="1634" t="str">
        <f>IF(Q$2695="Yes",47,"")</f>
        <v/>
      </c>
    </row>
    <row r="2695" spans="1:20" s="1632"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4"/>
      <c r="H2695" s="1634"/>
      <c r="I2695" s="801"/>
      <c r="J2695" s="801"/>
      <c r="K2695" s="801"/>
      <c r="L2695" s="801" t="s">
        <v>1697</v>
      </c>
      <c r="M2695" s="1298">
        <v>1642</v>
      </c>
      <c r="N2695" s="801"/>
      <c r="O2695" s="1632">
        <f>'Configurable Tab'!H49</f>
        <v>657</v>
      </c>
      <c r="P2695" s="18" t="str">
        <f>'Configurable Tab'!J48</f>
        <v>No</v>
      </c>
      <c r="Q2695" s="1632" t="s">
        <v>648</v>
      </c>
      <c r="R2695" s="1634" t="s">
        <v>2185</v>
      </c>
      <c r="T2695" s="1634" t="str">
        <f t="shared" ref="T2695:T2704" si="370">IF(Q$2695="Yes",47,"")</f>
        <v/>
      </c>
    </row>
    <row r="2696" spans="1:20" s="1632"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4" t="str">
        <f>IF(T2696&lt;&gt;"","B","")</f>
        <v/>
      </c>
      <c r="H2696" s="1634" t="s">
        <v>1982</v>
      </c>
      <c r="I2696" s="801"/>
      <c r="J2696" s="801"/>
      <c r="K2696" s="801"/>
      <c r="L2696" s="801" t="s">
        <v>1376</v>
      </c>
      <c r="M2696" s="1298">
        <v>1643</v>
      </c>
      <c r="N2696" s="801"/>
      <c r="O2696" s="1632" t="s">
        <v>726</v>
      </c>
      <c r="R2696" s="1634" t="s">
        <v>2185</v>
      </c>
      <c r="T2696" s="1634" t="str">
        <f t="shared" si="370"/>
        <v/>
      </c>
    </row>
    <row r="2697" spans="1:20" s="1632"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4" t="str">
        <f>IF(T2697&lt;&gt;"","I","")</f>
        <v/>
      </c>
      <c r="H2697" s="1634" t="s">
        <v>1982</v>
      </c>
      <c r="I2697" s="801"/>
      <c r="J2697" s="801"/>
      <c r="K2697" s="801"/>
      <c r="L2697" s="801" t="s">
        <v>1374</v>
      </c>
      <c r="M2697" s="1298">
        <v>1644</v>
      </c>
      <c r="N2697" s="801"/>
      <c r="O2697" s="1632">
        <f>'Configurable Tab'!I49</f>
        <v>670</v>
      </c>
      <c r="R2697" s="1634" t="s">
        <v>2185</v>
      </c>
      <c r="T2697" s="1634" t="str">
        <f t="shared" si="370"/>
        <v/>
      </c>
    </row>
    <row r="2698" spans="1:20" s="1632"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4" t="str">
        <f>IF(T2698&lt;&gt;"",IF(Q2697="Credit Memo","J",IF(Q2697="Check","K","")),"")</f>
        <v/>
      </c>
      <c r="H2698" s="1634" t="s">
        <v>1982</v>
      </c>
      <c r="I2698" s="801"/>
      <c r="J2698" s="801"/>
      <c r="K2698" s="801"/>
      <c r="L2698" s="801" t="s">
        <v>1375</v>
      </c>
      <c r="M2698" s="1298">
        <v>1645</v>
      </c>
      <c r="N2698" s="801"/>
      <c r="O2698" s="1632" t="s">
        <v>2193</v>
      </c>
      <c r="R2698" s="1634" t="s">
        <v>2185</v>
      </c>
      <c r="T2698" s="1634" t="str">
        <f t="shared" si="370"/>
        <v/>
      </c>
    </row>
    <row r="2699" spans="1:20" s="1632"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4" t="str">
        <f>IF(T2699&lt;&gt;"","C","")</f>
        <v/>
      </c>
      <c r="H2699" s="1634" t="s">
        <v>1982</v>
      </c>
      <c r="I2699" s="801"/>
      <c r="J2699" s="801"/>
      <c r="K2699" s="801"/>
      <c r="L2699" s="801" t="s">
        <v>1378</v>
      </c>
      <c r="M2699" s="1298">
        <v>1646</v>
      </c>
      <c r="N2699" s="801"/>
      <c r="R2699" s="1634" t="s">
        <v>2185</v>
      </c>
      <c r="T2699" s="1634" t="str">
        <f t="shared" si="370"/>
        <v/>
      </c>
    </row>
    <row r="2700" spans="1:20" s="1632"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4" t="str">
        <f>IF(T2700&lt;&gt;"","D","")</f>
        <v/>
      </c>
      <c r="H2700" s="1634" t="s">
        <v>1982</v>
      </c>
      <c r="I2700" s="801"/>
      <c r="J2700" s="801"/>
      <c r="K2700" s="801"/>
      <c r="L2700" s="801" t="s">
        <v>1379</v>
      </c>
      <c r="M2700" s="1298">
        <v>1647</v>
      </c>
      <c r="N2700" s="801"/>
      <c r="R2700" s="1634" t="s">
        <v>2185</v>
      </c>
      <c r="T2700" s="1634" t="str">
        <f t="shared" si="370"/>
        <v/>
      </c>
    </row>
    <row r="2701" spans="1:20" s="1632"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4" t="s">
        <v>1389</v>
      </c>
      <c r="G2701" s="1634" t="str">
        <f>IF(T2701&lt;&gt;"","S","")</f>
        <v/>
      </c>
      <c r="H2701" s="1634" t="s">
        <v>1982</v>
      </c>
      <c r="I2701" s="801"/>
      <c r="J2701" s="801"/>
      <c r="K2701" s="801"/>
      <c r="L2701" s="801" t="s">
        <v>1389</v>
      </c>
      <c r="M2701" s="1298">
        <v>1648</v>
      </c>
      <c r="N2701" s="801"/>
      <c r="R2701" s="1634" t="s">
        <v>2185</v>
      </c>
      <c r="T2701" s="1634" t="str">
        <f t="shared" si="370"/>
        <v/>
      </c>
    </row>
    <row r="2702" spans="1:20" s="1632"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4" t="str">
        <f>IF(T2702&lt;&gt;"","AQ","")</f>
        <v/>
      </c>
      <c r="H2702" s="1634" t="s">
        <v>1982</v>
      </c>
      <c r="I2702" s="801"/>
      <c r="J2702" s="801"/>
      <c r="K2702" s="801"/>
      <c r="L2702" s="801" t="s">
        <v>1996</v>
      </c>
      <c r="M2702" s="1298">
        <v>1649</v>
      </c>
      <c r="N2702" s="801"/>
      <c r="R2702" s="1634" t="s">
        <v>2185</v>
      </c>
      <c r="T2702" s="1634" t="str">
        <f t="shared" si="370"/>
        <v/>
      </c>
    </row>
    <row r="2703" spans="1:20" s="1632"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4" t="str">
        <f>IF(T2703&lt;&gt;"","AA","")</f>
        <v/>
      </c>
      <c r="H2703" s="1634" t="s">
        <v>1982</v>
      </c>
      <c r="I2703" s="801"/>
      <c r="J2703" s="801"/>
      <c r="K2703" s="801"/>
      <c r="L2703" s="801" t="s">
        <v>1997</v>
      </c>
      <c r="M2703" s="1298">
        <v>1650</v>
      </c>
      <c r="N2703" s="801"/>
      <c r="R2703" s="1634" t="s">
        <v>2185</v>
      </c>
      <c r="T2703" s="1634" t="str">
        <f t="shared" si="370"/>
        <v/>
      </c>
    </row>
    <row r="2704" spans="1:20" s="1632"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4" t="str">
        <f>IF(T2704&lt;&gt;"","H","")</f>
        <v/>
      </c>
      <c r="H2704" s="1634" t="s">
        <v>1982</v>
      </c>
      <c r="I2704" s="801"/>
      <c r="J2704" s="801"/>
      <c r="K2704" s="801"/>
      <c r="L2704" s="801" t="s">
        <v>1390</v>
      </c>
      <c r="M2704" s="1298">
        <v>1651</v>
      </c>
      <c r="N2704" s="801"/>
      <c r="R2704" s="1634" t="s">
        <v>2185</v>
      </c>
      <c r="T2704" s="1634" t="str">
        <f t="shared" si="370"/>
        <v/>
      </c>
    </row>
    <row r="2705" spans="1:20" s="1632" customFormat="1" x14ac:dyDescent="0.25">
      <c r="A2705" s="818" t="s">
        <v>1697</v>
      </c>
      <c r="B2705" s="1241" t="str">
        <f>IFERROR(_xlfn.CONCAT("D",('Configurable Tab'!$C$34+1)),"")</f>
        <v>D347</v>
      </c>
      <c r="C2705" s="1241" t="str">
        <f>IFERROR(_xlfn.CONCAT("E",('Configurable Tab'!$C$34+1)),"")</f>
        <v>E347</v>
      </c>
      <c r="D2705" s="801" t="s">
        <v>1343</v>
      </c>
      <c r="E2705" s="801" t="s">
        <v>1734</v>
      </c>
      <c r="F2705" s="1634"/>
      <c r="G2705" s="1634"/>
      <c r="H2705" s="1634"/>
      <c r="I2705" s="1241" t="str">
        <f t="shared" ref="I2705:I2715" si="371">IF(J2705&lt;&gt;"",A2705,"")</f>
        <v/>
      </c>
      <c r="J2705" s="1634" t="str">
        <f t="shared" ref="J2705:J2714" si="372">IFERROR(IF($Q$2695="Yes",Q$1&amp;M2695,""),"")</f>
        <v/>
      </c>
      <c r="K2705" s="1634" t="str">
        <f t="shared" ref="K2705:K2715" si="373">IF(J2705&lt;&gt;"",E2705,"")</f>
        <v/>
      </c>
      <c r="M2705" s="1633"/>
      <c r="Q2705" s="1241" t="str">
        <f>IFERROR(_xlfn.CONCAT("C",('Configurable Tab'!$C34+1)),"")</f>
        <v>C347</v>
      </c>
      <c r="R2705" s="1634" t="s">
        <v>2185</v>
      </c>
    </row>
    <row r="2706" spans="1:20" s="1632" customFormat="1" x14ac:dyDescent="0.25">
      <c r="A2706" s="818" t="s">
        <v>1376</v>
      </c>
      <c r="B2706" s="1241" t="str">
        <f>IFERROR(_xlfn.CONCAT("D",('Configurable Tab'!$C$34+2)),"")</f>
        <v>D348</v>
      </c>
      <c r="C2706" s="1241" t="str">
        <f>IFERROR(_xlfn.CONCAT("E",('Configurable Tab'!$C$34+2)),"")</f>
        <v>E348</v>
      </c>
      <c r="D2706" s="801" t="s">
        <v>1343</v>
      </c>
      <c r="E2706" s="801" t="s">
        <v>1734</v>
      </c>
      <c r="F2706" s="1634"/>
      <c r="G2706" s="1634"/>
      <c r="H2706" s="1634"/>
      <c r="I2706" s="1241" t="str">
        <f t="shared" si="371"/>
        <v/>
      </c>
      <c r="J2706" s="1634" t="str">
        <f t="shared" si="372"/>
        <v/>
      </c>
      <c r="K2706" s="1634" t="str">
        <f t="shared" si="373"/>
        <v/>
      </c>
      <c r="M2706" s="1633"/>
      <c r="R2706" s="1634" t="s">
        <v>2185</v>
      </c>
    </row>
    <row r="2707" spans="1:20" s="1632" customFormat="1" x14ac:dyDescent="0.25">
      <c r="A2707" s="818" t="s">
        <v>1374</v>
      </c>
      <c r="B2707" s="1241" t="str">
        <f>IFERROR(_xlfn.CONCAT("I",('Configurable Tab'!$C$34+1)),"")</f>
        <v>I347</v>
      </c>
      <c r="C2707" s="1241" t="str">
        <f>IFERROR(_xlfn.CONCAT("I",('Configurable Tab'!$C$34+2)),"")</f>
        <v>I348</v>
      </c>
      <c r="D2707" s="801" t="s">
        <v>1343</v>
      </c>
      <c r="E2707" s="801" t="s">
        <v>1734</v>
      </c>
      <c r="F2707" s="1634"/>
      <c r="G2707" s="1634"/>
      <c r="H2707" s="1634"/>
      <c r="I2707" s="1241" t="str">
        <f t="shared" si="371"/>
        <v/>
      </c>
      <c r="J2707" s="1634" t="str">
        <f t="shared" si="372"/>
        <v/>
      </c>
      <c r="K2707" s="1634" t="str">
        <f t="shared" si="373"/>
        <v/>
      </c>
      <c r="M2707" s="1633"/>
      <c r="R2707" s="1634" t="s">
        <v>2185</v>
      </c>
    </row>
    <row r="2708" spans="1:20" s="1632" customFormat="1" x14ac:dyDescent="0.25">
      <c r="A2708" s="818" t="s">
        <v>1375</v>
      </c>
      <c r="B2708" s="1241" t="str">
        <f>IFERROR(_xlfn.CONCAT("M",('Configurable Tab'!$C$34+1)),"")</f>
        <v>M347</v>
      </c>
      <c r="C2708" s="1241" t="str">
        <f>IFERROR(_xlfn.CONCAT("M",('Configurable Tab'!$C$34+2)),"")</f>
        <v>M348</v>
      </c>
      <c r="D2708" s="801" t="s">
        <v>1343</v>
      </c>
      <c r="E2708" s="801" t="s">
        <v>1734</v>
      </c>
      <c r="F2708" s="1634"/>
      <c r="G2708" s="1634"/>
      <c r="H2708" s="1634"/>
      <c r="I2708" s="1241" t="str">
        <f t="shared" si="371"/>
        <v/>
      </c>
      <c r="J2708" s="1634" t="str">
        <f t="shared" si="372"/>
        <v/>
      </c>
      <c r="K2708" s="1634" t="str">
        <f t="shared" si="373"/>
        <v/>
      </c>
      <c r="M2708" s="1633"/>
      <c r="R2708" s="1634" t="s">
        <v>2185</v>
      </c>
    </row>
    <row r="2709" spans="1:20" s="1632" customFormat="1" x14ac:dyDescent="0.25">
      <c r="A2709" s="818" t="s">
        <v>1378</v>
      </c>
      <c r="B2709" s="1241" t="str">
        <f>IFERROR(_xlfn.CONCAT("D",('Configurable Tab'!$C$34+4)),"")</f>
        <v>D350</v>
      </c>
      <c r="C2709" s="1241" t="str">
        <f>IFERROR(_xlfn.CONCAT("E",('Configurable Tab'!$C$34+4)),"")</f>
        <v>E350</v>
      </c>
      <c r="D2709" s="801" t="s">
        <v>1343</v>
      </c>
      <c r="E2709" s="801" t="s">
        <v>1734</v>
      </c>
      <c r="F2709" s="1634"/>
      <c r="G2709" s="1634"/>
      <c r="H2709" s="1634"/>
      <c r="I2709" s="1241" t="str">
        <f t="shared" si="371"/>
        <v/>
      </c>
      <c r="J2709" s="1634" t="str">
        <f t="shared" si="372"/>
        <v/>
      </c>
      <c r="K2709" s="1634" t="str">
        <f t="shared" si="373"/>
        <v/>
      </c>
      <c r="M2709" s="1633"/>
      <c r="R2709" s="1634" t="s">
        <v>2185</v>
      </c>
    </row>
    <row r="2710" spans="1:20" s="1632" customFormat="1" x14ac:dyDescent="0.25">
      <c r="A2710" s="818" t="s">
        <v>1379</v>
      </c>
      <c r="B2710" s="1241" t="str">
        <f>IFERROR(_xlfn.CONCAT("D",('Configurable Tab'!$C$34+5)),"")</f>
        <v>D351</v>
      </c>
      <c r="C2710" s="1241" t="str">
        <f>IFERROR(_xlfn.CONCAT("E",('Configurable Tab'!$C$34+5)),"")</f>
        <v>E351</v>
      </c>
      <c r="D2710" s="801" t="s">
        <v>1343</v>
      </c>
      <c r="E2710" s="801" t="s">
        <v>1734</v>
      </c>
      <c r="F2710" s="1634"/>
      <c r="G2710" s="1634"/>
      <c r="H2710" s="1634"/>
      <c r="I2710" s="1241" t="str">
        <f t="shared" si="371"/>
        <v/>
      </c>
      <c r="J2710" s="1634" t="str">
        <f t="shared" si="372"/>
        <v/>
      </c>
      <c r="K2710" s="1634" t="str">
        <f t="shared" si="373"/>
        <v/>
      </c>
      <c r="M2710" s="1633"/>
      <c r="R2710" s="1634" t="s">
        <v>2185</v>
      </c>
    </row>
    <row r="2711" spans="1:20" s="1632" customFormat="1" x14ac:dyDescent="0.25">
      <c r="A2711" s="818" t="s">
        <v>1389</v>
      </c>
      <c r="B2711" s="1241" t="str">
        <f>IFERROR(_xlfn.CONCAT("G",('Configurable Tab'!$C$34+4)),"")</f>
        <v>G350</v>
      </c>
      <c r="C2711" s="1241" t="str">
        <f>IFERROR(_xlfn.CONCAT("G",('Configurable Tab'!$C$34+5)),"")</f>
        <v>G351</v>
      </c>
      <c r="D2711" s="801" t="s">
        <v>1343</v>
      </c>
      <c r="E2711" s="801" t="s">
        <v>1734</v>
      </c>
      <c r="F2711" s="1634"/>
      <c r="G2711" s="1634"/>
      <c r="H2711" s="1634"/>
      <c r="I2711" s="1241" t="str">
        <f t="shared" si="371"/>
        <v/>
      </c>
      <c r="J2711" s="1634" t="str">
        <f t="shared" si="372"/>
        <v/>
      </c>
      <c r="K2711" s="1634" t="str">
        <f t="shared" si="373"/>
        <v/>
      </c>
      <c r="M2711" s="1633"/>
      <c r="R2711" s="1634" t="s">
        <v>2185</v>
      </c>
    </row>
    <row r="2712" spans="1:20" s="1632" customFormat="1" x14ac:dyDescent="0.25">
      <c r="A2712" s="818" t="s">
        <v>1996</v>
      </c>
      <c r="B2712" s="1241" t="str">
        <f>IFERROR(_xlfn.CONCAT("G",('Configurable Tab'!$C$34+7)),"")</f>
        <v>G353</v>
      </c>
      <c r="C2712" s="1241" t="str">
        <f>IFERROR(_xlfn.CONCAT("G",('Configurable Tab'!$C$34+8)),"")</f>
        <v>G354</v>
      </c>
      <c r="D2712" s="801" t="s">
        <v>1343</v>
      </c>
      <c r="E2712" s="801" t="s">
        <v>1734</v>
      </c>
      <c r="F2712" s="1634"/>
      <c r="G2712" s="1634"/>
      <c r="H2712" s="1634"/>
      <c r="I2712" s="1241" t="str">
        <f t="shared" si="371"/>
        <v/>
      </c>
      <c r="J2712" s="1634" t="str">
        <f t="shared" si="372"/>
        <v/>
      </c>
      <c r="K2712" s="1634" t="str">
        <f t="shared" si="373"/>
        <v/>
      </c>
      <c r="M2712" s="1633"/>
      <c r="R2712" s="1634" t="s">
        <v>2185</v>
      </c>
    </row>
    <row r="2713" spans="1:20" s="1632" customFormat="1" x14ac:dyDescent="0.25">
      <c r="A2713" s="818" t="s">
        <v>1474</v>
      </c>
      <c r="B2713" s="1241" t="str">
        <f>IFERROR(_xlfn.CONCAT("K",('Configurable Tab'!$C$34+7)),"")</f>
        <v>K353</v>
      </c>
      <c r="C2713" s="1241" t="str">
        <f>IFERROR(_xlfn.CONCAT("K",('Configurable Tab'!$C$34+8)),"")</f>
        <v>K354</v>
      </c>
      <c r="D2713" s="801" t="s">
        <v>1343</v>
      </c>
      <c r="E2713" s="801" t="s">
        <v>1734</v>
      </c>
      <c r="F2713" s="1634"/>
      <c r="G2713" s="1634"/>
      <c r="H2713" s="1634"/>
      <c r="I2713" s="1241" t="str">
        <f t="shared" si="371"/>
        <v/>
      </c>
      <c r="J2713" s="1634" t="str">
        <f t="shared" si="372"/>
        <v/>
      </c>
      <c r="K2713" s="1634" t="str">
        <f t="shared" si="373"/>
        <v/>
      </c>
      <c r="M2713" s="1633"/>
      <c r="R2713" s="1634" t="s">
        <v>2185</v>
      </c>
    </row>
    <row r="2714" spans="1:20" s="1632" customFormat="1" x14ac:dyDescent="0.25">
      <c r="A2714" s="818" t="s">
        <v>1390</v>
      </c>
      <c r="B2714" s="1241" t="str">
        <f>IFERROR(_xlfn.CONCAT("K",('Configurable Tab'!$C$34+1)),"")</f>
        <v>K347</v>
      </c>
      <c r="C2714" s="1241" t="str">
        <f>IFERROR(_xlfn.CONCAT("K",('Configurable Tab'!$C$34+2)),"")</f>
        <v>K348</v>
      </c>
      <c r="D2714" s="801" t="s">
        <v>1343</v>
      </c>
      <c r="E2714" s="801" t="s">
        <v>1734</v>
      </c>
      <c r="F2714" s="1634"/>
      <c r="G2714" s="1634"/>
      <c r="H2714" s="1634"/>
      <c r="I2714" s="1241" t="str">
        <f t="shared" si="371"/>
        <v/>
      </c>
      <c r="J2714" s="1634" t="str">
        <f t="shared" si="372"/>
        <v/>
      </c>
      <c r="K2714" s="1634" t="str">
        <f t="shared" si="373"/>
        <v/>
      </c>
      <c r="M2714" s="1633"/>
      <c r="R2714" s="1634" t="s">
        <v>2185</v>
      </c>
    </row>
    <row r="2715" spans="1:20" s="1632"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4" t="s">
        <v>1488</v>
      </c>
      <c r="G2715" s="1634" t="str">
        <f>IF(T2715&lt;&gt;"","AS","")</f>
        <v/>
      </c>
      <c r="H2715" s="1634" t="s">
        <v>1982</v>
      </c>
      <c r="I2715" s="1241" t="str">
        <f t="shared" si="371"/>
        <v/>
      </c>
      <c r="J2715" s="1634"/>
      <c r="K2715" s="1634" t="str">
        <f t="shared" si="373"/>
        <v/>
      </c>
      <c r="L2715" s="801"/>
      <c r="M2715" s="1635"/>
      <c r="N2715" s="1634"/>
      <c r="R2715" s="1634" t="s">
        <v>2185</v>
      </c>
      <c r="T2715" s="1634" t="str">
        <f t="shared" ref="T2715:T2723" si="374">IF(Q$2695="Yes",47,"")</f>
        <v/>
      </c>
    </row>
    <row r="2716" spans="1:20" s="1632"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4" t="s">
        <v>1487</v>
      </c>
      <c r="G2716" s="1634" t="str">
        <f>IF(T2716&lt;&gt;"","AN","")</f>
        <v/>
      </c>
      <c r="H2716" s="1634" t="s">
        <v>1982</v>
      </c>
      <c r="I2716" s="1241"/>
      <c r="J2716" s="1634"/>
      <c r="K2716" s="1634"/>
      <c r="L2716" s="801"/>
      <c r="M2716" s="1635"/>
      <c r="N2716" s="1634"/>
      <c r="O2716" s="1526"/>
      <c r="P2716" s="595"/>
      <c r="Q2716" s="595"/>
      <c r="R2716" s="1634" t="s">
        <v>2185</v>
      </c>
      <c r="T2716" s="1634" t="str">
        <f t="shared" si="374"/>
        <v/>
      </c>
    </row>
    <row r="2717" spans="1:20" s="1632"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4" t="s">
        <v>1484</v>
      </c>
      <c r="G2717" s="1634" t="str">
        <f>IF(T2717&lt;&gt;"","AL","")</f>
        <v/>
      </c>
      <c r="H2717" s="1634" t="s">
        <v>1982</v>
      </c>
      <c r="I2717" s="1241"/>
      <c r="J2717" s="1634"/>
      <c r="K2717" s="1634"/>
      <c r="L2717" s="801"/>
      <c r="M2717" s="1635"/>
      <c r="N2717" s="1634"/>
      <c r="O2717" s="595"/>
      <c r="P2717" s="595"/>
      <c r="Q2717" s="595"/>
      <c r="R2717" s="1634" t="s">
        <v>2185</v>
      </c>
      <c r="T2717" s="1634" t="str">
        <f t="shared" si="374"/>
        <v/>
      </c>
    </row>
    <row r="2718" spans="1:20" s="1632"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4" t="s">
        <v>1983</v>
      </c>
      <c r="G2718" s="1634" t="str">
        <f>IF(T2718&lt;&gt;"","E","")</f>
        <v/>
      </c>
      <c r="H2718" s="1634" t="s">
        <v>1982</v>
      </c>
      <c r="I2718" s="1241"/>
      <c r="J2718" s="1634"/>
      <c r="K2718" s="1634"/>
      <c r="L2718" s="801"/>
      <c r="M2718" s="1635"/>
      <c r="N2718" s="1634"/>
      <c r="O2718" s="595"/>
      <c r="P2718" s="595"/>
      <c r="Q2718" s="595"/>
      <c r="R2718" s="1634" t="s">
        <v>2185</v>
      </c>
      <c r="T2718" s="1634" t="str">
        <f t="shared" si="374"/>
        <v/>
      </c>
    </row>
    <row r="2719" spans="1:20" s="1632"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4" t="s">
        <v>1987</v>
      </c>
      <c r="G2719" s="1634" t="str">
        <f>IF(T2719&lt;&gt;"","G","")</f>
        <v/>
      </c>
      <c r="H2719" s="1634" t="s">
        <v>1982</v>
      </c>
      <c r="I2719" s="1241"/>
      <c r="J2719" s="1634"/>
      <c r="K2719" s="1634"/>
      <c r="L2719" s="801"/>
      <c r="M2719" s="1635"/>
      <c r="N2719" s="1634"/>
      <c r="O2719" s="595"/>
      <c r="P2719" s="595"/>
      <c r="Q2719" s="595"/>
      <c r="R2719" s="1634" t="s">
        <v>2185</v>
      </c>
      <c r="T2719" s="1634" t="str">
        <f t="shared" si="374"/>
        <v/>
      </c>
    </row>
    <row r="2720" spans="1:20" s="1632"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4" t="str">
        <f>IF(T2720&lt;&gt;"","AW","")</f>
        <v/>
      </c>
      <c r="H2720" s="1634" t="s">
        <v>1982</v>
      </c>
      <c r="I2720" s="1241"/>
      <c r="J2720" s="1634"/>
      <c r="K2720" s="1634"/>
      <c r="L2720" s="801"/>
      <c r="M2720" s="1635"/>
      <c r="N2720" s="1634"/>
      <c r="O2720" s="595"/>
      <c r="P2720" s="595"/>
      <c r="Q2720" s="595"/>
      <c r="R2720" s="1634" t="s">
        <v>2185</v>
      </c>
      <c r="T2720" s="1634" t="str">
        <f t="shared" si="374"/>
        <v/>
      </c>
    </row>
    <row r="2721" spans="1:20" s="1632"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4" t="s">
        <v>1991</v>
      </c>
      <c r="G2721" s="1634" t="str">
        <f>IF(T2721&lt;&gt;"","AB","")</f>
        <v/>
      </c>
      <c r="H2721" s="1634" t="s">
        <v>1982</v>
      </c>
      <c r="I2721" s="1241"/>
      <c r="J2721" s="1634"/>
      <c r="K2721" s="1634"/>
      <c r="L2721" s="801"/>
      <c r="M2721" s="1635"/>
      <c r="N2721" s="1634"/>
      <c r="O2721" s="595"/>
      <c r="P2721" s="595"/>
      <c r="Q2721" s="595"/>
      <c r="R2721" s="1634" t="s">
        <v>2185</v>
      </c>
      <c r="T2721" s="1634" t="str">
        <f t="shared" si="374"/>
        <v/>
      </c>
    </row>
    <row r="2722" spans="1:20" s="1632"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4" t="s">
        <v>1596</v>
      </c>
      <c r="G2722" s="1634" t="str">
        <f>IF(T2722&lt;&gt;"","AP","")</f>
        <v/>
      </c>
      <c r="H2722" s="1634" t="s">
        <v>1982</v>
      </c>
      <c r="I2722" s="1241"/>
      <c r="J2722" s="1634"/>
      <c r="K2722" s="1634"/>
      <c r="L2722" s="801"/>
      <c r="M2722" s="1635"/>
      <c r="N2722" s="1634"/>
      <c r="O2722" s="595"/>
      <c r="P2722" s="595"/>
      <c r="Q2722" s="595"/>
      <c r="R2722" s="1634" t="s">
        <v>2185</v>
      </c>
      <c r="T2722" s="1634" t="str">
        <f t="shared" si="374"/>
        <v/>
      </c>
    </row>
    <row r="2723" spans="1:20" s="1632"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4" t="s">
        <v>2126</v>
      </c>
      <c r="G2723" s="1634" t="str">
        <f>IF(T2723&lt;&gt;"","AZ","")</f>
        <v/>
      </c>
      <c r="H2723" s="1634" t="s">
        <v>1982</v>
      </c>
      <c r="I2723" s="1241"/>
      <c r="J2723" s="1634"/>
      <c r="K2723" s="1634"/>
      <c r="L2723" s="801" t="s">
        <v>2126</v>
      </c>
      <c r="M2723" s="1635">
        <v>1652</v>
      </c>
      <c r="N2723" s="1634"/>
      <c r="O2723" s="595"/>
      <c r="P2723" s="595"/>
      <c r="Q2723" s="595"/>
      <c r="R2723" s="1634" t="s">
        <v>2185</v>
      </c>
      <c r="T2723" s="1634" t="str">
        <f t="shared" si="374"/>
        <v/>
      </c>
    </row>
    <row r="2724" spans="1:20" s="1632" customFormat="1" x14ac:dyDescent="0.25">
      <c r="A2724" s="1636"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4" t="str">
        <f>IF(T2724&lt;&gt;"","A","")</f>
        <v/>
      </c>
      <c r="H2724" s="1634" t="s">
        <v>1982</v>
      </c>
      <c r="I2724" s="801"/>
      <c r="J2724" s="801"/>
      <c r="K2724" s="801"/>
      <c r="L2724" s="801" t="s">
        <v>1483</v>
      </c>
      <c r="M2724" s="1298">
        <v>1653</v>
      </c>
      <c r="N2724" s="801"/>
      <c r="O2724" s="1632" t="s">
        <v>725</v>
      </c>
      <c r="R2724" s="1634" t="s">
        <v>2186</v>
      </c>
      <c r="T2724" s="1634" t="str">
        <f>IF(Q$2725="Yes",48,"")</f>
        <v/>
      </c>
    </row>
    <row r="2725" spans="1:20" s="1632" customFormat="1" x14ac:dyDescent="0.25">
      <c r="A2725" s="1636"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4"/>
      <c r="H2725" s="1634"/>
      <c r="I2725" s="801"/>
      <c r="J2725" s="801"/>
      <c r="K2725" s="801"/>
      <c r="L2725" s="801" t="s">
        <v>1697</v>
      </c>
      <c r="M2725" s="1298">
        <v>1654</v>
      </c>
      <c r="N2725" s="801"/>
      <c r="O2725" s="1632">
        <f>'Configurable Tab'!H50</f>
        <v>671</v>
      </c>
      <c r="P2725" s="18" t="str">
        <f>'Configurable Tab'!J50</f>
        <v>No</v>
      </c>
      <c r="Q2725" s="1632" t="s">
        <v>648</v>
      </c>
      <c r="R2725" s="1634" t="s">
        <v>2186</v>
      </c>
      <c r="T2725" s="1634" t="str">
        <f t="shared" ref="T2725:T2734" si="375">IF(Q$2725="Yes",48,"")</f>
        <v/>
      </c>
    </row>
    <row r="2726" spans="1:20" s="1632" customFormat="1" x14ac:dyDescent="0.25">
      <c r="A2726" s="1636"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4" t="str">
        <f>IF(T2726&lt;&gt;"","B","")</f>
        <v/>
      </c>
      <c r="H2726" s="1634" t="s">
        <v>1982</v>
      </c>
      <c r="I2726" s="801"/>
      <c r="J2726" s="801"/>
      <c r="K2726" s="801"/>
      <c r="L2726" s="801" t="s">
        <v>1376</v>
      </c>
      <c r="M2726" s="1298">
        <v>1655</v>
      </c>
      <c r="N2726" s="801"/>
      <c r="O2726" s="1632" t="s">
        <v>726</v>
      </c>
      <c r="R2726" s="1634" t="s">
        <v>2186</v>
      </c>
      <c r="T2726" s="1634" t="str">
        <f t="shared" si="375"/>
        <v/>
      </c>
    </row>
    <row r="2727" spans="1:20" s="1632" customFormat="1" x14ac:dyDescent="0.25">
      <c r="A2727" s="1636"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4" t="str">
        <f>IF(T2727&lt;&gt;"","I","")</f>
        <v/>
      </c>
      <c r="H2727" s="1634" t="s">
        <v>1982</v>
      </c>
      <c r="I2727" s="801"/>
      <c r="J2727" s="801"/>
      <c r="K2727" s="801"/>
      <c r="L2727" s="801" t="s">
        <v>1374</v>
      </c>
      <c r="M2727" s="1298">
        <v>1656</v>
      </c>
      <c r="N2727" s="801"/>
      <c r="O2727" s="1632">
        <f>'Configurable Tab'!I50</f>
        <v>684</v>
      </c>
      <c r="R2727" s="1634" t="s">
        <v>2186</v>
      </c>
      <c r="T2727" s="1634" t="str">
        <f t="shared" si="375"/>
        <v/>
      </c>
    </row>
    <row r="2728" spans="1:20" s="1632" customFormat="1" x14ac:dyDescent="0.25">
      <c r="A2728" s="1636"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4" t="str">
        <f>IF(T2728&lt;&gt;"",IF(Q2727="Credit Memo","J",IF(Q2727="Check","K","")),"")</f>
        <v/>
      </c>
      <c r="H2728" s="1634" t="s">
        <v>1982</v>
      </c>
      <c r="I2728" s="801"/>
      <c r="J2728" s="801"/>
      <c r="K2728" s="801"/>
      <c r="L2728" s="801" t="s">
        <v>1375</v>
      </c>
      <c r="M2728" s="1298">
        <v>1657</v>
      </c>
      <c r="N2728" s="801"/>
      <c r="O2728" s="1632" t="s">
        <v>2195</v>
      </c>
      <c r="R2728" s="1634" t="s">
        <v>2186</v>
      </c>
      <c r="T2728" s="1634" t="str">
        <f t="shared" si="375"/>
        <v/>
      </c>
    </row>
    <row r="2729" spans="1:20" s="1632" customFormat="1" x14ac:dyDescent="0.25">
      <c r="A2729" s="1636"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4" t="str">
        <f>IF(T2729&lt;&gt;"","C","")</f>
        <v/>
      </c>
      <c r="H2729" s="1634" t="s">
        <v>1982</v>
      </c>
      <c r="I2729" s="801"/>
      <c r="J2729" s="801"/>
      <c r="K2729" s="801"/>
      <c r="L2729" s="801" t="s">
        <v>1378</v>
      </c>
      <c r="M2729" s="1298">
        <v>1658</v>
      </c>
      <c r="N2729" s="801"/>
      <c r="R2729" s="1634" t="s">
        <v>2186</v>
      </c>
      <c r="T2729" s="1634" t="str">
        <f t="shared" si="375"/>
        <v/>
      </c>
    </row>
    <row r="2730" spans="1:20" s="1632" customFormat="1" x14ac:dyDescent="0.25">
      <c r="A2730" s="1636"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4" t="str">
        <f>IF(T2730&lt;&gt;"","D","")</f>
        <v/>
      </c>
      <c r="H2730" s="1634" t="s">
        <v>1982</v>
      </c>
      <c r="I2730" s="801"/>
      <c r="J2730" s="801"/>
      <c r="K2730" s="801"/>
      <c r="L2730" s="801" t="s">
        <v>1379</v>
      </c>
      <c r="M2730" s="1298">
        <v>1659</v>
      </c>
      <c r="N2730" s="801"/>
      <c r="R2730" s="1634" t="s">
        <v>2186</v>
      </c>
      <c r="T2730" s="1634" t="str">
        <f t="shared" si="375"/>
        <v/>
      </c>
    </row>
    <row r="2731" spans="1:20" s="1632" customFormat="1" x14ac:dyDescent="0.25">
      <c r="A2731" s="1636"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4" t="s">
        <v>1389</v>
      </c>
      <c r="G2731" s="1634" t="str">
        <f>IF(T2731&lt;&gt;"","S","")</f>
        <v/>
      </c>
      <c r="H2731" s="1634" t="s">
        <v>1982</v>
      </c>
      <c r="I2731" s="801"/>
      <c r="J2731" s="801"/>
      <c r="K2731" s="801"/>
      <c r="L2731" s="801" t="s">
        <v>1389</v>
      </c>
      <c r="M2731" s="1298">
        <v>1660</v>
      </c>
      <c r="N2731" s="801"/>
      <c r="R2731" s="1634" t="s">
        <v>2186</v>
      </c>
      <c r="T2731" s="1634" t="str">
        <f t="shared" si="375"/>
        <v/>
      </c>
    </row>
    <row r="2732" spans="1:20" s="1632" customFormat="1" x14ac:dyDescent="0.25">
      <c r="A2732" s="1636"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4" t="str">
        <f>IF(T2732&lt;&gt;"","AQ","")</f>
        <v/>
      </c>
      <c r="H2732" s="1634" t="s">
        <v>1982</v>
      </c>
      <c r="I2732" s="801"/>
      <c r="J2732" s="801"/>
      <c r="K2732" s="801"/>
      <c r="L2732" s="801" t="s">
        <v>1996</v>
      </c>
      <c r="M2732" s="1298">
        <v>1661</v>
      </c>
      <c r="N2732" s="801"/>
      <c r="R2732" s="1634" t="s">
        <v>2186</v>
      </c>
      <c r="T2732" s="1634" t="str">
        <f t="shared" si="375"/>
        <v/>
      </c>
    </row>
    <row r="2733" spans="1:20" s="1632" customFormat="1" x14ac:dyDescent="0.25">
      <c r="A2733" s="1636"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4" t="str">
        <f>IF(T2733&lt;&gt;"","AA","")</f>
        <v/>
      </c>
      <c r="H2733" s="1634" t="s">
        <v>1982</v>
      </c>
      <c r="I2733" s="801"/>
      <c r="J2733" s="801"/>
      <c r="K2733" s="801"/>
      <c r="L2733" s="801" t="s">
        <v>1997</v>
      </c>
      <c r="M2733" s="1298">
        <v>1662</v>
      </c>
      <c r="N2733" s="801"/>
      <c r="R2733" s="1634" t="s">
        <v>2186</v>
      </c>
      <c r="T2733" s="1634" t="str">
        <f t="shared" si="375"/>
        <v/>
      </c>
    </row>
    <row r="2734" spans="1:20" s="1632" customFormat="1" x14ac:dyDescent="0.25">
      <c r="A2734" s="1636"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4" t="str">
        <f>IF(T2734&lt;&gt;"","H","")</f>
        <v/>
      </c>
      <c r="H2734" s="1634" t="s">
        <v>1982</v>
      </c>
      <c r="I2734" s="801"/>
      <c r="J2734" s="801"/>
      <c r="K2734" s="801"/>
      <c r="L2734" s="801" t="s">
        <v>1390</v>
      </c>
      <c r="M2734" s="1298">
        <v>1663</v>
      </c>
      <c r="N2734" s="801"/>
      <c r="R2734" s="1634" t="s">
        <v>2186</v>
      </c>
      <c r="T2734" s="1634" t="str">
        <f t="shared" si="375"/>
        <v/>
      </c>
    </row>
    <row r="2735" spans="1:20" s="1632" customFormat="1" x14ac:dyDescent="0.25">
      <c r="A2735" s="1636" t="s">
        <v>1697</v>
      </c>
      <c r="B2735" s="1241" t="str">
        <f>IFERROR(_xlfn.CONCAT("D",('Configurable Tab'!$C$35+1)),"")</f>
        <v>D358</v>
      </c>
      <c r="C2735" s="1241" t="str">
        <f>IFERROR(_xlfn.CONCAT("E",('Configurable Tab'!$C$35+1)),"")</f>
        <v>E358</v>
      </c>
      <c r="D2735" s="801" t="s">
        <v>1343</v>
      </c>
      <c r="E2735" s="801" t="s">
        <v>1734</v>
      </c>
      <c r="F2735" s="1634"/>
      <c r="G2735" s="1634"/>
      <c r="H2735" s="1634"/>
      <c r="I2735" s="1241" t="str">
        <f t="shared" ref="I2735:I2745" si="376">IF(J2735&lt;&gt;"",A2735,"")</f>
        <v/>
      </c>
      <c r="J2735" s="1634" t="str">
        <f t="shared" ref="J2735:J2744" si="377">IFERROR(IF($Q$2725="Yes",Q$1&amp;M2725,""),"")</f>
        <v/>
      </c>
      <c r="K2735" s="1634" t="str">
        <f t="shared" ref="K2735:K2745" si="378">IF(J2735&lt;&gt;"",E2735,"")</f>
        <v/>
      </c>
      <c r="M2735" s="1633"/>
      <c r="Q2735" s="1241" t="str">
        <f>IFERROR(_xlfn.CONCAT("C",('Configurable Tab'!$C35+1)),"")</f>
        <v>C358</v>
      </c>
      <c r="R2735" s="1634" t="s">
        <v>2186</v>
      </c>
    </row>
    <row r="2736" spans="1:20" s="1632" customFormat="1" x14ac:dyDescent="0.25">
      <c r="A2736" s="1636" t="s">
        <v>1376</v>
      </c>
      <c r="B2736" s="1241" t="str">
        <f>IFERROR(_xlfn.CONCAT("D",('Configurable Tab'!$C$35+2)),"")</f>
        <v>D359</v>
      </c>
      <c r="C2736" s="1241" t="str">
        <f>IFERROR(_xlfn.CONCAT("E",('Configurable Tab'!$C$35+2)),"")</f>
        <v>E359</v>
      </c>
      <c r="D2736" s="801" t="s">
        <v>1343</v>
      </c>
      <c r="E2736" s="801" t="s">
        <v>1734</v>
      </c>
      <c r="F2736" s="1634"/>
      <c r="G2736" s="1634"/>
      <c r="H2736" s="1634"/>
      <c r="I2736" s="1241" t="str">
        <f t="shared" si="376"/>
        <v/>
      </c>
      <c r="J2736" s="1634" t="str">
        <f t="shared" si="377"/>
        <v/>
      </c>
      <c r="K2736" s="1634" t="str">
        <f t="shared" si="378"/>
        <v/>
      </c>
      <c r="M2736" s="1633"/>
      <c r="R2736" s="1634" t="s">
        <v>2186</v>
      </c>
    </row>
    <row r="2737" spans="1:20" s="1632" customFormat="1" x14ac:dyDescent="0.25">
      <c r="A2737" s="1636" t="s">
        <v>1374</v>
      </c>
      <c r="B2737" s="1241" t="str">
        <f>IFERROR(_xlfn.CONCAT("I",('Configurable Tab'!$C$35+1)),"")</f>
        <v>I358</v>
      </c>
      <c r="C2737" s="1241" t="str">
        <f>IFERROR(_xlfn.CONCAT("I",('Configurable Tab'!$C$35+2)),"")</f>
        <v>I359</v>
      </c>
      <c r="D2737" s="801" t="s">
        <v>1343</v>
      </c>
      <c r="E2737" s="801" t="s">
        <v>1734</v>
      </c>
      <c r="F2737" s="1634"/>
      <c r="G2737" s="1634"/>
      <c r="H2737" s="1634"/>
      <c r="I2737" s="1241" t="str">
        <f t="shared" si="376"/>
        <v/>
      </c>
      <c r="J2737" s="1634" t="str">
        <f t="shared" si="377"/>
        <v/>
      </c>
      <c r="K2737" s="1634" t="str">
        <f t="shared" si="378"/>
        <v/>
      </c>
      <c r="M2737" s="1633"/>
      <c r="R2737" s="1634" t="s">
        <v>2186</v>
      </c>
    </row>
    <row r="2738" spans="1:20" s="1632" customFormat="1" x14ac:dyDescent="0.25">
      <c r="A2738" s="1636" t="s">
        <v>1375</v>
      </c>
      <c r="B2738" s="1241" t="str">
        <f>IFERROR(_xlfn.CONCAT("M",('Configurable Tab'!$C$35+1)),"")</f>
        <v>M358</v>
      </c>
      <c r="C2738" s="1241" t="str">
        <f>IFERROR(_xlfn.CONCAT("M",('Configurable Tab'!$C$35+2)),"")</f>
        <v>M359</v>
      </c>
      <c r="D2738" s="801" t="s">
        <v>1343</v>
      </c>
      <c r="E2738" s="801" t="s">
        <v>1734</v>
      </c>
      <c r="F2738" s="1634"/>
      <c r="G2738" s="1634"/>
      <c r="H2738" s="1634"/>
      <c r="I2738" s="1241" t="str">
        <f t="shared" si="376"/>
        <v/>
      </c>
      <c r="J2738" s="1634" t="str">
        <f t="shared" si="377"/>
        <v/>
      </c>
      <c r="K2738" s="1634" t="str">
        <f t="shared" si="378"/>
        <v/>
      </c>
      <c r="M2738" s="1633"/>
      <c r="R2738" s="1634" t="s">
        <v>2186</v>
      </c>
    </row>
    <row r="2739" spans="1:20" s="1632" customFormat="1" x14ac:dyDescent="0.25">
      <c r="A2739" s="1636" t="s">
        <v>1378</v>
      </c>
      <c r="B2739" s="1241" t="str">
        <f>IFERROR(_xlfn.CONCAT("D",('Configurable Tab'!$C$35+4)),"")</f>
        <v>D361</v>
      </c>
      <c r="C2739" s="1241" t="str">
        <f>IFERROR(_xlfn.CONCAT("E",('Configurable Tab'!$C$35+4)),"")</f>
        <v>E361</v>
      </c>
      <c r="D2739" s="801" t="s">
        <v>1343</v>
      </c>
      <c r="E2739" s="801" t="s">
        <v>1734</v>
      </c>
      <c r="F2739" s="1634"/>
      <c r="G2739" s="1634"/>
      <c r="H2739" s="1634"/>
      <c r="I2739" s="1241" t="str">
        <f t="shared" si="376"/>
        <v/>
      </c>
      <c r="J2739" s="1634" t="str">
        <f t="shared" si="377"/>
        <v/>
      </c>
      <c r="K2739" s="1634" t="str">
        <f t="shared" si="378"/>
        <v/>
      </c>
      <c r="M2739" s="1633"/>
      <c r="R2739" s="1634" t="s">
        <v>2186</v>
      </c>
    </row>
    <row r="2740" spans="1:20" s="1632" customFormat="1" x14ac:dyDescent="0.25">
      <c r="A2740" s="1636" t="s">
        <v>1379</v>
      </c>
      <c r="B2740" s="1241" t="str">
        <f>IFERROR(_xlfn.CONCAT("D",('Configurable Tab'!$C$35+5)),"")</f>
        <v>D362</v>
      </c>
      <c r="C2740" s="1241" t="str">
        <f>IFERROR(_xlfn.CONCAT("E",('Configurable Tab'!$C$35+5)),"")</f>
        <v>E362</v>
      </c>
      <c r="D2740" s="801" t="s">
        <v>1343</v>
      </c>
      <c r="E2740" s="801" t="s">
        <v>1734</v>
      </c>
      <c r="F2740" s="1634"/>
      <c r="G2740" s="1634"/>
      <c r="H2740" s="1634"/>
      <c r="I2740" s="1241" t="str">
        <f t="shared" si="376"/>
        <v/>
      </c>
      <c r="J2740" s="1634" t="str">
        <f t="shared" si="377"/>
        <v/>
      </c>
      <c r="K2740" s="1634" t="str">
        <f t="shared" si="378"/>
        <v/>
      </c>
      <c r="M2740" s="1633"/>
      <c r="R2740" s="1634" t="s">
        <v>2186</v>
      </c>
    </row>
    <row r="2741" spans="1:20" s="1632" customFormat="1" x14ac:dyDescent="0.25">
      <c r="A2741" s="1636" t="s">
        <v>1389</v>
      </c>
      <c r="B2741" s="1241" t="str">
        <f>IFERROR(_xlfn.CONCAT("G",('Configurable Tab'!$C$35+4)),"")</f>
        <v>G361</v>
      </c>
      <c r="C2741" s="1241" t="str">
        <f>IFERROR(_xlfn.CONCAT("G",('Configurable Tab'!$C$35+5)),"")</f>
        <v>G362</v>
      </c>
      <c r="D2741" s="801" t="s">
        <v>1343</v>
      </c>
      <c r="E2741" s="801" t="s">
        <v>1734</v>
      </c>
      <c r="F2741" s="1634"/>
      <c r="G2741" s="1634"/>
      <c r="H2741" s="1634"/>
      <c r="I2741" s="1241" t="str">
        <f t="shared" si="376"/>
        <v/>
      </c>
      <c r="J2741" s="1634" t="str">
        <f t="shared" si="377"/>
        <v/>
      </c>
      <c r="K2741" s="1634" t="str">
        <f t="shared" si="378"/>
        <v/>
      </c>
      <c r="M2741" s="1633"/>
      <c r="R2741" s="1634" t="s">
        <v>2186</v>
      </c>
    </row>
    <row r="2742" spans="1:20" s="1632" customFormat="1" x14ac:dyDescent="0.25">
      <c r="A2742" s="1636" t="s">
        <v>1996</v>
      </c>
      <c r="B2742" s="1241" t="str">
        <f>IFERROR(_xlfn.CONCAT("G",('Configurable Tab'!$C$35+7)),"")</f>
        <v>G364</v>
      </c>
      <c r="C2742" s="1241" t="str">
        <f>IFERROR(_xlfn.CONCAT("G",('Configurable Tab'!$C$35+8)),"")</f>
        <v>G365</v>
      </c>
      <c r="D2742" s="801" t="s">
        <v>1343</v>
      </c>
      <c r="E2742" s="801" t="s">
        <v>1734</v>
      </c>
      <c r="F2742" s="1634"/>
      <c r="G2742" s="1634"/>
      <c r="H2742" s="1634"/>
      <c r="I2742" s="1241" t="str">
        <f t="shared" si="376"/>
        <v/>
      </c>
      <c r="J2742" s="1634" t="str">
        <f t="shared" si="377"/>
        <v/>
      </c>
      <c r="K2742" s="1634" t="str">
        <f t="shared" si="378"/>
        <v/>
      </c>
      <c r="M2742" s="1633"/>
      <c r="R2742" s="1634" t="s">
        <v>2186</v>
      </c>
    </row>
    <row r="2743" spans="1:20" s="1632" customFormat="1" x14ac:dyDescent="0.25">
      <c r="A2743" s="1636" t="s">
        <v>1474</v>
      </c>
      <c r="B2743" s="1241" t="str">
        <f>IFERROR(_xlfn.CONCAT("K",('Configurable Tab'!$C$35+7)),"")</f>
        <v>K364</v>
      </c>
      <c r="C2743" s="1241" t="str">
        <f>IFERROR(_xlfn.CONCAT("K",('Configurable Tab'!$C$35+8)),"")</f>
        <v>K365</v>
      </c>
      <c r="D2743" s="801" t="s">
        <v>1343</v>
      </c>
      <c r="E2743" s="801" t="s">
        <v>1734</v>
      </c>
      <c r="F2743" s="1634"/>
      <c r="G2743" s="1634"/>
      <c r="H2743" s="1634"/>
      <c r="I2743" s="1241" t="str">
        <f t="shared" si="376"/>
        <v/>
      </c>
      <c r="J2743" s="1634" t="str">
        <f t="shared" si="377"/>
        <v/>
      </c>
      <c r="K2743" s="1634" t="str">
        <f t="shared" si="378"/>
        <v/>
      </c>
      <c r="M2743" s="1633"/>
      <c r="R2743" s="1634" t="s">
        <v>2186</v>
      </c>
    </row>
    <row r="2744" spans="1:20" s="1632" customFormat="1" x14ac:dyDescent="0.25">
      <c r="A2744" s="1636" t="s">
        <v>1390</v>
      </c>
      <c r="B2744" s="1241" t="str">
        <f>IFERROR(_xlfn.CONCAT("K",('Configurable Tab'!$C$35+1)),"")</f>
        <v>K358</v>
      </c>
      <c r="C2744" s="1241" t="str">
        <f>IFERROR(_xlfn.CONCAT("K",('Configurable Tab'!$C$35+2)),"")</f>
        <v>K359</v>
      </c>
      <c r="D2744" s="801" t="s">
        <v>1343</v>
      </c>
      <c r="E2744" s="801" t="s">
        <v>1734</v>
      </c>
      <c r="F2744" s="1634"/>
      <c r="G2744" s="1634"/>
      <c r="H2744" s="1634"/>
      <c r="I2744" s="1241" t="str">
        <f t="shared" si="376"/>
        <v/>
      </c>
      <c r="J2744" s="1634" t="str">
        <f t="shared" si="377"/>
        <v/>
      </c>
      <c r="K2744" s="1634" t="str">
        <f t="shared" si="378"/>
        <v/>
      </c>
      <c r="M2744" s="1633"/>
      <c r="R2744" s="1634" t="s">
        <v>2186</v>
      </c>
    </row>
    <row r="2745" spans="1:20" s="1632" customFormat="1" x14ac:dyDescent="0.25">
      <c r="A2745" s="1636"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4" t="s">
        <v>1488</v>
      </c>
      <c r="G2745" s="1634" t="str">
        <f>IF(T2745&lt;&gt;"","AS","")</f>
        <v/>
      </c>
      <c r="H2745" s="1634" t="s">
        <v>1982</v>
      </c>
      <c r="I2745" s="1241" t="str">
        <f t="shared" si="376"/>
        <v/>
      </c>
      <c r="J2745" s="1634"/>
      <c r="K2745" s="1634" t="str">
        <f t="shared" si="378"/>
        <v/>
      </c>
      <c r="L2745" s="801"/>
      <c r="M2745" s="1635"/>
      <c r="N2745" s="1634"/>
      <c r="R2745" s="1634" t="s">
        <v>2186</v>
      </c>
      <c r="T2745" s="1634" t="str">
        <f t="shared" ref="T2745:T2753" si="379">IF(Q$2725="Yes",48,"")</f>
        <v/>
      </c>
    </row>
    <row r="2746" spans="1:20" s="1632" customFormat="1" x14ac:dyDescent="0.25">
      <c r="A2746" s="1637"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4" t="s">
        <v>1487</v>
      </c>
      <c r="G2746" s="1634" t="str">
        <f>IF(T2746&lt;&gt;"","AN","")</f>
        <v/>
      </c>
      <c r="H2746" s="1634" t="s">
        <v>1982</v>
      </c>
      <c r="I2746" s="1241"/>
      <c r="J2746" s="1634"/>
      <c r="K2746" s="1634"/>
      <c r="L2746" s="801"/>
      <c r="M2746" s="1635"/>
      <c r="N2746" s="1634"/>
      <c r="O2746" s="1526"/>
      <c r="P2746" s="595"/>
      <c r="Q2746" s="595"/>
      <c r="R2746" s="1634" t="s">
        <v>2186</v>
      </c>
      <c r="T2746" s="1634" t="str">
        <f t="shared" si="379"/>
        <v/>
      </c>
    </row>
    <row r="2747" spans="1:20" s="1632" customFormat="1" x14ac:dyDescent="0.25">
      <c r="A2747" s="1637"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4" t="s">
        <v>1484</v>
      </c>
      <c r="G2747" s="1634" t="str">
        <f>IF(T2747&lt;&gt;"","AL","")</f>
        <v/>
      </c>
      <c r="H2747" s="1634" t="s">
        <v>1982</v>
      </c>
      <c r="I2747" s="1241"/>
      <c r="J2747" s="1634"/>
      <c r="K2747" s="1634"/>
      <c r="L2747" s="801"/>
      <c r="M2747" s="1635"/>
      <c r="N2747" s="1634"/>
      <c r="O2747" s="595"/>
      <c r="P2747" s="595"/>
      <c r="Q2747" s="595"/>
      <c r="R2747" s="1634" t="s">
        <v>2186</v>
      </c>
      <c r="T2747" s="1634" t="str">
        <f t="shared" si="379"/>
        <v/>
      </c>
    </row>
    <row r="2748" spans="1:20" s="1632" customFormat="1" x14ac:dyDescent="0.25">
      <c r="A2748" s="1637"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4" t="s">
        <v>1983</v>
      </c>
      <c r="G2748" s="1634" t="str">
        <f>IF(T2748&lt;&gt;"","E","")</f>
        <v/>
      </c>
      <c r="H2748" s="1634" t="s">
        <v>1982</v>
      </c>
      <c r="I2748" s="1241"/>
      <c r="J2748" s="1634"/>
      <c r="K2748" s="1634"/>
      <c r="L2748" s="801"/>
      <c r="M2748" s="1635"/>
      <c r="N2748" s="1634"/>
      <c r="O2748" s="595"/>
      <c r="P2748" s="595"/>
      <c r="Q2748" s="595"/>
      <c r="R2748" s="1634" t="s">
        <v>2186</v>
      </c>
      <c r="T2748" s="1634" t="str">
        <f t="shared" si="379"/>
        <v/>
      </c>
    </row>
    <row r="2749" spans="1:20" s="1632" customFormat="1" x14ac:dyDescent="0.25">
      <c r="A2749" s="1637"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4" t="s">
        <v>1987</v>
      </c>
      <c r="G2749" s="1634" t="str">
        <f>IF(T2749&lt;&gt;"","G","")</f>
        <v/>
      </c>
      <c r="H2749" s="1634" t="s">
        <v>1982</v>
      </c>
      <c r="I2749" s="1241"/>
      <c r="J2749" s="1634"/>
      <c r="K2749" s="1634"/>
      <c r="L2749" s="801"/>
      <c r="M2749" s="1635"/>
      <c r="N2749" s="1634"/>
      <c r="O2749" s="595"/>
      <c r="P2749" s="595"/>
      <c r="Q2749" s="595"/>
      <c r="R2749" s="1634" t="s">
        <v>2186</v>
      </c>
      <c r="T2749" s="1634" t="str">
        <f t="shared" si="379"/>
        <v/>
      </c>
    </row>
    <row r="2750" spans="1:20" s="1632" customFormat="1" x14ac:dyDescent="0.25">
      <c r="A2750" s="1637"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4" t="str">
        <f>IF(T2750&lt;&gt;"","AW","")</f>
        <v/>
      </c>
      <c r="H2750" s="1634" t="s">
        <v>1982</v>
      </c>
      <c r="I2750" s="1241"/>
      <c r="J2750" s="1634"/>
      <c r="K2750" s="1634"/>
      <c r="L2750" s="801"/>
      <c r="M2750" s="1635"/>
      <c r="N2750" s="1634"/>
      <c r="O2750" s="595"/>
      <c r="P2750" s="595"/>
      <c r="Q2750" s="595"/>
      <c r="R2750" s="1634" t="s">
        <v>2186</v>
      </c>
      <c r="T2750" s="1634" t="str">
        <f t="shared" si="379"/>
        <v/>
      </c>
    </row>
    <row r="2751" spans="1:20" s="1632" customFormat="1" x14ac:dyDescent="0.25">
      <c r="A2751" s="1637"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4" t="s">
        <v>1991</v>
      </c>
      <c r="G2751" s="1634" t="str">
        <f>IF(T2751&lt;&gt;"","AB","")</f>
        <v/>
      </c>
      <c r="H2751" s="1634" t="s">
        <v>1982</v>
      </c>
      <c r="I2751" s="1241"/>
      <c r="J2751" s="1634"/>
      <c r="K2751" s="1634"/>
      <c r="L2751" s="801"/>
      <c r="M2751" s="1635"/>
      <c r="N2751" s="1634"/>
      <c r="O2751" s="595"/>
      <c r="P2751" s="595"/>
      <c r="Q2751" s="595"/>
      <c r="R2751" s="1634" t="s">
        <v>2186</v>
      </c>
      <c r="T2751" s="1634" t="str">
        <f t="shared" si="379"/>
        <v/>
      </c>
    </row>
    <row r="2752" spans="1:20" s="1632" customFormat="1" x14ac:dyDescent="0.25">
      <c r="A2752" s="1637"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4" t="s">
        <v>1596</v>
      </c>
      <c r="G2752" s="1634" t="str">
        <f>IF(T2752&lt;&gt;"","AP","")</f>
        <v/>
      </c>
      <c r="H2752" s="1634" t="s">
        <v>1982</v>
      </c>
      <c r="I2752" s="1241"/>
      <c r="J2752" s="1634"/>
      <c r="K2752" s="1634"/>
      <c r="L2752" s="801"/>
      <c r="M2752" s="1635"/>
      <c r="N2752" s="1634"/>
      <c r="O2752" s="595"/>
      <c r="P2752" s="595"/>
      <c r="Q2752" s="595"/>
      <c r="R2752" s="1634" t="s">
        <v>2186</v>
      </c>
      <c r="T2752" s="1634" t="str">
        <f t="shared" si="379"/>
        <v/>
      </c>
    </row>
    <row r="2753" spans="1:20" s="1632" customFormat="1" x14ac:dyDescent="0.25">
      <c r="A2753" s="1637"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4" t="s">
        <v>2126</v>
      </c>
      <c r="G2753" s="1634" t="str">
        <f>IF(T2753&lt;&gt;"","AZ","")</f>
        <v/>
      </c>
      <c r="H2753" s="1634" t="s">
        <v>1982</v>
      </c>
      <c r="I2753" s="1241"/>
      <c r="J2753" s="1634"/>
      <c r="K2753" s="1634"/>
      <c r="L2753" s="801" t="s">
        <v>2126</v>
      </c>
      <c r="M2753" s="1635">
        <v>1664</v>
      </c>
      <c r="N2753" s="1634"/>
      <c r="O2753" s="595"/>
      <c r="P2753" s="595"/>
      <c r="Q2753" s="595"/>
      <c r="R2753" s="1634" t="s">
        <v>2186</v>
      </c>
      <c r="T2753" s="1634" t="str">
        <f t="shared" si="379"/>
        <v/>
      </c>
    </row>
    <row r="2754" spans="1:20" s="1632"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4" t="str">
        <f>IF(T2754&lt;&gt;"","A","")</f>
        <v/>
      </c>
      <c r="H2754" s="1634" t="s">
        <v>1982</v>
      </c>
      <c r="I2754" s="801"/>
      <c r="J2754" s="801"/>
      <c r="K2754" s="801"/>
      <c r="L2754" s="801" t="s">
        <v>1483</v>
      </c>
      <c r="M2754" s="1298">
        <v>1665</v>
      </c>
      <c r="N2754" s="801"/>
      <c r="O2754" s="1632" t="s">
        <v>725</v>
      </c>
      <c r="R2754" s="1634" t="s">
        <v>2187</v>
      </c>
      <c r="T2754" s="1634" t="str">
        <f>IF(Q$2755="Yes",49,"")</f>
        <v/>
      </c>
    </row>
    <row r="2755" spans="1:20" s="1632"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4"/>
      <c r="H2755" s="1634"/>
      <c r="I2755" s="801"/>
      <c r="J2755" s="801"/>
      <c r="K2755" s="801"/>
      <c r="L2755" s="801" t="s">
        <v>1697</v>
      </c>
      <c r="M2755" s="1298">
        <v>1666</v>
      </c>
      <c r="N2755" s="801"/>
      <c r="O2755" s="1632">
        <f>'Configurable Tab'!H51</f>
        <v>685</v>
      </c>
      <c r="P2755" s="18" t="str">
        <f>'Configurable Tab'!J51</f>
        <v>No</v>
      </c>
      <c r="Q2755" s="1632" t="s">
        <v>648</v>
      </c>
      <c r="R2755" s="1634" t="s">
        <v>2187</v>
      </c>
      <c r="T2755" s="1688" t="str">
        <f t="shared" ref="T2755:T2764" si="380">IF(Q$2755="Yes",49,"")</f>
        <v/>
      </c>
    </row>
    <row r="2756" spans="1:20" s="1632"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4" t="str">
        <f>IF(T2756&lt;&gt;"","B","")</f>
        <v/>
      </c>
      <c r="H2756" s="1634" t="s">
        <v>1982</v>
      </c>
      <c r="I2756" s="801"/>
      <c r="J2756" s="801"/>
      <c r="K2756" s="801"/>
      <c r="L2756" s="801" t="s">
        <v>1376</v>
      </c>
      <c r="M2756" s="1298">
        <v>1667</v>
      </c>
      <c r="N2756" s="801"/>
      <c r="O2756" s="1632" t="s">
        <v>726</v>
      </c>
      <c r="R2756" s="1634" t="s">
        <v>2187</v>
      </c>
      <c r="T2756" s="1688" t="str">
        <f t="shared" si="380"/>
        <v/>
      </c>
    </row>
    <row r="2757" spans="1:20" s="1632"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4" t="str">
        <f>IF(T2757&lt;&gt;"","I","")</f>
        <v/>
      </c>
      <c r="H2757" s="1634" t="s">
        <v>1982</v>
      </c>
      <c r="I2757" s="801"/>
      <c r="J2757" s="801"/>
      <c r="K2757" s="801"/>
      <c r="L2757" s="801" t="s">
        <v>1374</v>
      </c>
      <c r="M2757" s="1298">
        <v>1668</v>
      </c>
      <c r="N2757" s="801"/>
      <c r="O2757" s="1632">
        <f>'Configurable Tab'!I51</f>
        <v>698</v>
      </c>
      <c r="R2757" s="1634" t="s">
        <v>2187</v>
      </c>
      <c r="T2757" s="1688" t="str">
        <f t="shared" si="380"/>
        <v/>
      </c>
    </row>
    <row r="2758" spans="1:20" s="1632"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4" t="str">
        <f>IF(T2758&lt;&gt;"",IF(Q2757="Credit Memo","J",IF(Q2757="Check","K","")),"")</f>
        <v/>
      </c>
      <c r="H2758" s="1634" t="s">
        <v>1982</v>
      </c>
      <c r="I2758" s="801"/>
      <c r="J2758" s="801"/>
      <c r="K2758" s="801"/>
      <c r="L2758" s="801" t="s">
        <v>1375</v>
      </c>
      <c r="M2758" s="1298">
        <v>1669</v>
      </c>
      <c r="N2758" s="801"/>
      <c r="O2758" s="1632" t="s">
        <v>2196</v>
      </c>
      <c r="R2758" s="1634" t="s">
        <v>2187</v>
      </c>
      <c r="T2758" s="1688" t="str">
        <f t="shared" si="380"/>
        <v/>
      </c>
    </row>
    <row r="2759" spans="1:20" s="1632"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4" t="str">
        <f>IF(T2759&lt;&gt;"","C","")</f>
        <v/>
      </c>
      <c r="H2759" s="1634" t="s">
        <v>1982</v>
      </c>
      <c r="I2759" s="801"/>
      <c r="J2759" s="801"/>
      <c r="K2759" s="801"/>
      <c r="L2759" s="801" t="s">
        <v>1378</v>
      </c>
      <c r="M2759" s="1298">
        <v>1670</v>
      </c>
      <c r="N2759" s="801"/>
      <c r="R2759" s="1634" t="s">
        <v>2187</v>
      </c>
      <c r="T2759" s="1688" t="str">
        <f t="shared" si="380"/>
        <v/>
      </c>
    </row>
    <row r="2760" spans="1:20" s="1632"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4" t="str">
        <f>IF(T2760&lt;&gt;"","D","")</f>
        <v/>
      </c>
      <c r="H2760" s="1634" t="s">
        <v>1982</v>
      </c>
      <c r="I2760" s="801"/>
      <c r="J2760" s="801"/>
      <c r="K2760" s="801"/>
      <c r="L2760" s="801" t="s">
        <v>1379</v>
      </c>
      <c r="M2760" s="1298">
        <v>1671</v>
      </c>
      <c r="N2760" s="801"/>
      <c r="R2760" s="1634" t="s">
        <v>2187</v>
      </c>
      <c r="T2760" s="1688" t="str">
        <f t="shared" si="380"/>
        <v/>
      </c>
    </row>
    <row r="2761" spans="1:20" s="1632"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4" t="s">
        <v>1389</v>
      </c>
      <c r="G2761" s="1634" t="str">
        <f>IF(T2761&lt;&gt;"","S","")</f>
        <v/>
      </c>
      <c r="H2761" s="1634" t="s">
        <v>1982</v>
      </c>
      <c r="I2761" s="801"/>
      <c r="J2761" s="801"/>
      <c r="K2761" s="801"/>
      <c r="L2761" s="801" t="s">
        <v>1389</v>
      </c>
      <c r="M2761" s="1298">
        <v>1672</v>
      </c>
      <c r="N2761" s="801"/>
      <c r="R2761" s="1634" t="s">
        <v>2187</v>
      </c>
      <c r="T2761" s="1688" t="str">
        <f t="shared" si="380"/>
        <v/>
      </c>
    </row>
    <row r="2762" spans="1:20" s="1632"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4" t="str">
        <f>IF(T2762&lt;&gt;"","AQ","")</f>
        <v/>
      </c>
      <c r="H2762" s="1634" t="s">
        <v>1982</v>
      </c>
      <c r="I2762" s="801"/>
      <c r="J2762" s="801"/>
      <c r="K2762" s="801"/>
      <c r="L2762" s="801" t="s">
        <v>1996</v>
      </c>
      <c r="M2762" s="1298">
        <v>1673</v>
      </c>
      <c r="N2762" s="801"/>
      <c r="R2762" s="1634" t="s">
        <v>2187</v>
      </c>
      <c r="T2762" s="1688" t="str">
        <f t="shared" si="380"/>
        <v/>
      </c>
    </row>
    <row r="2763" spans="1:20" s="1632"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4" t="str">
        <f>IF(T2763&lt;&gt;"","AA","")</f>
        <v/>
      </c>
      <c r="H2763" s="1634" t="s">
        <v>1982</v>
      </c>
      <c r="I2763" s="801"/>
      <c r="J2763" s="801"/>
      <c r="K2763" s="801"/>
      <c r="L2763" s="801" t="s">
        <v>1997</v>
      </c>
      <c r="M2763" s="1298">
        <v>1674</v>
      </c>
      <c r="N2763" s="801"/>
      <c r="R2763" s="1634" t="s">
        <v>2187</v>
      </c>
      <c r="T2763" s="1688" t="str">
        <f t="shared" si="380"/>
        <v/>
      </c>
    </row>
    <row r="2764" spans="1:20" s="1632"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4" t="str">
        <f>IF(T2764&lt;&gt;"","H","")</f>
        <v/>
      </c>
      <c r="H2764" s="1634" t="s">
        <v>1982</v>
      </c>
      <c r="I2764" s="801"/>
      <c r="J2764" s="801"/>
      <c r="K2764" s="801"/>
      <c r="L2764" s="801" t="s">
        <v>1390</v>
      </c>
      <c r="M2764" s="1298">
        <v>1675</v>
      </c>
      <c r="N2764" s="801"/>
      <c r="R2764" s="1634" t="s">
        <v>2187</v>
      </c>
      <c r="T2764" s="1688" t="str">
        <f t="shared" si="380"/>
        <v/>
      </c>
    </row>
    <row r="2765" spans="1:20" s="1632" customFormat="1" x14ac:dyDescent="0.25">
      <c r="A2765" s="818" t="s">
        <v>1697</v>
      </c>
      <c r="B2765" s="1241" t="str">
        <f>IFERROR(_xlfn.CONCAT("D",('Configurable Tab'!$C$36+1)),"")</f>
        <v>D369</v>
      </c>
      <c r="C2765" s="1241" t="str">
        <f>IFERROR(_xlfn.CONCAT("E",('Configurable Tab'!$C$36+1)),"")</f>
        <v>E369</v>
      </c>
      <c r="D2765" s="801" t="s">
        <v>1343</v>
      </c>
      <c r="E2765" s="801" t="s">
        <v>1734</v>
      </c>
      <c r="F2765" s="1634"/>
      <c r="G2765" s="1634"/>
      <c r="H2765" s="1634"/>
      <c r="I2765" s="1241" t="str">
        <f t="shared" ref="I2765:I2775" si="381">IF(J2765&lt;&gt;"",A2765,"")</f>
        <v/>
      </c>
      <c r="J2765" s="1634" t="str">
        <f t="shared" ref="J2765:J2774" si="382">IFERROR(IF($Q$2755="Yes",Q$1&amp;M2755,""),"")</f>
        <v/>
      </c>
      <c r="K2765" s="1634" t="str">
        <f t="shared" ref="K2765:K2775" si="383">IF(J2765&lt;&gt;"",E2765,"")</f>
        <v/>
      </c>
      <c r="M2765" s="1633"/>
      <c r="Q2765" s="1241" t="str">
        <f>IFERROR(_xlfn.CONCAT("C",('Configurable Tab'!$C36+1)),"")</f>
        <v>C369</v>
      </c>
      <c r="R2765" s="1634" t="s">
        <v>2187</v>
      </c>
    </row>
    <row r="2766" spans="1:20" s="1632" customFormat="1" x14ac:dyDescent="0.25">
      <c r="A2766" s="818" t="s">
        <v>1376</v>
      </c>
      <c r="B2766" s="1241" t="str">
        <f>IFERROR(_xlfn.CONCAT("D",('Configurable Tab'!$C$36+2)),"")</f>
        <v>D370</v>
      </c>
      <c r="C2766" s="1241" t="str">
        <f>IFERROR(_xlfn.CONCAT("E",('Configurable Tab'!$C$36+2)),"")</f>
        <v>E370</v>
      </c>
      <c r="D2766" s="801" t="s">
        <v>1343</v>
      </c>
      <c r="E2766" s="801" t="s">
        <v>1734</v>
      </c>
      <c r="F2766" s="1634"/>
      <c r="G2766" s="1634"/>
      <c r="H2766" s="1634"/>
      <c r="I2766" s="1241" t="str">
        <f t="shared" si="381"/>
        <v/>
      </c>
      <c r="J2766" s="1634" t="str">
        <f t="shared" si="382"/>
        <v/>
      </c>
      <c r="K2766" s="1634" t="str">
        <f t="shared" si="383"/>
        <v/>
      </c>
      <c r="M2766" s="1633"/>
      <c r="R2766" s="1634" t="s">
        <v>2187</v>
      </c>
    </row>
    <row r="2767" spans="1:20" s="1632" customFormat="1" x14ac:dyDescent="0.25">
      <c r="A2767" s="818" t="s">
        <v>1374</v>
      </c>
      <c r="B2767" s="1241" t="str">
        <f>IFERROR(_xlfn.CONCAT("I",('Configurable Tab'!$C$36+1)),"")</f>
        <v>I369</v>
      </c>
      <c r="C2767" s="1241" t="str">
        <f>IFERROR(_xlfn.CONCAT("I",('Configurable Tab'!$C$36+2)),"")</f>
        <v>I370</v>
      </c>
      <c r="D2767" s="801" t="s">
        <v>1343</v>
      </c>
      <c r="E2767" s="801" t="s">
        <v>1734</v>
      </c>
      <c r="F2767" s="1634"/>
      <c r="G2767" s="1634"/>
      <c r="H2767" s="1634"/>
      <c r="I2767" s="1241" t="str">
        <f t="shared" si="381"/>
        <v/>
      </c>
      <c r="J2767" s="1634" t="str">
        <f t="shared" si="382"/>
        <v/>
      </c>
      <c r="K2767" s="1634" t="str">
        <f t="shared" si="383"/>
        <v/>
      </c>
      <c r="M2767" s="1633"/>
      <c r="R2767" s="1634" t="s">
        <v>2187</v>
      </c>
    </row>
    <row r="2768" spans="1:20" s="1632" customFormat="1" x14ac:dyDescent="0.25">
      <c r="A2768" s="818" t="s">
        <v>1375</v>
      </c>
      <c r="B2768" s="1241" t="str">
        <f>IFERROR(_xlfn.CONCAT("M",('Configurable Tab'!$C$36+1)),"")</f>
        <v>M369</v>
      </c>
      <c r="C2768" s="1241" t="str">
        <f>IFERROR(_xlfn.CONCAT("M",('Configurable Tab'!$C$36+2)),"")</f>
        <v>M370</v>
      </c>
      <c r="D2768" s="801" t="s">
        <v>1343</v>
      </c>
      <c r="E2768" s="801" t="s">
        <v>1734</v>
      </c>
      <c r="F2768" s="1634"/>
      <c r="G2768" s="1634"/>
      <c r="H2768" s="1634"/>
      <c r="I2768" s="1241" t="str">
        <f t="shared" si="381"/>
        <v/>
      </c>
      <c r="J2768" s="1634" t="str">
        <f t="shared" si="382"/>
        <v/>
      </c>
      <c r="K2768" s="1634" t="str">
        <f t="shared" si="383"/>
        <v/>
      </c>
      <c r="M2768" s="1633"/>
      <c r="R2768" s="1634" t="s">
        <v>2187</v>
      </c>
    </row>
    <row r="2769" spans="1:20" s="1632" customFormat="1" x14ac:dyDescent="0.25">
      <c r="A2769" s="818" t="s">
        <v>1378</v>
      </c>
      <c r="B2769" s="1241" t="str">
        <f>IFERROR(_xlfn.CONCAT("D",('Configurable Tab'!$C$36+4)),"")</f>
        <v>D372</v>
      </c>
      <c r="C2769" s="1241" t="str">
        <f>IFERROR(_xlfn.CONCAT("E",('Configurable Tab'!$C$36+4)),"")</f>
        <v>E372</v>
      </c>
      <c r="D2769" s="801" t="s">
        <v>1343</v>
      </c>
      <c r="E2769" s="801" t="s">
        <v>1734</v>
      </c>
      <c r="F2769" s="1634"/>
      <c r="G2769" s="1634"/>
      <c r="H2769" s="1634"/>
      <c r="I2769" s="1241" t="str">
        <f t="shared" si="381"/>
        <v/>
      </c>
      <c r="J2769" s="1634" t="str">
        <f t="shared" si="382"/>
        <v/>
      </c>
      <c r="K2769" s="1634" t="str">
        <f t="shared" si="383"/>
        <v/>
      </c>
      <c r="M2769" s="1633"/>
      <c r="R2769" s="1634" t="s">
        <v>2187</v>
      </c>
    </row>
    <row r="2770" spans="1:20" s="1632" customFormat="1" x14ac:dyDescent="0.25">
      <c r="A2770" s="818" t="s">
        <v>1379</v>
      </c>
      <c r="B2770" s="1241" t="str">
        <f>IFERROR(_xlfn.CONCAT("D",('Configurable Tab'!$C$36+5)),"")</f>
        <v>D373</v>
      </c>
      <c r="C2770" s="1241" t="str">
        <f>IFERROR(_xlfn.CONCAT("E",('Configurable Tab'!$C$36+5)),"")</f>
        <v>E373</v>
      </c>
      <c r="D2770" s="801" t="s">
        <v>1343</v>
      </c>
      <c r="E2770" s="801" t="s">
        <v>1734</v>
      </c>
      <c r="F2770" s="1634"/>
      <c r="G2770" s="1634"/>
      <c r="H2770" s="1634"/>
      <c r="I2770" s="1241" t="str">
        <f t="shared" si="381"/>
        <v/>
      </c>
      <c r="J2770" s="1634" t="str">
        <f t="shared" si="382"/>
        <v/>
      </c>
      <c r="K2770" s="1634" t="str">
        <f t="shared" si="383"/>
        <v/>
      </c>
      <c r="M2770" s="1633"/>
      <c r="R2770" s="1634" t="s">
        <v>2187</v>
      </c>
    </row>
    <row r="2771" spans="1:20" s="1632" customFormat="1" x14ac:dyDescent="0.25">
      <c r="A2771" s="818" t="s">
        <v>1389</v>
      </c>
      <c r="B2771" s="1241" t="str">
        <f>IFERROR(_xlfn.CONCAT("G",('Configurable Tab'!$C$36+4)),"")</f>
        <v>G372</v>
      </c>
      <c r="C2771" s="1241" t="str">
        <f>IFERROR(_xlfn.CONCAT("G",('Configurable Tab'!$C$36+5)),"")</f>
        <v>G373</v>
      </c>
      <c r="D2771" s="801" t="s">
        <v>1343</v>
      </c>
      <c r="E2771" s="801" t="s">
        <v>1734</v>
      </c>
      <c r="F2771" s="1634"/>
      <c r="G2771" s="1634"/>
      <c r="H2771" s="1634"/>
      <c r="I2771" s="1241" t="str">
        <f t="shared" si="381"/>
        <v/>
      </c>
      <c r="J2771" s="1634" t="str">
        <f t="shared" si="382"/>
        <v/>
      </c>
      <c r="K2771" s="1634" t="str">
        <f t="shared" si="383"/>
        <v/>
      </c>
      <c r="M2771" s="1633"/>
      <c r="R2771" s="1634" t="s">
        <v>2187</v>
      </c>
    </row>
    <row r="2772" spans="1:20" s="1632" customFormat="1" x14ac:dyDescent="0.25">
      <c r="A2772" s="818" t="s">
        <v>1996</v>
      </c>
      <c r="B2772" s="1241" t="str">
        <f>IFERROR(_xlfn.CONCAT("G",('Configurable Tab'!$C$36+7)),"")</f>
        <v>G375</v>
      </c>
      <c r="C2772" s="1241" t="str">
        <f>IFERROR(_xlfn.CONCAT("G",('Configurable Tab'!$C$36+8)),"")</f>
        <v>G376</v>
      </c>
      <c r="D2772" s="801" t="s">
        <v>1343</v>
      </c>
      <c r="E2772" s="801" t="s">
        <v>1734</v>
      </c>
      <c r="F2772" s="1634"/>
      <c r="G2772" s="1634"/>
      <c r="H2772" s="1634"/>
      <c r="I2772" s="1241" t="str">
        <f t="shared" si="381"/>
        <v/>
      </c>
      <c r="J2772" s="1634" t="str">
        <f t="shared" si="382"/>
        <v/>
      </c>
      <c r="K2772" s="1634" t="str">
        <f t="shared" si="383"/>
        <v/>
      </c>
      <c r="M2772" s="1633"/>
      <c r="R2772" s="1634" t="s">
        <v>2187</v>
      </c>
    </row>
    <row r="2773" spans="1:20" s="1632" customFormat="1" x14ac:dyDescent="0.25">
      <c r="A2773" s="818" t="s">
        <v>1474</v>
      </c>
      <c r="B2773" s="1241" t="str">
        <f>IFERROR(_xlfn.CONCAT("K",('Configurable Tab'!$C$36+7)),"")</f>
        <v>K375</v>
      </c>
      <c r="C2773" s="1241" t="str">
        <f>IFERROR(_xlfn.CONCAT("K",('Configurable Tab'!$C$36+8)),"")</f>
        <v>K376</v>
      </c>
      <c r="D2773" s="801" t="s">
        <v>1343</v>
      </c>
      <c r="E2773" s="801" t="s">
        <v>1734</v>
      </c>
      <c r="F2773" s="1634"/>
      <c r="G2773" s="1634"/>
      <c r="H2773" s="1634"/>
      <c r="I2773" s="1241" t="str">
        <f t="shared" si="381"/>
        <v/>
      </c>
      <c r="J2773" s="1634" t="str">
        <f t="shared" si="382"/>
        <v/>
      </c>
      <c r="K2773" s="1634" t="str">
        <f t="shared" si="383"/>
        <v/>
      </c>
      <c r="M2773" s="1633"/>
      <c r="R2773" s="1634" t="s">
        <v>2187</v>
      </c>
    </row>
    <row r="2774" spans="1:20" s="1632" customFormat="1" x14ac:dyDescent="0.25">
      <c r="A2774" s="818" t="s">
        <v>1390</v>
      </c>
      <c r="B2774" s="1241" t="str">
        <f>IFERROR(_xlfn.CONCAT("K",('Configurable Tab'!$C$36+1)),"")</f>
        <v>K369</v>
      </c>
      <c r="C2774" s="1241" t="str">
        <f>IFERROR(_xlfn.CONCAT("K",('Configurable Tab'!$C$36+2)),"")</f>
        <v>K370</v>
      </c>
      <c r="D2774" s="801" t="s">
        <v>1343</v>
      </c>
      <c r="E2774" s="801" t="s">
        <v>1734</v>
      </c>
      <c r="F2774" s="1634"/>
      <c r="G2774" s="1634"/>
      <c r="H2774" s="1634"/>
      <c r="I2774" s="1241" t="str">
        <f t="shared" si="381"/>
        <v/>
      </c>
      <c r="J2774" s="1634" t="str">
        <f t="shared" si="382"/>
        <v/>
      </c>
      <c r="K2774" s="1634" t="str">
        <f t="shared" si="383"/>
        <v/>
      </c>
      <c r="M2774" s="1633"/>
      <c r="R2774" s="1634" t="s">
        <v>2187</v>
      </c>
    </row>
    <row r="2775" spans="1:20" s="1632"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4" t="s">
        <v>1488</v>
      </c>
      <c r="G2775" s="1634" t="str">
        <f>IF(T2775&lt;&gt;"","AS","")</f>
        <v/>
      </c>
      <c r="H2775" s="1634" t="s">
        <v>1982</v>
      </c>
      <c r="I2775" s="1241" t="str">
        <f t="shared" si="381"/>
        <v/>
      </c>
      <c r="J2775" s="1634"/>
      <c r="K2775" s="1634" t="str">
        <f t="shared" si="383"/>
        <v/>
      </c>
      <c r="L2775" s="801"/>
      <c r="M2775" s="1635"/>
      <c r="N2775" s="1634"/>
      <c r="R2775" s="1634" t="s">
        <v>2187</v>
      </c>
      <c r="T2775" s="1634" t="str">
        <f>IF(Q$2755="Yes",49,"")</f>
        <v/>
      </c>
    </row>
    <row r="2776" spans="1:20" s="1632"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4" t="s">
        <v>1487</v>
      </c>
      <c r="G2776" s="1634" t="str">
        <f>IF(T2776&lt;&gt;"","AN","")</f>
        <v/>
      </c>
      <c r="H2776" s="1634" t="s">
        <v>1982</v>
      </c>
      <c r="I2776" s="1241"/>
      <c r="J2776" s="1634"/>
      <c r="K2776" s="1634"/>
      <c r="L2776" s="801"/>
      <c r="M2776" s="1635"/>
      <c r="N2776" s="1634"/>
      <c r="O2776" s="1526"/>
      <c r="P2776" s="595"/>
      <c r="Q2776" s="595"/>
      <c r="R2776" s="1634" t="s">
        <v>2187</v>
      </c>
      <c r="T2776" s="1688" t="str">
        <f t="shared" ref="T2776:T2783" si="384">IF(Q$2755="Yes",49,"")</f>
        <v/>
      </c>
    </row>
    <row r="2777" spans="1:20" s="1632"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4" t="s">
        <v>1484</v>
      </c>
      <c r="G2777" s="1634" t="str">
        <f>IF(T2777&lt;&gt;"","AL","")</f>
        <v/>
      </c>
      <c r="H2777" s="1634" t="s">
        <v>1982</v>
      </c>
      <c r="I2777" s="1241"/>
      <c r="J2777" s="1634"/>
      <c r="K2777" s="1634"/>
      <c r="L2777" s="801"/>
      <c r="M2777" s="1635"/>
      <c r="N2777" s="1634"/>
      <c r="O2777" s="595"/>
      <c r="P2777" s="595"/>
      <c r="Q2777" s="595"/>
      <c r="R2777" s="1634" t="s">
        <v>2187</v>
      </c>
      <c r="T2777" s="1688" t="str">
        <f t="shared" si="384"/>
        <v/>
      </c>
    </row>
    <row r="2778" spans="1:20" s="1632"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4" t="s">
        <v>1983</v>
      </c>
      <c r="G2778" s="1634" t="str">
        <f>IF(T2778&lt;&gt;"","E","")</f>
        <v/>
      </c>
      <c r="H2778" s="1634" t="s">
        <v>1982</v>
      </c>
      <c r="I2778" s="1241"/>
      <c r="J2778" s="1634"/>
      <c r="K2778" s="1634"/>
      <c r="L2778" s="801"/>
      <c r="M2778" s="1635"/>
      <c r="N2778" s="1634"/>
      <c r="O2778" s="595"/>
      <c r="P2778" s="595"/>
      <c r="Q2778" s="595"/>
      <c r="R2778" s="1634" t="s">
        <v>2187</v>
      </c>
      <c r="T2778" s="1688" t="str">
        <f t="shared" si="384"/>
        <v/>
      </c>
    </row>
    <row r="2779" spans="1:20" s="1632"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4" t="s">
        <v>1987</v>
      </c>
      <c r="G2779" s="1634" t="str">
        <f>IF(T2779&lt;&gt;"","G","")</f>
        <v/>
      </c>
      <c r="H2779" s="1634" t="s">
        <v>1982</v>
      </c>
      <c r="I2779" s="1241"/>
      <c r="J2779" s="1634"/>
      <c r="K2779" s="1634"/>
      <c r="L2779" s="801"/>
      <c r="M2779" s="1635"/>
      <c r="N2779" s="1634"/>
      <c r="O2779" s="595"/>
      <c r="P2779" s="595"/>
      <c r="Q2779" s="595"/>
      <c r="R2779" s="1634" t="s">
        <v>2187</v>
      </c>
      <c r="T2779" s="1688" t="str">
        <f t="shared" si="384"/>
        <v/>
      </c>
    </row>
    <row r="2780" spans="1:20" s="1632"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4" t="str">
        <f>IF(T2780&lt;&gt;"","AW","")</f>
        <v/>
      </c>
      <c r="H2780" s="1634" t="s">
        <v>1982</v>
      </c>
      <c r="I2780" s="1241"/>
      <c r="J2780" s="1634"/>
      <c r="K2780" s="1634"/>
      <c r="L2780" s="801"/>
      <c r="M2780" s="1635"/>
      <c r="N2780" s="1634"/>
      <c r="O2780" s="595"/>
      <c r="P2780" s="595"/>
      <c r="Q2780" s="595"/>
      <c r="R2780" s="1634" t="s">
        <v>2187</v>
      </c>
      <c r="T2780" s="1688" t="str">
        <f t="shared" si="384"/>
        <v/>
      </c>
    </row>
    <row r="2781" spans="1:20" s="1632"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4" t="s">
        <v>1991</v>
      </c>
      <c r="G2781" s="1634" t="str">
        <f>IF(T2781&lt;&gt;"","AB","")</f>
        <v/>
      </c>
      <c r="H2781" s="1634" t="s">
        <v>1982</v>
      </c>
      <c r="I2781" s="1241"/>
      <c r="J2781" s="1634"/>
      <c r="K2781" s="1634"/>
      <c r="L2781" s="801"/>
      <c r="M2781" s="1635"/>
      <c r="N2781" s="1634"/>
      <c r="O2781" s="595"/>
      <c r="P2781" s="595"/>
      <c r="Q2781" s="595"/>
      <c r="R2781" s="1634" t="s">
        <v>2187</v>
      </c>
      <c r="T2781" s="1688" t="str">
        <f t="shared" si="384"/>
        <v/>
      </c>
    </row>
    <row r="2782" spans="1:20" s="1632"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4" t="s">
        <v>1596</v>
      </c>
      <c r="G2782" s="1634" t="str">
        <f>IF(T2782&lt;&gt;"","AP","")</f>
        <v/>
      </c>
      <c r="H2782" s="1634" t="s">
        <v>1982</v>
      </c>
      <c r="I2782" s="1241"/>
      <c r="J2782" s="1634"/>
      <c r="K2782" s="1634"/>
      <c r="L2782" s="801"/>
      <c r="M2782" s="1635"/>
      <c r="N2782" s="1634"/>
      <c r="O2782" s="595"/>
      <c r="P2782" s="595"/>
      <c r="Q2782" s="595"/>
      <c r="R2782" s="1634" t="s">
        <v>2187</v>
      </c>
      <c r="T2782" s="1688" t="str">
        <f t="shared" si="384"/>
        <v/>
      </c>
    </row>
    <row r="2783" spans="1:20" s="1632"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4" t="s">
        <v>2126</v>
      </c>
      <c r="G2783" s="1634" t="str">
        <f>IF(T2783&lt;&gt;"","AZ","")</f>
        <v/>
      </c>
      <c r="H2783" s="1634" t="s">
        <v>1982</v>
      </c>
      <c r="I2783" s="1241"/>
      <c r="J2783" s="1634"/>
      <c r="K2783" s="1634"/>
      <c r="L2783" s="801" t="s">
        <v>2126</v>
      </c>
      <c r="M2783" s="1635">
        <v>1676</v>
      </c>
      <c r="N2783" s="1634"/>
      <c r="O2783" s="595"/>
      <c r="P2783" s="595"/>
      <c r="Q2783" s="595"/>
      <c r="R2783" s="1634" t="s">
        <v>2187</v>
      </c>
      <c r="T2783" s="1688" t="str">
        <f t="shared" si="384"/>
        <v/>
      </c>
    </row>
    <row r="2784" spans="1:20" s="1632" customFormat="1" x14ac:dyDescent="0.25">
      <c r="A2784" s="1636"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4" t="str">
        <f>IF(T2784&lt;&gt;"","A","")</f>
        <v/>
      </c>
      <c r="H2784" s="1634" t="s">
        <v>1982</v>
      </c>
      <c r="I2784" s="801"/>
      <c r="J2784" s="801"/>
      <c r="K2784" s="801"/>
      <c r="L2784" s="801" t="s">
        <v>1483</v>
      </c>
      <c r="M2784" s="1298">
        <v>1677</v>
      </c>
      <c r="N2784" s="801"/>
      <c r="O2784" s="1632" t="s">
        <v>725</v>
      </c>
      <c r="R2784" s="1634" t="s">
        <v>2188</v>
      </c>
      <c r="T2784" s="1634" t="str">
        <f>IF(Q$2785="Yes",50,"")</f>
        <v/>
      </c>
    </row>
    <row r="2785" spans="1:20" s="1632" customFormat="1" x14ac:dyDescent="0.25">
      <c r="A2785" s="1636"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4"/>
      <c r="H2785" s="1634"/>
      <c r="I2785" s="801"/>
      <c r="J2785" s="801"/>
      <c r="K2785" s="801"/>
      <c r="L2785" s="801" t="s">
        <v>1697</v>
      </c>
      <c r="M2785" s="1298">
        <v>1678</v>
      </c>
      <c r="N2785" s="801"/>
      <c r="O2785" s="1632">
        <f>'Configurable Tab'!H52</f>
        <v>699</v>
      </c>
      <c r="P2785" s="18" t="str">
        <f>'Configurable Tab'!J52</f>
        <v>No</v>
      </c>
      <c r="Q2785" s="1632" t="s">
        <v>648</v>
      </c>
      <c r="R2785" s="1634" t="s">
        <v>2188</v>
      </c>
      <c r="T2785" s="1688" t="str">
        <f t="shared" ref="T2785:T2794" si="385">IF(Q$2785="Yes",50,"")</f>
        <v/>
      </c>
    </row>
    <row r="2786" spans="1:20" s="1632" customFormat="1" x14ac:dyDescent="0.25">
      <c r="A2786" s="1636"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4" t="str">
        <f>IF(T2786&lt;&gt;"","B","")</f>
        <v/>
      </c>
      <c r="H2786" s="1634" t="s">
        <v>1982</v>
      </c>
      <c r="I2786" s="801"/>
      <c r="J2786" s="801"/>
      <c r="K2786" s="801"/>
      <c r="L2786" s="801" t="s">
        <v>1376</v>
      </c>
      <c r="M2786" s="1298">
        <v>1679</v>
      </c>
      <c r="N2786" s="801"/>
      <c r="O2786" s="1632" t="s">
        <v>726</v>
      </c>
      <c r="R2786" s="1634" t="s">
        <v>2188</v>
      </c>
      <c r="T2786" s="1688" t="str">
        <f t="shared" si="385"/>
        <v/>
      </c>
    </row>
    <row r="2787" spans="1:20" s="1632" customFormat="1" x14ac:dyDescent="0.25">
      <c r="A2787" s="1636"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4" t="str">
        <f>IF(T2787&lt;&gt;"","I","")</f>
        <v/>
      </c>
      <c r="H2787" s="1634" t="s">
        <v>1982</v>
      </c>
      <c r="I2787" s="801"/>
      <c r="J2787" s="801"/>
      <c r="K2787" s="801"/>
      <c r="L2787" s="801" t="s">
        <v>1374</v>
      </c>
      <c r="M2787" s="1298">
        <v>1680</v>
      </c>
      <c r="N2787" s="801"/>
      <c r="O2787" s="1632">
        <f>'Configurable Tab'!I52</f>
        <v>712</v>
      </c>
      <c r="R2787" s="1634" t="s">
        <v>2188</v>
      </c>
      <c r="T2787" s="1688" t="str">
        <f t="shared" si="385"/>
        <v/>
      </c>
    </row>
    <row r="2788" spans="1:20" s="1632" customFormat="1" x14ac:dyDescent="0.25">
      <c r="A2788" s="1636"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4" t="str">
        <f>IF(T2788&lt;&gt;"",IF(Q2787="Credit Memo","J",IF(Q2787="Check","K","")),"")</f>
        <v/>
      </c>
      <c r="H2788" s="1634" t="s">
        <v>1982</v>
      </c>
      <c r="I2788" s="801"/>
      <c r="J2788" s="801"/>
      <c r="K2788" s="801"/>
      <c r="L2788" s="801" t="s">
        <v>1375</v>
      </c>
      <c r="M2788" s="1298">
        <v>1681</v>
      </c>
      <c r="N2788" s="801"/>
      <c r="O2788" s="1632" t="s">
        <v>2197</v>
      </c>
      <c r="R2788" s="1634" t="s">
        <v>2188</v>
      </c>
      <c r="T2788" s="1688" t="str">
        <f t="shared" si="385"/>
        <v/>
      </c>
    </row>
    <row r="2789" spans="1:20" s="1632" customFormat="1" x14ac:dyDescent="0.25">
      <c r="A2789" s="1636"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4" t="str">
        <f>IF(T2789&lt;&gt;"","C","")</f>
        <v/>
      </c>
      <c r="H2789" s="1634" t="s">
        <v>1982</v>
      </c>
      <c r="I2789" s="801"/>
      <c r="J2789" s="801"/>
      <c r="K2789" s="801"/>
      <c r="L2789" s="801" t="s">
        <v>1378</v>
      </c>
      <c r="M2789" s="1298">
        <v>1682</v>
      </c>
      <c r="N2789" s="801"/>
      <c r="R2789" s="1634" t="s">
        <v>2188</v>
      </c>
      <c r="T2789" s="1688" t="str">
        <f t="shared" si="385"/>
        <v/>
      </c>
    </row>
    <row r="2790" spans="1:20" s="1632" customFormat="1" x14ac:dyDescent="0.25">
      <c r="A2790" s="1636"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4" t="str">
        <f>IF(T2790&lt;&gt;"","D","")</f>
        <v/>
      </c>
      <c r="H2790" s="1634" t="s">
        <v>1982</v>
      </c>
      <c r="I2790" s="801"/>
      <c r="J2790" s="801"/>
      <c r="K2790" s="801"/>
      <c r="L2790" s="801" t="s">
        <v>1379</v>
      </c>
      <c r="M2790" s="1298">
        <v>1683</v>
      </c>
      <c r="N2790" s="801"/>
      <c r="R2790" s="1634" t="s">
        <v>2188</v>
      </c>
      <c r="T2790" s="1688" t="str">
        <f t="shared" si="385"/>
        <v/>
      </c>
    </row>
    <row r="2791" spans="1:20" s="1632" customFormat="1" x14ac:dyDescent="0.25">
      <c r="A2791" s="1636"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4" t="s">
        <v>1389</v>
      </c>
      <c r="G2791" s="1634" t="str">
        <f>IF(T2791&lt;&gt;"","S","")</f>
        <v/>
      </c>
      <c r="H2791" s="1634" t="s">
        <v>1982</v>
      </c>
      <c r="I2791" s="801"/>
      <c r="J2791" s="801"/>
      <c r="K2791" s="801"/>
      <c r="L2791" s="801" t="s">
        <v>1389</v>
      </c>
      <c r="M2791" s="1298">
        <v>1684</v>
      </c>
      <c r="N2791" s="801"/>
      <c r="R2791" s="1634" t="s">
        <v>2188</v>
      </c>
      <c r="T2791" s="1688" t="str">
        <f t="shared" si="385"/>
        <v/>
      </c>
    </row>
    <row r="2792" spans="1:20" s="1632" customFormat="1" x14ac:dyDescent="0.25">
      <c r="A2792" s="1636"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4" t="str">
        <f>IF(T2792&lt;&gt;"","AQ","")</f>
        <v/>
      </c>
      <c r="H2792" s="1634" t="s">
        <v>1982</v>
      </c>
      <c r="I2792" s="801"/>
      <c r="J2792" s="801"/>
      <c r="K2792" s="801"/>
      <c r="L2792" s="801" t="s">
        <v>1996</v>
      </c>
      <c r="M2792" s="1298">
        <v>1685</v>
      </c>
      <c r="N2792" s="801"/>
      <c r="R2792" s="1634" t="s">
        <v>2188</v>
      </c>
      <c r="T2792" s="1688" t="str">
        <f t="shared" si="385"/>
        <v/>
      </c>
    </row>
    <row r="2793" spans="1:20" s="1632" customFormat="1" x14ac:dyDescent="0.25">
      <c r="A2793" s="1636"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4" t="str">
        <f>IF(T2793&lt;&gt;"","AA","")</f>
        <v/>
      </c>
      <c r="H2793" s="1634" t="s">
        <v>1982</v>
      </c>
      <c r="I2793" s="801"/>
      <c r="J2793" s="801"/>
      <c r="K2793" s="801"/>
      <c r="L2793" s="801" t="s">
        <v>1997</v>
      </c>
      <c r="M2793" s="1298">
        <v>1686</v>
      </c>
      <c r="N2793" s="801"/>
      <c r="R2793" s="1634" t="s">
        <v>2188</v>
      </c>
      <c r="T2793" s="1688" t="str">
        <f t="shared" si="385"/>
        <v/>
      </c>
    </row>
    <row r="2794" spans="1:20" s="1632" customFormat="1" x14ac:dyDescent="0.25">
      <c r="A2794" s="1636"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4" t="str">
        <f>IF(T2794&lt;&gt;"","H","")</f>
        <v/>
      </c>
      <c r="H2794" s="1634" t="s">
        <v>1982</v>
      </c>
      <c r="I2794" s="801"/>
      <c r="J2794" s="801"/>
      <c r="K2794" s="801"/>
      <c r="L2794" s="801" t="s">
        <v>1390</v>
      </c>
      <c r="M2794" s="1298">
        <v>1687</v>
      </c>
      <c r="N2794" s="801"/>
      <c r="R2794" s="1634" t="s">
        <v>2188</v>
      </c>
      <c r="T2794" s="1688" t="str">
        <f t="shared" si="385"/>
        <v/>
      </c>
    </row>
    <row r="2795" spans="1:20" s="1632" customFormat="1" x14ac:dyDescent="0.25">
      <c r="A2795" s="1636" t="s">
        <v>1697</v>
      </c>
      <c r="B2795" s="1241" t="str">
        <f>IFERROR(_xlfn.CONCAT("D",('Configurable Tab'!$C$37+1)),"")</f>
        <v>D380</v>
      </c>
      <c r="C2795" s="1241" t="str">
        <f>IFERROR(_xlfn.CONCAT("E",('Configurable Tab'!$C$37+1)),"")</f>
        <v>E380</v>
      </c>
      <c r="D2795" s="801" t="s">
        <v>1343</v>
      </c>
      <c r="E2795" s="801" t="s">
        <v>1734</v>
      </c>
      <c r="F2795" s="1634"/>
      <c r="G2795" s="1634"/>
      <c r="H2795" s="1634"/>
      <c r="I2795" s="1241" t="str">
        <f t="shared" ref="I2795:I2805" si="386">IF(J2795&lt;&gt;"",A2795,"")</f>
        <v/>
      </c>
      <c r="J2795" s="1634" t="str">
        <f t="shared" ref="J2795:J2804" si="387">IFERROR(IF($Q$2785="Yes",Q$1&amp;M2785,""),"")</f>
        <v/>
      </c>
      <c r="K2795" s="1634" t="str">
        <f t="shared" ref="K2795:K2805" si="388">IF(J2795&lt;&gt;"",E2795,"")</f>
        <v/>
      </c>
      <c r="M2795" s="1633"/>
      <c r="Q2795" s="1241" t="str">
        <f>IFERROR(_xlfn.CONCAT("C",('Configurable Tab'!$C37+1)),"")</f>
        <v>C380</v>
      </c>
      <c r="R2795" s="1634" t="s">
        <v>2188</v>
      </c>
    </row>
    <row r="2796" spans="1:20" s="1632" customFormat="1" x14ac:dyDescent="0.25">
      <c r="A2796" s="1636" t="s">
        <v>1376</v>
      </c>
      <c r="B2796" s="1241" t="str">
        <f>IFERROR(_xlfn.CONCAT("D",('Configurable Tab'!$C$37+2)),"")</f>
        <v>D381</v>
      </c>
      <c r="C2796" s="1241" t="str">
        <f>IFERROR(_xlfn.CONCAT("E",('Configurable Tab'!$C$37+2)),"")</f>
        <v>E381</v>
      </c>
      <c r="D2796" s="801" t="s">
        <v>1343</v>
      </c>
      <c r="E2796" s="801" t="s">
        <v>1734</v>
      </c>
      <c r="F2796" s="1634"/>
      <c r="G2796" s="1634"/>
      <c r="H2796" s="1634"/>
      <c r="I2796" s="1241" t="str">
        <f t="shared" si="386"/>
        <v/>
      </c>
      <c r="J2796" s="1634" t="str">
        <f t="shared" si="387"/>
        <v/>
      </c>
      <c r="K2796" s="1634" t="str">
        <f t="shared" si="388"/>
        <v/>
      </c>
      <c r="M2796" s="1633"/>
      <c r="R2796" s="1634" t="s">
        <v>2188</v>
      </c>
    </row>
    <row r="2797" spans="1:20" s="1632" customFormat="1" x14ac:dyDescent="0.25">
      <c r="A2797" s="1636" t="s">
        <v>1374</v>
      </c>
      <c r="B2797" s="1241" t="str">
        <f>IFERROR(_xlfn.CONCAT("I",('Configurable Tab'!$C$37+1)),"")</f>
        <v>I380</v>
      </c>
      <c r="C2797" s="1241" t="str">
        <f>IFERROR(_xlfn.CONCAT("I",('Configurable Tab'!$C$37+2)),"")</f>
        <v>I381</v>
      </c>
      <c r="D2797" s="801" t="s">
        <v>1343</v>
      </c>
      <c r="E2797" s="801" t="s">
        <v>1734</v>
      </c>
      <c r="F2797" s="1634"/>
      <c r="G2797" s="1634"/>
      <c r="H2797" s="1634"/>
      <c r="I2797" s="1241" t="str">
        <f t="shared" si="386"/>
        <v/>
      </c>
      <c r="J2797" s="1634" t="str">
        <f t="shared" si="387"/>
        <v/>
      </c>
      <c r="K2797" s="1634" t="str">
        <f t="shared" si="388"/>
        <v/>
      </c>
      <c r="M2797" s="1633"/>
      <c r="R2797" s="1634" t="s">
        <v>2188</v>
      </c>
    </row>
    <row r="2798" spans="1:20" s="1632" customFormat="1" x14ac:dyDescent="0.25">
      <c r="A2798" s="1636" t="s">
        <v>1375</v>
      </c>
      <c r="B2798" s="1241" t="str">
        <f>IFERROR(_xlfn.CONCAT("M",('Configurable Tab'!$C$37+1)),"")</f>
        <v>M380</v>
      </c>
      <c r="C2798" s="1241" t="str">
        <f>IFERROR(_xlfn.CONCAT("M",('Configurable Tab'!$C$37+2)),"")</f>
        <v>M381</v>
      </c>
      <c r="D2798" s="801" t="s">
        <v>1343</v>
      </c>
      <c r="E2798" s="801" t="s">
        <v>1734</v>
      </c>
      <c r="F2798" s="1634"/>
      <c r="G2798" s="1634"/>
      <c r="H2798" s="1634"/>
      <c r="I2798" s="1241" t="str">
        <f t="shared" si="386"/>
        <v/>
      </c>
      <c r="J2798" s="1634" t="str">
        <f t="shared" si="387"/>
        <v/>
      </c>
      <c r="K2798" s="1634" t="str">
        <f t="shared" si="388"/>
        <v/>
      </c>
      <c r="M2798" s="1633"/>
      <c r="R2798" s="1634" t="s">
        <v>2188</v>
      </c>
    </row>
    <row r="2799" spans="1:20" s="1632" customFormat="1" x14ac:dyDescent="0.25">
      <c r="A2799" s="1636" t="s">
        <v>1378</v>
      </c>
      <c r="B2799" s="1241" t="str">
        <f>IFERROR(_xlfn.CONCAT("D",('Configurable Tab'!$C$37+4)),"")</f>
        <v>D383</v>
      </c>
      <c r="C2799" s="1241" t="str">
        <f>IFERROR(_xlfn.CONCAT("E",('Configurable Tab'!$C$37+4)),"")</f>
        <v>E383</v>
      </c>
      <c r="D2799" s="801" t="s">
        <v>1343</v>
      </c>
      <c r="E2799" s="801" t="s">
        <v>1734</v>
      </c>
      <c r="F2799" s="1634"/>
      <c r="G2799" s="1634"/>
      <c r="H2799" s="1634"/>
      <c r="I2799" s="1241" t="str">
        <f t="shared" si="386"/>
        <v/>
      </c>
      <c r="J2799" s="1634" t="str">
        <f t="shared" si="387"/>
        <v/>
      </c>
      <c r="K2799" s="1634" t="str">
        <f t="shared" si="388"/>
        <v/>
      </c>
      <c r="M2799" s="1633"/>
      <c r="R2799" s="1634" t="s">
        <v>2188</v>
      </c>
    </row>
    <row r="2800" spans="1:20" s="1632" customFormat="1" x14ac:dyDescent="0.25">
      <c r="A2800" s="1636" t="s">
        <v>1379</v>
      </c>
      <c r="B2800" s="1241" t="str">
        <f>IFERROR(_xlfn.CONCAT("D",('Configurable Tab'!$C$37+5)),"")</f>
        <v>D384</v>
      </c>
      <c r="C2800" s="1241" t="str">
        <f>IFERROR(_xlfn.CONCAT("E",('Configurable Tab'!$C$37+5)),"")</f>
        <v>E384</v>
      </c>
      <c r="D2800" s="801" t="s">
        <v>1343</v>
      </c>
      <c r="E2800" s="801" t="s">
        <v>1734</v>
      </c>
      <c r="F2800" s="1634"/>
      <c r="G2800" s="1634"/>
      <c r="H2800" s="1634"/>
      <c r="I2800" s="1241" t="str">
        <f t="shared" si="386"/>
        <v/>
      </c>
      <c r="J2800" s="1634" t="str">
        <f t="shared" si="387"/>
        <v/>
      </c>
      <c r="K2800" s="1634" t="str">
        <f t="shared" si="388"/>
        <v/>
      </c>
      <c r="M2800" s="1633"/>
      <c r="R2800" s="1634" t="s">
        <v>2188</v>
      </c>
    </row>
    <row r="2801" spans="1:20" s="1632" customFormat="1" x14ac:dyDescent="0.25">
      <c r="A2801" s="1636" t="s">
        <v>1389</v>
      </c>
      <c r="B2801" s="1241" t="str">
        <f>IFERROR(_xlfn.CONCAT("G",('Configurable Tab'!$C$37+4)),"")</f>
        <v>G383</v>
      </c>
      <c r="C2801" s="1241" t="str">
        <f>IFERROR(_xlfn.CONCAT("G",('Configurable Tab'!$C$37+5)),"")</f>
        <v>G384</v>
      </c>
      <c r="D2801" s="801" t="s">
        <v>1343</v>
      </c>
      <c r="E2801" s="801" t="s">
        <v>1734</v>
      </c>
      <c r="F2801" s="1634"/>
      <c r="G2801" s="1634"/>
      <c r="H2801" s="1634"/>
      <c r="I2801" s="1241" t="str">
        <f t="shared" si="386"/>
        <v/>
      </c>
      <c r="J2801" s="1634" t="str">
        <f t="shared" si="387"/>
        <v/>
      </c>
      <c r="K2801" s="1634" t="str">
        <f t="shared" si="388"/>
        <v/>
      </c>
      <c r="M2801" s="1633"/>
      <c r="R2801" s="1634" t="s">
        <v>2188</v>
      </c>
    </row>
    <row r="2802" spans="1:20" s="1632" customFormat="1" x14ac:dyDescent="0.25">
      <c r="A2802" s="1636" t="s">
        <v>1996</v>
      </c>
      <c r="B2802" s="1241" t="str">
        <f>IFERROR(_xlfn.CONCAT("G",('Configurable Tab'!$C$37+7)),"")</f>
        <v>G386</v>
      </c>
      <c r="C2802" s="1241" t="str">
        <f>IFERROR(_xlfn.CONCAT("G",('Configurable Tab'!$C$37+8)),"")</f>
        <v>G387</v>
      </c>
      <c r="D2802" s="801" t="s">
        <v>1343</v>
      </c>
      <c r="E2802" s="801" t="s">
        <v>1734</v>
      </c>
      <c r="F2802" s="1634"/>
      <c r="G2802" s="1634"/>
      <c r="H2802" s="1634"/>
      <c r="I2802" s="1241" t="str">
        <f t="shared" si="386"/>
        <v/>
      </c>
      <c r="J2802" s="1634" t="str">
        <f t="shared" si="387"/>
        <v/>
      </c>
      <c r="K2802" s="1634" t="str">
        <f t="shared" si="388"/>
        <v/>
      </c>
      <c r="M2802" s="1633"/>
      <c r="R2802" s="1634" t="s">
        <v>2188</v>
      </c>
    </row>
    <row r="2803" spans="1:20" s="1632" customFormat="1" x14ac:dyDescent="0.25">
      <c r="A2803" s="1636" t="s">
        <v>1474</v>
      </c>
      <c r="B2803" s="1241" t="str">
        <f>IFERROR(_xlfn.CONCAT("K",('Configurable Tab'!$C$37+7)),"")</f>
        <v>K386</v>
      </c>
      <c r="C2803" s="1241" t="str">
        <f>IFERROR(_xlfn.CONCAT("K",('Configurable Tab'!$C$37+8)),"")</f>
        <v>K387</v>
      </c>
      <c r="D2803" s="801" t="s">
        <v>1343</v>
      </c>
      <c r="E2803" s="801" t="s">
        <v>1734</v>
      </c>
      <c r="F2803" s="1634"/>
      <c r="G2803" s="1634"/>
      <c r="H2803" s="1634"/>
      <c r="I2803" s="1241" t="str">
        <f t="shared" si="386"/>
        <v/>
      </c>
      <c r="J2803" s="1634" t="str">
        <f t="shared" si="387"/>
        <v/>
      </c>
      <c r="K2803" s="1634" t="str">
        <f t="shared" si="388"/>
        <v/>
      </c>
      <c r="M2803" s="1633"/>
      <c r="R2803" s="1634" t="s">
        <v>2188</v>
      </c>
    </row>
    <row r="2804" spans="1:20" s="1632" customFormat="1" x14ac:dyDescent="0.25">
      <c r="A2804" s="1636" t="s">
        <v>1390</v>
      </c>
      <c r="B2804" s="1241" t="str">
        <f>IFERROR(_xlfn.CONCAT("K",('Configurable Tab'!$C$37+1)),"")</f>
        <v>K380</v>
      </c>
      <c r="C2804" s="1241" t="str">
        <f>IFERROR(_xlfn.CONCAT("K",('Configurable Tab'!$C$37+2)),"")</f>
        <v>K381</v>
      </c>
      <c r="D2804" s="801" t="s">
        <v>1343</v>
      </c>
      <c r="E2804" s="801" t="s">
        <v>1734</v>
      </c>
      <c r="F2804" s="1634"/>
      <c r="G2804" s="1634"/>
      <c r="H2804" s="1634"/>
      <c r="I2804" s="1241" t="str">
        <f t="shared" si="386"/>
        <v/>
      </c>
      <c r="J2804" s="1634" t="str">
        <f t="shared" si="387"/>
        <v/>
      </c>
      <c r="K2804" s="1634" t="str">
        <f t="shared" si="388"/>
        <v/>
      </c>
      <c r="M2804" s="1633"/>
      <c r="R2804" s="1634" t="s">
        <v>2188</v>
      </c>
    </row>
    <row r="2805" spans="1:20" s="1632" customFormat="1" x14ac:dyDescent="0.25">
      <c r="A2805" s="1636"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4" t="s">
        <v>1488</v>
      </c>
      <c r="G2805" s="1634" t="str">
        <f>IF(T2805&lt;&gt;"","AS","")</f>
        <v/>
      </c>
      <c r="H2805" s="1634" t="s">
        <v>1982</v>
      </c>
      <c r="I2805" s="1241" t="str">
        <f t="shared" si="386"/>
        <v/>
      </c>
      <c r="J2805" s="1634"/>
      <c r="K2805" s="1634" t="str">
        <f t="shared" si="388"/>
        <v/>
      </c>
      <c r="L2805" s="801"/>
      <c r="M2805" s="1635"/>
      <c r="N2805" s="1634"/>
      <c r="R2805" s="1634" t="s">
        <v>2188</v>
      </c>
      <c r="T2805" s="1634" t="str">
        <f>IF(Q$2785="Yes",50,"")</f>
        <v/>
      </c>
    </row>
    <row r="2806" spans="1:20" s="1632" customFormat="1" x14ac:dyDescent="0.25">
      <c r="A2806" s="1637"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4" t="s">
        <v>1487</v>
      </c>
      <c r="G2806" s="1634" t="str">
        <f>IF(T2806&lt;&gt;"","AN","")</f>
        <v/>
      </c>
      <c r="H2806" s="1634" t="s">
        <v>1982</v>
      </c>
      <c r="I2806" s="1241"/>
      <c r="J2806" s="1634"/>
      <c r="K2806" s="1634"/>
      <c r="L2806" s="801"/>
      <c r="M2806" s="1635"/>
      <c r="N2806" s="1634"/>
      <c r="O2806" s="1526"/>
      <c r="P2806" s="595"/>
      <c r="Q2806" s="595"/>
      <c r="R2806" s="1634" t="s">
        <v>2188</v>
      </c>
      <c r="T2806" s="1688" t="str">
        <f t="shared" ref="T2806:T2813" si="389">IF(Q$2785="Yes",50,"")</f>
        <v/>
      </c>
    </row>
    <row r="2807" spans="1:20" s="1632" customFormat="1" x14ac:dyDescent="0.25">
      <c r="A2807" s="1637"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4" t="s">
        <v>1484</v>
      </c>
      <c r="G2807" s="1634" t="str">
        <f>IF(T2807&lt;&gt;"","AL","")</f>
        <v/>
      </c>
      <c r="H2807" s="1634" t="s">
        <v>1982</v>
      </c>
      <c r="I2807" s="1241"/>
      <c r="J2807" s="1634"/>
      <c r="K2807" s="1634"/>
      <c r="L2807" s="801"/>
      <c r="M2807" s="1635"/>
      <c r="N2807" s="1634"/>
      <c r="O2807" s="595"/>
      <c r="P2807" s="595"/>
      <c r="Q2807" s="595"/>
      <c r="R2807" s="1634" t="s">
        <v>2188</v>
      </c>
      <c r="T2807" s="1688" t="str">
        <f t="shared" si="389"/>
        <v/>
      </c>
    </row>
    <row r="2808" spans="1:20" s="1632" customFormat="1" x14ac:dyDescent="0.25">
      <c r="A2808" s="1637"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4" t="s">
        <v>1983</v>
      </c>
      <c r="G2808" s="1634" t="str">
        <f>IF(T2808&lt;&gt;"","E","")</f>
        <v/>
      </c>
      <c r="H2808" s="1634" t="s">
        <v>1982</v>
      </c>
      <c r="I2808" s="1241"/>
      <c r="J2808" s="1634"/>
      <c r="K2808" s="1634"/>
      <c r="L2808" s="801"/>
      <c r="M2808" s="1635"/>
      <c r="N2808" s="1634"/>
      <c r="O2808" s="595"/>
      <c r="P2808" s="595"/>
      <c r="Q2808" s="595"/>
      <c r="R2808" s="1634" t="s">
        <v>2188</v>
      </c>
      <c r="T2808" s="1688" t="str">
        <f t="shared" si="389"/>
        <v/>
      </c>
    </row>
    <row r="2809" spans="1:20" s="1632" customFormat="1" x14ac:dyDescent="0.25">
      <c r="A2809" s="1637"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4" t="s">
        <v>1987</v>
      </c>
      <c r="G2809" s="1634" t="str">
        <f>IF(T2809&lt;&gt;"","G","")</f>
        <v/>
      </c>
      <c r="H2809" s="1634" t="s">
        <v>1982</v>
      </c>
      <c r="I2809" s="1241"/>
      <c r="J2809" s="1634"/>
      <c r="K2809" s="1634"/>
      <c r="L2809" s="801"/>
      <c r="M2809" s="1635"/>
      <c r="N2809" s="1634"/>
      <c r="O2809" s="595"/>
      <c r="P2809" s="595"/>
      <c r="Q2809" s="595"/>
      <c r="R2809" s="1634" t="s">
        <v>2188</v>
      </c>
      <c r="T2809" s="1688" t="str">
        <f t="shared" si="389"/>
        <v/>
      </c>
    </row>
    <row r="2810" spans="1:20" s="1632" customFormat="1" x14ac:dyDescent="0.25">
      <c r="A2810" s="1637"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4" t="str">
        <f>IF(T2810&lt;&gt;"","AW","")</f>
        <v/>
      </c>
      <c r="H2810" s="1634" t="s">
        <v>1982</v>
      </c>
      <c r="I2810" s="1241"/>
      <c r="J2810" s="1634"/>
      <c r="K2810" s="1634"/>
      <c r="L2810" s="801"/>
      <c r="M2810" s="1635"/>
      <c r="N2810" s="1634"/>
      <c r="O2810" s="595"/>
      <c r="P2810" s="595"/>
      <c r="Q2810" s="595"/>
      <c r="R2810" s="1634" t="s">
        <v>2188</v>
      </c>
      <c r="T2810" s="1688" t="str">
        <f t="shared" si="389"/>
        <v/>
      </c>
    </row>
    <row r="2811" spans="1:20" s="1632" customFormat="1" x14ac:dyDescent="0.25">
      <c r="A2811" s="1637"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4" t="s">
        <v>1991</v>
      </c>
      <c r="G2811" s="1634" t="str">
        <f>IF(T2811&lt;&gt;"","AB","")</f>
        <v/>
      </c>
      <c r="H2811" s="1634" t="s">
        <v>1982</v>
      </c>
      <c r="I2811" s="1241"/>
      <c r="J2811" s="1634"/>
      <c r="K2811" s="1634"/>
      <c r="L2811" s="801"/>
      <c r="M2811" s="1635"/>
      <c r="N2811" s="1634"/>
      <c r="O2811" s="595"/>
      <c r="P2811" s="595"/>
      <c r="Q2811" s="595"/>
      <c r="R2811" s="1634" t="s">
        <v>2188</v>
      </c>
      <c r="T2811" s="1688" t="str">
        <f t="shared" si="389"/>
        <v/>
      </c>
    </row>
    <row r="2812" spans="1:20" s="1632" customFormat="1" x14ac:dyDescent="0.25">
      <c r="A2812" s="1637"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4" t="s">
        <v>1596</v>
      </c>
      <c r="G2812" s="1634" t="str">
        <f>IF(T2812&lt;&gt;"","AP","")</f>
        <v/>
      </c>
      <c r="H2812" s="1634" t="s">
        <v>1982</v>
      </c>
      <c r="I2812" s="1241"/>
      <c r="J2812" s="1634"/>
      <c r="K2812" s="1634"/>
      <c r="L2812" s="801"/>
      <c r="M2812" s="1635"/>
      <c r="N2812" s="1634"/>
      <c r="O2812" s="595"/>
      <c r="P2812" s="595"/>
      <c r="Q2812" s="595"/>
      <c r="R2812" s="1634" t="s">
        <v>2188</v>
      </c>
      <c r="T2812" s="1688" t="str">
        <f t="shared" si="389"/>
        <v/>
      </c>
    </row>
    <row r="2813" spans="1:20" s="1632" customFormat="1" x14ac:dyDescent="0.25">
      <c r="A2813" s="1637"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4" t="s">
        <v>2126</v>
      </c>
      <c r="G2813" s="1634" t="str">
        <f>IF(T2813&lt;&gt;"","AZ","")</f>
        <v/>
      </c>
      <c r="H2813" s="1634" t="s">
        <v>1982</v>
      </c>
      <c r="I2813" s="1241"/>
      <c r="J2813" s="1634"/>
      <c r="K2813" s="1634"/>
      <c r="L2813" s="801" t="s">
        <v>2126</v>
      </c>
      <c r="M2813" s="1635">
        <v>1688</v>
      </c>
      <c r="N2813" s="1634"/>
      <c r="O2813" s="595"/>
      <c r="P2813" s="595"/>
      <c r="Q2813" s="595"/>
      <c r="R2813" s="1634" t="s">
        <v>2188</v>
      </c>
      <c r="T2813" s="1688" t="str">
        <f t="shared" si="389"/>
        <v/>
      </c>
    </row>
    <row r="2814" spans="1:20" s="1632"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4" t="str">
        <f>IF(T2814&lt;&gt;"","A","")</f>
        <v/>
      </c>
      <c r="H2814" s="1634" t="s">
        <v>1982</v>
      </c>
      <c r="I2814" s="801"/>
      <c r="J2814" s="801"/>
      <c r="K2814" s="801"/>
      <c r="L2814" s="801" t="s">
        <v>1483</v>
      </c>
      <c r="M2814" s="1298">
        <v>1689</v>
      </c>
      <c r="N2814" s="801"/>
      <c r="O2814" s="1632" t="s">
        <v>725</v>
      </c>
      <c r="R2814" s="1634" t="s">
        <v>2189</v>
      </c>
      <c r="T2814" s="1634" t="str">
        <f>IF(Q$2815="Yes",51,"")</f>
        <v/>
      </c>
    </row>
    <row r="2815" spans="1:20" s="1632"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4"/>
      <c r="H2815" s="1634"/>
      <c r="I2815" s="801"/>
      <c r="J2815" s="801"/>
      <c r="K2815" s="801"/>
      <c r="L2815" s="801" t="s">
        <v>1697</v>
      </c>
      <c r="M2815" s="1298">
        <v>1690</v>
      </c>
      <c r="N2815" s="801"/>
      <c r="O2815" s="1632">
        <f>'Configurable Tab'!H53</f>
        <v>713</v>
      </c>
      <c r="P2815" s="18" t="str">
        <f>'Configurable Tab'!J53</f>
        <v>No</v>
      </c>
      <c r="Q2815" s="1632" t="s">
        <v>648</v>
      </c>
      <c r="R2815" s="1634" t="s">
        <v>2189</v>
      </c>
      <c r="T2815" s="1688" t="str">
        <f t="shared" ref="T2815:T2824" si="390">IF(Q$2815="Yes",51,"")</f>
        <v/>
      </c>
    </row>
    <row r="2816" spans="1:20" s="1632"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4" t="str">
        <f>IF(T2816&lt;&gt;"","B","")</f>
        <v/>
      </c>
      <c r="H2816" s="1634" t="s">
        <v>1982</v>
      </c>
      <c r="I2816" s="801"/>
      <c r="J2816" s="801"/>
      <c r="K2816" s="801"/>
      <c r="L2816" s="801" t="s">
        <v>1376</v>
      </c>
      <c r="M2816" s="1298">
        <v>1691</v>
      </c>
      <c r="N2816" s="801"/>
      <c r="O2816" s="1632" t="s">
        <v>726</v>
      </c>
      <c r="R2816" s="1634" t="s">
        <v>2189</v>
      </c>
      <c r="T2816" s="1688" t="str">
        <f t="shared" si="390"/>
        <v/>
      </c>
    </row>
    <row r="2817" spans="1:20" s="1632"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4" t="str">
        <f>IF(T2817&lt;&gt;"","I","")</f>
        <v/>
      </c>
      <c r="H2817" s="1634" t="s">
        <v>1982</v>
      </c>
      <c r="I2817" s="801"/>
      <c r="J2817" s="801"/>
      <c r="K2817" s="801"/>
      <c r="L2817" s="801" t="s">
        <v>1374</v>
      </c>
      <c r="M2817" s="1298">
        <v>1692</v>
      </c>
      <c r="N2817" s="801"/>
      <c r="O2817" s="1632">
        <f>'Configurable Tab'!I53</f>
        <v>726</v>
      </c>
      <c r="R2817" s="1634" t="s">
        <v>2189</v>
      </c>
      <c r="T2817" s="1688" t="str">
        <f t="shared" si="390"/>
        <v/>
      </c>
    </row>
    <row r="2818" spans="1:20" s="1632"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4" t="str">
        <f>IF(T2818&lt;&gt;"",IF(Q2817="Credit Memo","J",IF(Q2817="Check","K","")),"")</f>
        <v/>
      </c>
      <c r="H2818" s="1634" t="s">
        <v>1982</v>
      </c>
      <c r="I2818" s="801"/>
      <c r="J2818" s="801"/>
      <c r="K2818" s="801"/>
      <c r="L2818" s="801" t="s">
        <v>1375</v>
      </c>
      <c r="M2818" s="1298">
        <v>1693</v>
      </c>
      <c r="N2818" s="801"/>
      <c r="O2818" s="1632" t="s">
        <v>2198</v>
      </c>
      <c r="R2818" s="1634" t="s">
        <v>2189</v>
      </c>
      <c r="T2818" s="1688" t="str">
        <f t="shared" si="390"/>
        <v/>
      </c>
    </row>
    <row r="2819" spans="1:20" s="1632"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4" t="str">
        <f>IF(T2819&lt;&gt;"","C","")</f>
        <v/>
      </c>
      <c r="H2819" s="1634" t="s">
        <v>1982</v>
      </c>
      <c r="I2819" s="801"/>
      <c r="J2819" s="801"/>
      <c r="K2819" s="801"/>
      <c r="L2819" s="801" t="s">
        <v>1378</v>
      </c>
      <c r="M2819" s="1298">
        <v>1694</v>
      </c>
      <c r="N2819" s="801"/>
      <c r="R2819" s="1634" t="s">
        <v>2189</v>
      </c>
      <c r="T2819" s="1688" t="str">
        <f t="shared" si="390"/>
        <v/>
      </c>
    </row>
    <row r="2820" spans="1:20" s="1632"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4" t="str">
        <f>IF(T2820&lt;&gt;"","D","")</f>
        <v/>
      </c>
      <c r="H2820" s="1634" t="s">
        <v>1982</v>
      </c>
      <c r="I2820" s="801"/>
      <c r="J2820" s="801"/>
      <c r="K2820" s="801"/>
      <c r="L2820" s="801" t="s">
        <v>1379</v>
      </c>
      <c r="M2820" s="1298">
        <v>1695</v>
      </c>
      <c r="N2820" s="801"/>
      <c r="R2820" s="1634" t="s">
        <v>2189</v>
      </c>
      <c r="T2820" s="1688" t="str">
        <f t="shared" si="390"/>
        <v/>
      </c>
    </row>
    <row r="2821" spans="1:20" s="1632"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4" t="s">
        <v>1389</v>
      </c>
      <c r="G2821" s="1634" t="str">
        <f>IF(T2821&lt;&gt;"","S","")</f>
        <v/>
      </c>
      <c r="H2821" s="1634" t="s">
        <v>1982</v>
      </c>
      <c r="I2821" s="801"/>
      <c r="J2821" s="801"/>
      <c r="K2821" s="801"/>
      <c r="L2821" s="801" t="s">
        <v>1389</v>
      </c>
      <c r="M2821" s="1298">
        <v>1696</v>
      </c>
      <c r="N2821" s="801"/>
      <c r="R2821" s="1634" t="s">
        <v>2189</v>
      </c>
      <c r="T2821" s="1688" t="str">
        <f t="shared" si="390"/>
        <v/>
      </c>
    </row>
    <row r="2822" spans="1:20" s="1632"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4" t="str">
        <f>IF(T2822&lt;&gt;"","AQ","")</f>
        <v/>
      </c>
      <c r="H2822" s="1634" t="s">
        <v>1982</v>
      </c>
      <c r="I2822" s="801"/>
      <c r="J2822" s="801"/>
      <c r="K2822" s="801"/>
      <c r="L2822" s="801" t="s">
        <v>1996</v>
      </c>
      <c r="M2822" s="1298">
        <v>1697</v>
      </c>
      <c r="N2822" s="801"/>
      <c r="R2822" s="1634" t="s">
        <v>2189</v>
      </c>
      <c r="T2822" s="1688" t="str">
        <f t="shared" si="390"/>
        <v/>
      </c>
    </row>
    <row r="2823" spans="1:20" s="1632"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4" t="str">
        <f>IF(T2823&lt;&gt;"","AA","")</f>
        <v/>
      </c>
      <c r="H2823" s="1634" t="s">
        <v>1982</v>
      </c>
      <c r="I2823" s="801"/>
      <c r="J2823" s="801"/>
      <c r="K2823" s="801"/>
      <c r="L2823" s="801" t="s">
        <v>1997</v>
      </c>
      <c r="M2823" s="1298">
        <v>1698</v>
      </c>
      <c r="N2823" s="801"/>
      <c r="R2823" s="1634" t="s">
        <v>2189</v>
      </c>
      <c r="T2823" s="1688" t="str">
        <f t="shared" si="390"/>
        <v/>
      </c>
    </row>
    <row r="2824" spans="1:20" s="1632"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4" t="str">
        <f>IF(T2824&lt;&gt;"","H","")</f>
        <v/>
      </c>
      <c r="H2824" s="1634" t="s">
        <v>1982</v>
      </c>
      <c r="I2824" s="801"/>
      <c r="J2824" s="801"/>
      <c r="K2824" s="801"/>
      <c r="L2824" s="801" t="s">
        <v>1390</v>
      </c>
      <c r="M2824" s="1298">
        <v>1699</v>
      </c>
      <c r="N2824" s="801"/>
      <c r="R2824" s="1634" t="s">
        <v>2189</v>
      </c>
      <c r="T2824" s="1688" t="str">
        <f t="shared" si="390"/>
        <v/>
      </c>
    </row>
    <row r="2825" spans="1:20" s="1632" customFormat="1" x14ac:dyDescent="0.25">
      <c r="A2825" s="818" t="s">
        <v>1697</v>
      </c>
      <c r="B2825" s="1241" t="str">
        <f>IFERROR(_xlfn.CONCAT("D",('Configurable Tab'!$C$38+1)),"")</f>
        <v>D391</v>
      </c>
      <c r="C2825" s="1241" t="str">
        <f>IFERROR(_xlfn.CONCAT("E",('Configurable Tab'!$C$38+1)),"")</f>
        <v>E391</v>
      </c>
      <c r="D2825" s="801" t="s">
        <v>1343</v>
      </c>
      <c r="E2825" s="801" t="s">
        <v>1734</v>
      </c>
      <c r="F2825" s="1634"/>
      <c r="G2825" s="1634"/>
      <c r="H2825" s="1634"/>
      <c r="I2825" s="1241" t="str">
        <f t="shared" ref="I2825:I2835" si="391">IF(J2825&lt;&gt;"",A2825,"")</f>
        <v/>
      </c>
      <c r="J2825" s="1634" t="str">
        <f t="shared" ref="J2825:J2834" si="392">IFERROR(IF($Q$2815="Yes",Q$1&amp;M2815,""),"")</f>
        <v/>
      </c>
      <c r="K2825" s="1634" t="str">
        <f t="shared" ref="K2825:K2835" si="393">IF(J2825&lt;&gt;"",E2825,"")</f>
        <v/>
      </c>
      <c r="M2825" s="1633"/>
      <c r="Q2825" s="1241" t="str">
        <f>IFERROR(_xlfn.CONCAT("C",('Configurable Tab'!$C38+1)),"")</f>
        <v>C391</v>
      </c>
      <c r="R2825" s="1634" t="s">
        <v>2189</v>
      </c>
    </row>
    <row r="2826" spans="1:20" s="1632" customFormat="1" x14ac:dyDescent="0.25">
      <c r="A2826" s="818" t="s">
        <v>1376</v>
      </c>
      <c r="B2826" s="1241" t="str">
        <f>IFERROR(_xlfn.CONCAT("D",('Configurable Tab'!$C$38+2)),"")</f>
        <v>D392</v>
      </c>
      <c r="C2826" s="1241" t="str">
        <f>IFERROR(_xlfn.CONCAT("E",('Configurable Tab'!$C$38+2)),"")</f>
        <v>E392</v>
      </c>
      <c r="D2826" s="801" t="s">
        <v>1343</v>
      </c>
      <c r="E2826" s="801" t="s">
        <v>1734</v>
      </c>
      <c r="F2826" s="1634"/>
      <c r="G2826" s="1634"/>
      <c r="H2826" s="1634"/>
      <c r="I2826" s="1241" t="str">
        <f t="shared" si="391"/>
        <v/>
      </c>
      <c r="J2826" s="1634" t="str">
        <f t="shared" si="392"/>
        <v/>
      </c>
      <c r="K2826" s="1634" t="str">
        <f t="shared" si="393"/>
        <v/>
      </c>
      <c r="M2826" s="1633"/>
      <c r="R2826" s="1634" t="s">
        <v>2189</v>
      </c>
    </row>
    <row r="2827" spans="1:20" s="1632" customFormat="1" x14ac:dyDescent="0.25">
      <c r="A2827" s="818" t="s">
        <v>1374</v>
      </c>
      <c r="B2827" s="1241" t="str">
        <f>IFERROR(_xlfn.CONCAT("I",('Configurable Tab'!$C$38+1)),"")</f>
        <v>I391</v>
      </c>
      <c r="C2827" s="1241" t="str">
        <f>IFERROR(_xlfn.CONCAT("I",('Configurable Tab'!$C$38+2)),"")</f>
        <v>I392</v>
      </c>
      <c r="D2827" s="801" t="s">
        <v>1343</v>
      </c>
      <c r="E2827" s="801" t="s">
        <v>1734</v>
      </c>
      <c r="F2827" s="1634"/>
      <c r="G2827" s="1634"/>
      <c r="H2827" s="1634"/>
      <c r="I2827" s="1241" t="str">
        <f t="shared" si="391"/>
        <v/>
      </c>
      <c r="J2827" s="1634" t="str">
        <f t="shared" si="392"/>
        <v/>
      </c>
      <c r="K2827" s="1634" t="str">
        <f t="shared" si="393"/>
        <v/>
      </c>
      <c r="M2827" s="1633"/>
      <c r="R2827" s="1634" t="s">
        <v>2189</v>
      </c>
    </row>
    <row r="2828" spans="1:20" s="1632" customFormat="1" x14ac:dyDescent="0.25">
      <c r="A2828" s="818" t="s">
        <v>1375</v>
      </c>
      <c r="B2828" s="1241" t="str">
        <f>IFERROR(_xlfn.CONCAT("M",('Configurable Tab'!$C$38+1)),"")</f>
        <v>M391</v>
      </c>
      <c r="C2828" s="1241" t="str">
        <f>IFERROR(_xlfn.CONCAT("M",('Configurable Tab'!$C$38+2)),"")</f>
        <v>M392</v>
      </c>
      <c r="D2828" s="801" t="s">
        <v>1343</v>
      </c>
      <c r="E2828" s="801" t="s">
        <v>1734</v>
      </c>
      <c r="F2828" s="1634"/>
      <c r="G2828" s="1634"/>
      <c r="H2828" s="1634"/>
      <c r="I2828" s="1241" t="str">
        <f t="shared" si="391"/>
        <v/>
      </c>
      <c r="J2828" s="1634" t="str">
        <f t="shared" si="392"/>
        <v/>
      </c>
      <c r="K2828" s="1634" t="str">
        <f t="shared" si="393"/>
        <v/>
      </c>
      <c r="M2828" s="1633"/>
      <c r="R2828" s="1634" t="s">
        <v>2189</v>
      </c>
    </row>
    <row r="2829" spans="1:20" s="1632" customFormat="1" x14ac:dyDescent="0.25">
      <c r="A2829" s="818" t="s">
        <v>1378</v>
      </c>
      <c r="B2829" s="1241" t="str">
        <f>IFERROR(_xlfn.CONCAT("D",('Configurable Tab'!$C$38+4)),"")</f>
        <v>D394</v>
      </c>
      <c r="C2829" s="1241" t="str">
        <f>IFERROR(_xlfn.CONCAT("E",('Configurable Tab'!$C$38+4)),"")</f>
        <v>E394</v>
      </c>
      <c r="D2829" s="801" t="s">
        <v>1343</v>
      </c>
      <c r="E2829" s="801" t="s">
        <v>1734</v>
      </c>
      <c r="F2829" s="1634"/>
      <c r="G2829" s="1634"/>
      <c r="H2829" s="1634"/>
      <c r="I2829" s="1241" t="str">
        <f t="shared" si="391"/>
        <v/>
      </c>
      <c r="J2829" s="1634" t="str">
        <f t="shared" si="392"/>
        <v/>
      </c>
      <c r="K2829" s="1634" t="str">
        <f t="shared" si="393"/>
        <v/>
      </c>
      <c r="M2829" s="1633"/>
      <c r="R2829" s="1634" t="s">
        <v>2189</v>
      </c>
    </row>
    <row r="2830" spans="1:20" s="1632" customFormat="1" x14ac:dyDescent="0.25">
      <c r="A2830" s="818" t="s">
        <v>1379</v>
      </c>
      <c r="B2830" s="1241" t="str">
        <f>IFERROR(_xlfn.CONCAT("D",('Configurable Tab'!$C$38+5)),"")</f>
        <v>D395</v>
      </c>
      <c r="C2830" s="1241" t="str">
        <f>IFERROR(_xlfn.CONCAT("E",('Configurable Tab'!$C$38+5)),"")</f>
        <v>E395</v>
      </c>
      <c r="D2830" s="801" t="s">
        <v>1343</v>
      </c>
      <c r="E2830" s="801" t="s">
        <v>1734</v>
      </c>
      <c r="F2830" s="1634"/>
      <c r="G2830" s="1634"/>
      <c r="H2830" s="1634"/>
      <c r="I2830" s="1241" t="str">
        <f t="shared" si="391"/>
        <v/>
      </c>
      <c r="J2830" s="1634" t="str">
        <f t="shared" si="392"/>
        <v/>
      </c>
      <c r="K2830" s="1634" t="str">
        <f t="shared" si="393"/>
        <v/>
      </c>
      <c r="M2830" s="1633"/>
      <c r="R2830" s="1634" t="s">
        <v>2189</v>
      </c>
    </row>
    <row r="2831" spans="1:20" s="1632" customFormat="1" x14ac:dyDescent="0.25">
      <c r="A2831" s="818" t="s">
        <v>1389</v>
      </c>
      <c r="B2831" s="1241" t="str">
        <f>IFERROR(_xlfn.CONCAT("G",('Configurable Tab'!$C$38+4)),"")</f>
        <v>G394</v>
      </c>
      <c r="C2831" s="1241" t="str">
        <f>IFERROR(_xlfn.CONCAT("G",('Configurable Tab'!$C$38+5)),"")</f>
        <v>G395</v>
      </c>
      <c r="D2831" s="801" t="s">
        <v>1343</v>
      </c>
      <c r="E2831" s="801" t="s">
        <v>1734</v>
      </c>
      <c r="F2831" s="1634"/>
      <c r="G2831" s="1634"/>
      <c r="H2831" s="1634"/>
      <c r="I2831" s="1241" t="str">
        <f t="shared" si="391"/>
        <v/>
      </c>
      <c r="J2831" s="1634" t="str">
        <f t="shared" si="392"/>
        <v/>
      </c>
      <c r="K2831" s="1634" t="str">
        <f t="shared" si="393"/>
        <v/>
      </c>
      <c r="M2831" s="1633"/>
      <c r="R2831" s="1634" t="s">
        <v>2189</v>
      </c>
    </row>
    <row r="2832" spans="1:20" s="1632" customFormat="1" x14ac:dyDescent="0.25">
      <c r="A2832" s="818" t="s">
        <v>1996</v>
      </c>
      <c r="B2832" s="1241" t="str">
        <f>IFERROR(_xlfn.CONCAT("G",('Configurable Tab'!$C$38+7)),"")</f>
        <v>G397</v>
      </c>
      <c r="C2832" s="1241" t="str">
        <f>IFERROR(_xlfn.CONCAT("G",('Configurable Tab'!$C$38+8)),"")</f>
        <v>G398</v>
      </c>
      <c r="D2832" s="801" t="s">
        <v>1343</v>
      </c>
      <c r="E2832" s="801" t="s">
        <v>1734</v>
      </c>
      <c r="F2832" s="1634"/>
      <c r="G2832" s="1634"/>
      <c r="H2832" s="1634"/>
      <c r="I2832" s="1241" t="str">
        <f t="shared" si="391"/>
        <v/>
      </c>
      <c r="J2832" s="1634" t="str">
        <f t="shared" si="392"/>
        <v/>
      </c>
      <c r="K2832" s="1634" t="str">
        <f t="shared" si="393"/>
        <v/>
      </c>
      <c r="M2832" s="1633"/>
      <c r="R2832" s="1634" t="s">
        <v>2189</v>
      </c>
    </row>
    <row r="2833" spans="1:20" s="1632" customFormat="1" x14ac:dyDescent="0.25">
      <c r="A2833" s="818" t="s">
        <v>1474</v>
      </c>
      <c r="B2833" s="1241" t="str">
        <f>IFERROR(_xlfn.CONCAT("K",('Configurable Tab'!$C$38+7)),"")</f>
        <v>K397</v>
      </c>
      <c r="C2833" s="1241" t="str">
        <f>IFERROR(_xlfn.CONCAT("K",('Configurable Tab'!$C$38+8)),"")</f>
        <v>K398</v>
      </c>
      <c r="D2833" s="801" t="s">
        <v>1343</v>
      </c>
      <c r="E2833" s="801" t="s">
        <v>1734</v>
      </c>
      <c r="F2833" s="1634"/>
      <c r="G2833" s="1634"/>
      <c r="H2833" s="1634"/>
      <c r="I2833" s="1241" t="str">
        <f t="shared" si="391"/>
        <v/>
      </c>
      <c r="J2833" s="1634" t="str">
        <f t="shared" si="392"/>
        <v/>
      </c>
      <c r="K2833" s="1634" t="str">
        <f t="shared" si="393"/>
        <v/>
      </c>
      <c r="M2833" s="1633"/>
      <c r="R2833" s="1634" t="s">
        <v>2189</v>
      </c>
    </row>
    <row r="2834" spans="1:20" s="1632" customFormat="1" x14ac:dyDescent="0.25">
      <c r="A2834" s="818" t="s">
        <v>1390</v>
      </c>
      <c r="B2834" s="1241" t="str">
        <f>IFERROR(_xlfn.CONCAT("K",('Configurable Tab'!$C$38+1)),"")</f>
        <v>K391</v>
      </c>
      <c r="C2834" s="1241" t="str">
        <f>IFERROR(_xlfn.CONCAT("K",('Configurable Tab'!$C$38+2)),"")</f>
        <v>K392</v>
      </c>
      <c r="D2834" s="801" t="s">
        <v>1343</v>
      </c>
      <c r="E2834" s="801" t="s">
        <v>1734</v>
      </c>
      <c r="F2834" s="1634"/>
      <c r="G2834" s="1634"/>
      <c r="H2834" s="1634"/>
      <c r="I2834" s="1241" t="str">
        <f t="shared" si="391"/>
        <v/>
      </c>
      <c r="J2834" s="1634" t="str">
        <f t="shared" si="392"/>
        <v/>
      </c>
      <c r="K2834" s="1634" t="str">
        <f t="shared" si="393"/>
        <v/>
      </c>
      <c r="M2834" s="1633"/>
      <c r="R2834" s="1634" t="s">
        <v>2189</v>
      </c>
    </row>
    <row r="2835" spans="1:20" s="1632"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4" t="s">
        <v>1488</v>
      </c>
      <c r="G2835" s="1634" t="str">
        <f>IF(T2835&lt;&gt;"","AS","")</f>
        <v/>
      </c>
      <c r="H2835" s="1634" t="s">
        <v>1982</v>
      </c>
      <c r="I2835" s="1241" t="str">
        <f t="shared" si="391"/>
        <v/>
      </c>
      <c r="J2835" s="1634"/>
      <c r="K2835" s="1634" t="str">
        <f t="shared" si="393"/>
        <v/>
      </c>
      <c r="L2835" s="801"/>
      <c r="M2835" s="1635"/>
      <c r="N2835" s="1634"/>
      <c r="R2835" s="1634" t="s">
        <v>2189</v>
      </c>
      <c r="T2835" s="1634" t="str">
        <f>IF(Q$2815="Yes",51,"")</f>
        <v/>
      </c>
    </row>
    <row r="2836" spans="1:20" s="1632"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4" t="s">
        <v>1487</v>
      </c>
      <c r="G2836" s="1634" t="str">
        <f>IF(T2836&lt;&gt;"","AN","")</f>
        <v/>
      </c>
      <c r="H2836" s="1634" t="s">
        <v>1982</v>
      </c>
      <c r="I2836" s="1241"/>
      <c r="J2836" s="1634"/>
      <c r="K2836" s="1634"/>
      <c r="L2836" s="801"/>
      <c r="M2836" s="1635"/>
      <c r="N2836" s="1634"/>
      <c r="O2836" s="1526"/>
      <c r="P2836" s="595"/>
      <c r="Q2836" s="595"/>
      <c r="R2836" s="1634" t="s">
        <v>2189</v>
      </c>
      <c r="T2836" s="1688" t="str">
        <f t="shared" ref="T2836:T2843" si="394">IF(Q$2815="Yes",51,"")</f>
        <v/>
      </c>
    </row>
    <row r="2837" spans="1:20" s="1632"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4" t="s">
        <v>1484</v>
      </c>
      <c r="G2837" s="1634" t="str">
        <f>IF(T2837&lt;&gt;"","AL","")</f>
        <v/>
      </c>
      <c r="H2837" s="1634" t="s">
        <v>1982</v>
      </c>
      <c r="I2837" s="1241"/>
      <c r="J2837" s="1634"/>
      <c r="K2837" s="1634"/>
      <c r="L2837" s="801"/>
      <c r="M2837" s="1635"/>
      <c r="N2837" s="1634"/>
      <c r="O2837" s="595"/>
      <c r="P2837" s="595"/>
      <c r="Q2837" s="595"/>
      <c r="R2837" s="1634" t="s">
        <v>2189</v>
      </c>
      <c r="T2837" s="1688" t="str">
        <f t="shared" si="394"/>
        <v/>
      </c>
    </row>
    <row r="2838" spans="1:20" s="1632"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4" t="s">
        <v>1983</v>
      </c>
      <c r="G2838" s="1634" t="str">
        <f>IF(T2838&lt;&gt;"","E","")</f>
        <v/>
      </c>
      <c r="H2838" s="1634" t="s">
        <v>1982</v>
      </c>
      <c r="I2838" s="1241"/>
      <c r="J2838" s="1634"/>
      <c r="K2838" s="1634"/>
      <c r="L2838" s="801"/>
      <c r="M2838" s="1635"/>
      <c r="N2838" s="1634"/>
      <c r="O2838" s="595"/>
      <c r="P2838" s="595"/>
      <c r="Q2838" s="595"/>
      <c r="R2838" s="1634" t="s">
        <v>2189</v>
      </c>
      <c r="T2838" s="1688" t="str">
        <f t="shared" si="394"/>
        <v/>
      </c>
    </row>
    <row r="2839" spans="1:20" s="1632"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4" t="s">
        <v>1987</v>
      </c>
      <c r="G2839" s="1634" t="str">
        <f>IF(T2839&lt;&gt;"","G","")</f>
        <v/>
      </c>
      <c r="H2839" s="1634" t="s">
        <v>1982</v>
      </c>
      <c r="I2839" s="1241"/>
      <c r="J2839" s="1634"/>
      <c r="K2839" s="1634"/>
      <c r="L2839" s="801"/>
      <c r="M2839" s="1635"/>
      <c r="N2839" s="1634"/>
      <c r="O2839" s="595"/>
      <c r="P2839" s="595"/>
      <c r="Q2839" s="595"/>
      <c r="R2839" s="1634" t="s">
        <v>2189</v>
      </c>
      <c r="T2839" s="1688" t="str">
        <f t="shared" si="394"/>
        <v/>
      </c>
    </row>
    <row r="2840" spans="1:20" s="1632"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4" t="str">
        <f>IF(T2840&lt;&gt;"","AW","")</f>
        <v/>
      </c>
      <c r="H2840" s="1634" t="s">
        <v>1982</v>
      </c>
      <c r="I2840" s="1241"/>
      <c r="J2840" s="1634"/>
      <c r="K2840" s="1634"/>
      <c r="L2840" s="801"/>
      <c r="M2840" s="1635"/>
      <c r="N2840" s="1634"/>
      <c r="O2840" s="595"/>
      <c r="P2840" s="595"/>
      <c r="Q2840" s="595"/>
      <c r="R2840" s="1634" t="s">
        <v>2189</v>
      </c>
      <c r="T2840" s="1688" t="str">
        <f t="shared" si="394"/>
        <v/>
      </c>
    </row>
    <row r="2841" spans="1:20" s="1632"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4" t="s">
        <v>1991</v>
      </c>
      <c r="G2841" s="1634" t="str">
        <f>IF(T2841&lt;&gt;"","AB","")</f>
        <v/>
      </c>
      <c r="H2841" s="1634" t="s">
        <v>1982</v>
      </c>
      <c r="I2841" s="1241"/>
      <c r="J2841" s="1634"/>
      <c r="K2841" s="1634"/>
      <c r="L2841" s="801"/>
      <c r="M2841" s="1635"/>
      <c r="N2841" s="1634"/>
      <c r="O2841" s="595"/>
      <c r="P2841" s="595"/>
      <c r="Q2841" s="595"/>
      <c r="R2841" s="1634" t="s">
        <v>2189</v>
      </c>
      <c r="T2841" s="1688" t="str">
        <f t="shared" si="394"/>
        <v/>
      </c>
    </row>
    <row r="2842" spans="1:20" s="1632"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4" t="s">
        <v>1596</v>
      </c>
      <c r="G2842" s="1634" t="str">
        <f>IF(T2842&lt;&gt;"","AP","")</f>
        <v/>
      </c>
      <c r="H2842" s="1634" t="s">
        <v>1982</v>
      </c>
      <c r="I2842" s="1241"/>
      <c r="J2842" s="1634"/>
      <c r="K2842" s="1634"/>
      <c r="L2842" s="801"/>
      <c r="M2842" s="1635"/>
      <c r="N2842" s="1634"/>
      <c r="O2842" s="595"/>
      <c r="P2842" s="595"/>
      <c r="Q2842" s="595"/>
      <c r="R2842" s="1634" t="s">
        <v>2189</v>
      </c>
      <c r="T2842" s="1688" t="str">
        <f t="shared" si="394"/>
        <v/>
      </c>
    </row>
    <row r="2843" spans="1:20" s="1632"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4" t="s">
        <v>2126</v>
      </c>
      <c r="G2843" s="1634" t="str">
        <f>IF(T2843&lt;&gt;"","AZ","")</f>
        <v/>
      </c>
      <c r="H2843" s="1634" t="s">
        <v>1982</v>
      </c>
      <c r="I2843" s="1241"/>
      <c r="J2843" s="1634"/>
      <c r="K2843" s="1634"/>
      <c r="L2843" s="801" t="s">
        <v>2126</v>
      </c>
      <c r="M2843" s="1635">
        <v>1700</v>
      </c>
      <c r="N2843" s="1634"/>
      <c r="O2843" s="595"/>
      <c r="P2843" s="595"/>
      <c r="Q2843" s="595"/>
      <c r="R2843" s="1634" t="s">
        <v>2189</v>
      </c>
      <c r="T2843" s="1688" t="str">
        <f t="shared" si="394"/>
        <v/>
      </c>
    </row>
    <row r="2844" spans="1:20" s="1632" customFormat="1" x14ac:dyDescent="0.25">
      <c r="A2844" s="1636"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4" t="str">
        <f>IF(T2844&lt;&gt;"","A","")</f>
        <v/>
      </c>
      <c r="H2844" s="1634" t="s">
        <v>1982</v>
      </c>
      <c r="I2844" s="801"/>
      <c r="J2844" s="801"/>
      <c r="K2844" s="801"/>
      <c r="L2844" s="801" t="s">
        <v>1483</v>
      </c>
      <c r="M2844" s="1298">
        <v>1701</v>
      </c>
      <c r="N2844" s="801"/>
      <c r="O2844" s="1632" t="s">
        <v>725</v>
      </c>
      <c r="R2844" s="1634" t="s">
        <v>2190</v>
      </c>
      <c r="T2844" s="1634" t="str">
        <f>IF(Q$2845="Yes",52,"")</f>
        <v/>
      </c>
    </row>
    <row r="2845" spans="1:20" s="1632" customFormat="1" x14ac:dyDescent="0.25">
      <c r="A2845" s="1636"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4"/>
      <c r="H2845" s="1634"/>
      <c r="I2845" s="801"/>
      <c r="J2845" s="801"/>
      <c r="K2845" s="801"/>
      <c r="L2845" s="801" t="s">
        <v>1697</v>
      </c>
      <c r="M2845" s="1298">
        <v>1702</v>
      </c>
      <c r="N2845" s="801"/>
      <c r="O2845" s="1632">
        <f>'Configurable Tab'!H54</f>
        <v>727</v>
      </c>
      <c r="P2845" s="18" t="str">
        <f>'Configurable Tab'!J54</f>
        <v>No</v>
      </c>
      <c r="Q2845" s="1632" t="s">
        <v>648</v>
      </c>
      <c r="R2845" s="1634" t="s">
        <v>2190</v>
      </c>
      <c r="T2845" s="1688" t="str">
        <f t="shared" ref="T2845:T2854" si="395">IF(Q$2845="Yes",52,"")</f>
        <v/>
      </c>
    </row>
    <row r="2846" spans="1:20" s="1632" customFormat="1" x14ac:dyDescent="0.25">
      <c r="A2846" s="1636"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4" t="str">
        <f>IF(T2846&lt;&gt;"","B","")</f>
        <v/>
      </c>
      <c r="H2846" s="1634" t="s">
        <v>1982</v>
      </c>
      <c r="I2846" s="801"/>
      <c r="J2846" s="801"/>
      <c r="K2846" s="801"/>
      <c r="L2846" s="801" t="s">
        <v>1376</v>
      </c>
      <c r="M2846" s="1298">
        <v>1703</v>
      </c>
      <c r="N2846" s="801"/>
      <c r="O2846" s="1632" t="s">
        <v>726</v>
      </c>
      <c r="R2846" s="1634" t="s">
        <v>2190</v>
      </c>
      <c r="T2846" s="1688" t="str">
        <f t="shared" si="395"/>
        <v/>
      </c>
    </row>
    <row r="2847" spans="1:20" s="1632" customFormat="1" x14ac:dyDescent="0.25">
      <c r="A2847" s="1636"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4" t="str">
        <f>IF(T2847&lt;&gt;"","I","")</f>
        <v/>
      </c>
      <c r="H2847" s="1634" t="s">
        <v>1982</v>
      </c>
      <c r="I2847" s="801"/>
      <c r="J2847" s="801"/>
      <c r="K2847" s="801"/>
      <c r="L2847" s="801" t="s">
        <v>1374</v>
      </c>
      <c r="M2847" s="1298">
        <v>1704</v>
      </c>
      <c r="N2847" s="801"/>
      <c r="O2847" s="1632">
        <f>'Configurable Tab'!I54</f>
        <v>740</v>
      </c>
      <c r="R2847" s="1634" t="s">
        <v>2190</v>
      </c>
      <c r="T2847" s="1688" t="str">
        <f t="shared" si="395"/>
        <v/>
      </c>
    </row>
    <row r="2848" spans="1:20" s="1632" customFormat="1" x14ac:dyDescent="0.25">
      <c r="A2848" s="1636"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4" t="str">
        <f>IF(T2848&lt;&gt;"",IF(Q2847="Credit Memo","J",IF(Q2847="Check","K","")),"")</f>
        <v/>
      </c>
      <c r="H2848" s="1634" t="s">
        <v>1982</v>
      </c>
      <c r="I2848" s="801"/>
      <c r="J2848" s="801"/>
      <c r="K2848" s="801"/>
      <c r="L2848" s="801" t="s">
        <v>1375</v>
      </c>
      <c r="M2848" s="1298">
        <v>1705</v>
      </c>
      <c r="N2848" s="801"/>
      <c r="O2848" s="1632" t="s">
        <v>2199</v>
      </c>
      <c r="R2848" s="1634" t="s">
        <v>2190</v>
      </c>
      <c r="T2848" s="1688" t="str">
        <f t="shared" si="395"/>
        <v/>
      </c>
    </row>
    <row r="2849" spans="1:20" s="1632" customFormat="1" x14ac:dyDescent="0.25">
      <c r="A2849" s="1636"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4" t="str">
        <f>IF(T2849&lt;&gt;"","C","")</f>
        <v/>
      </c>
      <c r="H2849" s="1634" t="s">
        <v>1982</v>
      </c>
      <c r="I2849" s="801"/>
      <c r="J2849" s="801"/>
      <c r="K2849" s="801"/>
      <c r="L2849" s="801" t="s">
        <v>1378</v>
      </c>
      <c r="M2849" s="1298">
        <v>1706</v>
      </c>
      <c r="N2849" s="801"/>
      <c r="R2849" s="1634" t="s">
        <v>2190</v>
      </c>
      <c r="T2849" s="1688" t="str">
        <f t="shared" si="395"/>
        <v/>
      </c>
    </row>
    <row r="2850" spans="1:20" s="1632" customFormat="1" x14ac:dyDescent="0.25">
      <c r="A2850" s="1636"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4" t="str">
        <f>IF(T2850&lt;&gt;"","D","")</f>
        <v/>
      </c>
      <c r="H2850" s="1634" t="s">
        <v>1982</v>
      </c>
      <c r="I2850" s="801"/>
      <c r="J2850" s="801"/>
      <c r="K2850" s="801"/>
      <c r="L2850" s="801" t="s">
        <v>1379</v>
      </c>
      <c r="M2850" s="1298">
        <v>1707</v>
      </c>
      <c r="N2850" s="801"/>
      <c r="R2850" s="1634" t="s">
        <v>2190</v>
      </c>
      <c r="T2850" s="1688" t="str">
        <f t="shared" si="395"/>
        <v/>
      </c>
    </row>
    <row r="2851" spans="1:20" s="1632" customFormat="1" x14ac:dyDescent="0.25">
      <c r="A2851" s="1636"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4" t="s">
        <v>1389</v>
      </c>
      <c r="G2851" s="1634" t="str">
        <f>IF(T2851&lt;&gt;"","S","")</f>
        <v/>
      </c>
      <c r="H2851" s="1634" t="s">
        <v>1982</v>
      </c>
      <c r="I2851" s="801"/>
      <c r="J2851" s="801"/>
      <c r="K2851" s="801"/>
      <c r="L2851" s="801" t="s">
        <v>1389</v>
      </c>
      <c r="M2851" s="1298">
        <v>1708</v>
      </c>
      <c r="N2851" s="801"/>
      <c r="R2851" s="1634" t="s">
        <v>2190</v>
      </c>
      <c r="T2851" s="1688" t="str">
        <f t="shared" si="395"/>
        <v/>
      </c>
    </row>
    <row r="2852" spans="1:20" s="1632" customFormat="1" x14ac:dyDescent="0.25">
      <c r="A2852" s="1636"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4" t="str">
        <f>IF(T2852&lt;&gt;"","AQ","")</f>
        <v/>
      </c>
      <c r="H2852" s="1634" t="s">
        <v>1982</v>
      </c>
      <c r="I2852" s="801"/>
      <c r="J2852" s="801"/>
      <c r="K2852" s="801"/>
      <c r="L2852" s="801" t="s">
        <v>1996</v>
      </c>
      <c r="M2852" s="1298">
        <v>1709</v>
      </c>
      <c r="N2852" s="801"/>
      <c r="R2852" s="1634" t="s">
        <v>2190</v>
      </c>
      <c r="T2852" s="1688" t="str">
        <f t="shared" si="395"/>
        <v/>
      </c>
    </row>
    <row r="2853" spans="1:20" s="1632" customFormat="1" x14ac:dyDescent="0.25">
      <c r="A2853" s="1636"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4" t="str">
        <f>IF(T2853&lt;&gt;"","AA","")</f>
        <v/>
      </c>
      <c r="H2853" s="1634" t="s">
        <v>1982</v>
      </c>
      <c r="I2853" s="801"/>
      <c r="J2853" s="801"/>
      <c r="K2853" s="801"/>
      <c r="L2853" s="801" t="s">
        <v>1997</v>
      </c>
      <c r="M2853" s="1298">
        <v>1710</v>
      </c>
      <c r="N2853" s="801"/>
      <c r="R2853" s="1634" t="s">
        <v>2190</v>
      </c>
      <c r="T2853" s="1688" t="str">
        <f t="shared" si="395"/>
        <v/>
      </c>
    </row>
    <row r="2854" spans="1:20" s="1632" customFormat="1" x14ac:dyDescent="0.25">
      <c r="A2854" s="1636"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4" t="str">
        <f>IF(T2854&lt;&gt;"","H","")</f>
        <v/>
      </c>
      <c r="H2854" s="1634" t="s">
        <v>1982</v>
      </c>
      <c r="I2854" s="801"/>
      <c r="J2854" s="801"/>
      <c r="K2854" s="801"/>
      <c r="L2854" s="801" t="s">
        <v>1390</v>
      </c>
      <c r="M2854" s="1298">
        <v>1711</v>
      </c>
      <c r="N2854" s="801"/>
      <c r="R2854" s="1634" t="s">
        <v>2190</v>
      </c>
      <c r="T2854" s="1688" t="str">
        <f t="shared" si="395"/>
        <v/>
      </c>
    </row>
    <row r="2855" spans="1:20" s="1632" customFormat="1" x14ac:dyDescent="0.25">
      <c r="A2855" s="1636" t="s">
        <v>1697</v>
      </c>
      <c r="B2855" s="1241" t="str">
        <f>IFERROR(_xlfn.CONCAT("D",('Configurable Tab'!$C$39+1)),"")</f>
        <v>D402</v>
      </c>
      <c r="C2855" s="1241" t="str">
        <f>IFERROR(_xlfn.CONCAT("E",('Configurable Tab'!$C$39+1)),"")</f>
        <v>E402</v>
      </c>
      <c r="D2855" s="801" t="s">
        <v>1343</v>
      </c>
      <c r="E2855" s="801" t="s">
        <v>1734</v>
      </c>
      <c r="F2855" s="1634"/>
      <c r="G2855" s="1634"/>
      <c r="H2855" s="1634"/>
      <c r="I2855" s="1241" t="str">
        <f t="shared" ref="I2855:I2865" si="396">IF(J2855&lt;&gt;"",A2855,"")</f>
        <v/>
      </c>
      <c r="J2855" s="1634" t="str">
        <f t="shared" ref="J2855:J2864" si="397">IFERROR(IF($Q$2845="Yes",Q$1&amp;M2845,""),"")</f>
        <v/>
      </c>
      <c r="K2855" s="1634" t="str">
        <f t="shared" ref="K2855:K2865" si="398">IF(J2855&lt;&gt;"",E2855,"")</f>
        <v/>
      </c>
      <c r="M2855" s="1633"/>
      <c r="Q2855" s="1241" t="str">
        <f>IFERROR(_xlfn.CONCAT("C",('Configurable Tab'!$C39+1)),"")</f>
        <v>C402</v>
      </c>
      <c r="R2855" s="1634" t="s">
        <v>2190</v>
      </c>
    </row>
    <row r="2856" spans="1:20" s="1632" customFormat="1" x14ac:dyDescent="0.25">
      <c r="A2856" s="1636" t="s">
        <v>1376</v>
      </c>
      <c r="B2856" s="1241" t="str">
        <f>IFERROR(_xlfn.CONCAT("D",('Configurable Tab'!$C$39+2)),"")</f>
        <v>D403</v>
      </c>
      <c r="C2856" s="1241" t="str">
        <f>IFERROR(_xlfn.CONCAT("E",('Configurable Tab'!$C$39+2)),"")</f>
        <v>E403</v>
      </c>
      <c r="D2856" s="801" t="s">
        <v>1343</v>
      </c>
      <c r="E2856" s="801" t="s">
        <v>1734</v>
      </c>
      <c r="F2856" s="1634"/>
      <c r="G2856" s="1634"/>
      <c r="H2856" s="1634"/>
      <c r="I2856" s="1241" t="str">
        <f t="shared" si="396"/>
        <v/>
      </c>
      <c r="J2856" s="1634" t="str">
        <f t="shared" si="397"/>
        <v/>
      </c>
      <c r="K2856" s="1634" t="str">
        <f t="shared" si="398"/>
        <v/>
      </c>
      <c r="M2856" s="1633"/>
      <c r="R2856" s="1634" t="s">
        <v>2190</v>
      </c>
    </row>
    <row r="2857" spans="1:20" s="1632" customFormat="1" x14ac:dyDescent="0.25">
      <c r="A2857" s="1636" t="s">
        <v>1374</v>
      </c>
      <c r="B2857" s="1241" t="str">
        <f>IFERROR(_xlfn.CONCAT("I",('Configurable Tab'!$C$39+1)),"")</f>
        <v>I402</v>
      </c>
      <c r="C2857" s="1241" t="str">
        <f>IFERROR(_xlfn.CONCAT("I",('Configurable Tab'!$C$39+2)),"")</f>
        <v>I403</v>
      </c>
      <c r="D2857" s="801" t="s">
        <v>1343</v>
      </c>
      <c r="E2857" s="801" t="s">
        <v>1734</v>
      </c>
      <c r="F2857" s="1634"/>
      <c r="G2857" s="1634"/>
      <c r="H2857" s="1634"/>
      <c r="I2857" s="1241" t="str">
        <f t="shared" si="396"/>
        <v/>
      </c>
      <c r="J2857" s="1634" t="str">
        <f t="shared" si="397"/>
        <v/>
      </c>
      <c r="K2857" s="1634" t="str">
        <f t="shared" si="398"/>
        <v/>
      </c>
      <c r="M2857" s="1633"/>
      <c r="R2857" s="1634" t="s">
        <v>2190</v>
      </c>
    </row>
    <row r="2858" spans="1:20" s="1632" customFormat="1" x14ac:dyDescent="0.25">
      <c r="A2858" s="1636" t="s">
        <v>1375</v>
      </c>
      <c r="B2858" s="1241" t="str">
        <f>IFERROR(_xlfn.CONCAT("M",('Configurable Tab'!$C$39+1)),"")</f>
        <v>M402</v>
      </c>
      <c r="C2858" s="1241" t="str">
        <f>IFERROR(_xlfn.CONCAT("M",('Configurable Tab'!$C$39+2)),"")</f>
        <v>M403</v>
      </c>
      <c r="D2858" s="801" t="s">
        <v>1343</v>
      </c>
      <c r="E2858" s="801" t="s">
        <v>1734</v>
      </c>
      <c r="F2858" s="1634"/>
      <c r="G2858" s="1634"/>
      <c r="H2858" s="1634"/>
      <c r="I2858" s="1241" t="str">
        <f t="shared" si="396"/>
        <v/>
      </c>
      <c r="J2858" s="1634" t="str">
        <f t="shared" si="397"/>
        <v/>
      </c>
      <c r="K2858" s="1634" t="str">
        <f t="shared" si="398"/>
        <v/>
      </c>
      <c r="M2858" s="1633"/>
      <c r="R2858" s="1634" t="s">
        <v>2190</v>
      </c>
    </row>
    <row r="2859" spans="1:20" s="1632" customFormat="1" x14ac:dyDescent="0.25">
      <c r="A2859" s="1636" t="s">
        <v>1378</v>
      </c>
      <c r="B2859" s="1241" t="str">
        <f>IFERROR(_xlfn.CONCAT("D",('Configurable Tab'!$C$39+4)),"")</f>
        <v>D405</v>
      </c>
      <c r="C2859" s="1241" t="str">
        <f>IFERROR(_xlfn.CONCAT("E",('Configurable Tab'!$C$39+4)),"")</f>
        <v>E405</v>
      </c>
      <c r="D2859" s="801" t="s">
        <v>1343</v>
      </c>
      <c r="E2859" s="801" t="s">
        <v>1734</v>
      </c>
      <c r="F2859" s="1634"/>
      <c r="G2859" s="1634"/>
      <c r="H2859" s="1634"/>
      <c r="I2859" s="1241" t="str">
        <f t="shared" si="396"/>
        <v/>
      </c>
      <c r="J2859" s="1634" t="str">
        <f t="shared" si="397"/>
        <v/>
      </c>
      <c r="K2859" s="1634" t="str">
        <f t="shared" si="398"/>
        <v/>
      </c>
      <c r="M2859" s="1633"/>
      <c r="R2859" s="1634" t="s">
        <v>2190</v>
      </c>
    </row>
    <row r="2860" spans="1:20" s="1632" customFormat="1" x14ac:dyDescent="0.25">
      <c r="A2860" s="1636" t="s">
        <v>1379</v>
      </c>
      <c r="B2860" s="1241" t="str">
        <f>IFERROR(_xlfn.CONCAT("D",('Configurable Tab'!$C$39+5)),"")</f>
        <v>D406</v>
      </c>
      <c r="C2860" s="1241" t="str">
        <f>IFERROR(_xlfn.CONCAT("E",('Configurable Tab'!$C$39+5)),"")</f>
        <v>E406</v>
      </c>
      <c r="D2860" s="801" t="s">
        <v>1343</v>
      </c>
      <c r="E2860" s="801" t="s">
        <v>1734</v>
      </c>
      <c r="F2860" s="1634"/>
      <c r="G2860" s="1634"/>
      <c r="H2860" s="1634"/>
      <c r="I2860" s="1241" t="str">
        <f t="shared" si="396"/>
        <v/>
      </c>
      <c r="J2860" s="1634" t="str">
        <f t="shared" si="397"/>
        <v/>
      </c>
      <c r="K2860" s="1634" t="str">
        <f t="shared" si="398"/>
        <v/>
      </c>
      <c r="M2860" s="1633"/>
      <c r="R2860" s="1634" t="s">
        <v>2190</v>
      </c>
    </row>
    <row r="2861" spans="1:20" s="1632" customFormat="1" x14ac:dyDescent="0.25">
      <c r="A2861" s="1636" t="s">
        <v>1389</v>
      </c>
      <c r="B2861" s="1241" t="str">
        <f>IFERROR(_xlfn.CONCAT("G",('Configurable Tab'!$C$39+4)),"")</f>
        <v>G405</v>
      </c>
      <c r="C2861" s="1241" t="str">
        <f>IFERROR(_xlfn.CONCAT("G",('Configurable Tab'!$C$39+5)),"")</f>
        <v>G406</v>
      </c>
      <c r="D2861" s="801" t="s">
        <v>1343</v>
      </c>
      <c r="E2861" s="801" t="s">
        <v>1734</v>
      </c>
      <c r="F2861" s="1634"/>
      <c r="G2861" s="1634"/>
      <c r="H2861" s="1634"/>
      <c r="I2861" s="1241" t="str">
        <f t="shared" si="396"/>
        <v/>
      </c>
      <c r="J2861" s="1634" t="str">
        <f t="shared" si="397"/>
        <v/>
      </c>
      <c r="K2861" s="1634" t="str">
        <f t="shared" si="398"/>
        <v/>
      </c>
      <c r="M2861" s="1633"/>
      <c r="R2861" s="1634" t="s">
        <v>2190</v>
      </c>
    </row>
    <row r="2862" spans="1:20" s="1632" customFormat="1" x14ac:dyDescent="0.25">
      <c r="A2862" s="1636" t="s">
        <v>1996</v>
      </c>
      <c r="B2862" s="1241" t="str">
        <f>IFERROR(_xlfn.CONCAT("G",('Configurable Tab'!$C$39+7)),"")</f>
        <v>G408</v>
      </c>
      <c r="C2862" s="1241" t="str">
        <f>IFERROR(_xlfn.CONCAT("G",('Configurable Tab'!$C$39+8)),"")</f>
        <v>G409</v>
      </c>
      <c r="D2862" s="801" t="s">
        <v>1343</v>
      </c>
      <c r="E2862" s="801" t="s">
        <v>1734</v>
      </c>
      <c r="F2862" s="1634"/>
      <c r="G2862" s="1634"/>
      <c r="H2862" s="1634"/>
      <c r="I2862" s="1241" t="str">
        <f t="shared" si="396"/>
        <v/>
      </c>
      <c r="J2862" s="1634" t="str">
        <f t="shared" si="397"/>
        <v/>
      </c>
      <c r="K2862" s="1634" t="str">
        <f t="shared" si="398"/>
        <v/>
      </c>
      <c r="M2862" s="1633"/>
      <c r="R2862" s="1634" t="s">
        <v>2190</v>
      </c>
    </row>
    <row r="2863" spans="1:20" s="1632" customFormat="1" x14ac:dyDescent="0.25">
      <c r="A2863" s="1636" t="s">
        <v>1474</v>
      </c>
      <c r="B2863" s="1241" t="str">
        <f>IFERROR(_xlfn.CONCAT("K",('Configurable Tab'!$C$39+7)),"")</f>
        <v>K408</v>
      </c>
      <c r="C2863" s="1241" t="str">
        <f>IFERROR(_xlfn.CONCAT("K",('Configurable Tab'!$C$39+8)),"")</f>
        <v>K409</v>
      </c>
      <c r="D2863" s="801" t="s">
        <v>1343</v>
      </c>
      <c r="E2863" s="801" t="s">
        <v>1734</v>
      </c>
      <c r="F2863" s="1634"/>
      <c r="G2863" s="1634"/>
      <c r="H2863" s="1634"/>
      <c r="I2863" s="1241" t="str">
        <f t="shared" si="396"/>
        <v/>
      </c>
      <c r="J2863" s="1634" t="str">
        <f t="shared" si="397"/>
        <v/>
      </c>
      <c r="K2863" s="1634" t="str">
        <f t="shared" si="398"/>
        <v/>
      </c>
      <c r="M2863" s="1633"/>
      <c r="R2863" s="1634" t="s">
        <v>2190</v>
      </c>
    </row>
    <row r="2864" spans="1:20" s="1632" customFormat="1" x14ac:dyDescent="0.25">
      <c r="A2864" s="1636" t="s">
        <v>1390</v>
      </c>
      <c r="B2864" s="1241" t="str">
        <f>IFERROR(_xlfn.CONCAT("K",('Configurable Tab'!$C$39+1)),"")</f>
        <v>K402</v>
      </c>
      <c r="C2864" s="1241" t="str">
        <f>IFERROR(_xlfn.CONCAT("K",('Configurable Tab'!$C$39+2)),"")</f>
        <v>K403</v>
      </c>
      <c r="D2864" s="801" t="s">
        <v>1343</v>
      </c>
      <c r="E2864" s="801" t="s">
        <v>1734</v>
      </c>
      <c r="F2864" s="1634"/>
      <c r="G2864" s="1634"/>
      <c r="H2864" s="1634"/>
      <c r="I2864" s="1241" t="str">
        <f t="shared" si="396"/>
        <v/>
      </c>
      <c r="J2864" s="1634" t="str">
        <f t="shared" si="397"/>
        <v/>
      </c>
      <c r="K2864" s="1634" t="str">
        <f t="shared" si="398"/>
        <v/>
      </c>
      <c r="M2864" s="1633"/>
      <c r="R2864" s="1634" t="s">
        <v>2190</v>
      </c>
    </row>
    <row r="2865" spans="1:20" s="1632" customFormat="1" x14ac:dyDescent="0.25">
      <c r="A2865" s="1636"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4" t="s">
        <v>1488</v>
      </c>
      <c r="G2865" s="1634" t="str">
        <f>IF(T2865&lt;&gt;"","AS","")</f>
        <v/>
      </c>
      <c r="H2865" s="1634" t="s">
        <v>1982</v>
      </c>
      <c r="I2865" s="1241" t="str">
        <f t="shared" si="396"/>
        <v/>
      </c>
      <c r="J2865" s="1634"/>
      <c r="K2865" s="1634" t="str">
        <f t="shared" si="398"/>
        <v/>
      </c>
      <c r="L2865" s="801"/>
      <c r="M2865" s="1635"/>
      <c r="N2865" s="1634"/>
      <c r="R2865" s="1634" t="s">
        <v>2190</v>
      </c>
      <c r="T2865" s="1634" t="str">
        <f>IF(Q$2845="Yes",52,"")</f>
        <v/>
      </c>
    </row>
    <row r="2866" spans="1:20" s="1632" customFormat="1" x14ac:dyDescent="0.25">
      <c r="A2866" s="1637"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4" t="s">
        <v>1487</v>
      </c>
      <c r="G2866" s="1634" t="str">
        <f>IF(T2866&lt;&gt;"","AN","")</f>
        <v/>
      </c>
      <c r="H2866" s="1634" t="s">
        <v>1982</v>
      </c>
      <c r="I2866" s="1241"/>
      <c r="J2866" s="1634"/>
      <c r="K2866" s="1634"/>
      <c r="L2866" s="801"/>
      <c r="M2866" s="1635"/>
      <c r="N2866" s="1634"/>
      <c r="O2866" s="1526"/>
      <c r="P2866" s="595"/>
      <c r="Q2866" s="595"/>
      <c r="R2866" s="1634" t="s">
        <v>2190</v>
      </c>
      <c r="T2866" s="1688" t="str">
        <f t="shared" ref="T2866:T2873" si="399">IF(Q$2845="Yes",52,"")</f>
        <v/>
      </c>
    </row>
    <row r="2867" spans="1:20" s="1632" customFormat="1" x14ac:dyDescent="0.25">
      <c r="A2867" s="1637"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4" t="s">
        <v>1484</v>
      </c>
      <c r="G2867" s="1634" t="str">
        <f>IF(T2867&lt;&gt;"","AL","")</f>
        <v/>
      </c>
      <c r="H2867" s="1634" t="s">
        <v>1982</v>
      </c>
      <c r="I2867" s="1241"/>
      <c r="J2867" s="1634"/>
      <c r="K2867" s="1634"/>
      <c r="L2867" s="801"/>
      <c r="M2867" s="1635"/>
      <c r="N2867" s="1634"/>
      <c r="O2867" s="595"/>
      <c r="P2867" s="595"/>
      <c r="Q2867" s="595"/>
      <c r="R2867" s="1634" t="s">
        <v>2190</v>
      </c>
      <c r="T2867" s="1688" t="str">
        <f t="shared" si="399"/>
        <v/>
      </c>
    </row>
    <row r="2868" spans="1:20" s="1632" customFormat="1" x14ac:dyDescent="0.25">
      <c r="A2868" s="1637"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4" t="s">
        <v>1983</v>
      </c>
      <c r="G2868" s="1634" t="str">
        <f>IF(T2868&lt;&gt;"","E","")</f>
        <v/>
      </c>
      <c r="H2868" s="1634" t="s">
        <v>1982</v>
      </c>
      <c r="I2868" s="1241"/>
      <c r="J2868" s="1634"/>
      <c r="K2868" s="1634"/>
      <c r="L2868" s="801"/>
      <c r="M2868" s="1635"/>
      <c r="N2868" s="1634"/>
      <c r="O2868" s="595"/>
      <c r="P2868" s="595"/>
      <c r="Q2868" s="595"/>
      <c r="R2868" s="1634" t="s">
        <v>2190</v>
      </c>
      <c r="T2868" s="1688" t="str">
        <f t="shared" si="399"/>
        <v/>
      </c>
    </row>
    <row r="2869" spans="1:20" s="1632" customFormat="1" x14ac:dyDescent="0.25">
      <c r="A2869" s="1637"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4" t="s">
        <v>1987</v>
      </c>
      <c r="G2869" s="1634" t="str">
        <f>IF(T2869&lt;&gt;"","G","")</f>
        <v/>
      </c>
      <c r="H2869" s="1634" t="s">
        <v>1982</v>
      </c>
      <c r="I2869" s="1241"/>
      <c r="J2869" s="1634"/>
      <c r="K2869" s="1634"/>
      <c r="L2869" s="801"/>
      <c r="M2869" s="1635"/>
      <c r="N2869" s="1634"/>
      <c r="O2869" s="595"/>
      <c r="P2869" s="595"/>
      <c r="Q2869" s="595"/>
      <c r="R2869" s="1634" t="s">
        <v>2190</v>
      </c>
      <c r="T2869" s="1688" t="str">
        <f t="shared" si="399"/>
        <v/>
      </c>
    </row>
    <row r="2870" spans="1:20" s="1632" customFormat="1" x14ac:dyDescent="0.25">
      <c r="A2870" s="1637"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4" t="str">
        <f>IF(T2870&lt;&gt;"","AW","")</f>
        <v/>
      </c>
      <c r="H2870" s="1634" t="s">
        <v>1982</v>
      </c>
      <c r="I2870" s="1241"/>
      <c r="J2870" s="1634"/>
      <c r="K2870" s="1634"/>
      <c r="L2870" s="801"/>
      <c r="M2870" s="1635"/>
      <c r="N2870" s="1634"/>
      <c r="O2870" s="595"/>
      <c r="P2870" s="595"/>
      <c r="Q2870" s="595"/>
      <c r="R2870" s="1634" t="s">
        <v>2190</v>
      </c>
      <c r="T2870" s="1688" t="str">
        <f t="shared" si="399"/>
        <v/>
      </c>
    </row>
    <row r="2871" spans="1:20" s="1632" customFormat="1" x14ac:dyDescent="0.25">
      <c r="A2871" s="1637"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4" t="s">
        <v>1991</v>
      </c>
      <c r="G2871" s="1634" t="str">
        <f>IF(T2871&lt;&gt;"","AB","")</f>
        <v/>
      </c>
      <c r="H2871" s="1634" t="s">
        <v>1982</v>
      </c>
      <c r="I2871" s="1241"/>
      <c r="J2871" s="1634"/>
      <c r="K2871" s="1634"/>
      <c r="L2871" s="801"/>
      <c r="M2871" s="1635"/>
      <c r="N2871" s="1634"/>
      <c r="O2871" s="595"/>
      <c r="P2871" s="595"/>
      <c r="Q2871" s="595"/>
      <c r="R2871" s="1634" t="s">
        <v>2190</v>
      </c>
      <c r="T2871" s="1688" t="str">
        <f t="shared" si="399"/>
        <v/>
      </c>
    </row>
    <row r="2872" spans="1:20" s="1632" customFormat="1" x14ac:dyDescent="0.25">
      <c r="A2872" s="1637"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4" t="s">
        <v>1596</v>
      </c>
      <c r="G2872" s="1634" t="str">
        <f>IF(T2872&lt;&gt;"","AP","")</f>
        <v/>
      </c>
      <c r="H2872" s="1634" t="s">
        <v>1982</v>
      </c>
      <c r="I2872" s="1241"/>
      <c r="J2872" s="1634"/>
      <c r="K2872" s="1634"/>
      <c r="L2872" s="801"/>
      <c r="M2872" s="1635"/>
      <c r="N2872" s="1634"/>
      <c r="O2872" s="595"/>
      <c r="P2872" s="595"/>
      <c r="Q2872" s="595"/>
      <c r="R2872" s="1634" t="s">
        <v>2190</v>
      </c>
      <c r="T2872" s="1688" t="str">
        <f t="shared" si="399"/>
        <v/>
      </c>
    </row>
    <row r="2873" spans="1:20" s="1632" customFormat="1" x14ac:dyDescent="0.25">
      <c r="A2873" s="1637"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4" t="s">
        <v>2126</v>
      </c>
      <c r="G2873" s="1634" t="str">
        <f>IF(T2873&lt;&gt;"","AZ","")</f>
        <v/>
      </c>
      <c r="H2873" s="1634" t="s">
        <v>1982</v>
      </c>
      <c r="I2873" s="1241"/>
      <c r="J2873" s="1634"/>
      <c r="K2873" s="1634"/>
      <c r="L2873" s="801" t="s">
        <v>2126</v>
      </c>
      <c r="M2873" s="1635">
        <v>1712</v>
      </c>
      <c r="N2873" s="1634"/>
      <c r="O2873" s="595"/>
      <c r="P2873" s="595"/>
      <c r="Q2873" s="595"/>
      <c r="R2873" s="1634" t="s">
        <v>2190</v>
      </c>
      <c r="T2873" s="1688" t="str">
        <f t="shared" si="399"/>
        <v/>
      </c>
    </row>
    <row r="2874" spans="1:20" s="1632"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4" t="str">
        <f>IF(T2874&lt;&gt;"","A","")</f>
        <v/>
      </c>
      <c r="H2874" s="1634" t="s">
        <v>1982</v>
      </c>
      <c r="I2874" s="801"/>
      <c r="J2874" s="801"/>
      <c r="K2874" s="801"/>
      <c r="L2874" s="801" t="s">
        <v>1483</v>
      </c>
      <c r="M2874" s="1298">
        <v>1713</v>
      </c>
      <c r="N2874" s="801"/>
      <c r="O2874" s="1632" t="s">
        <v>725</v>
      </c>
      <c r="R2874" s="1634" t="s">
        <v>2191</v>
      </c>
      <c r="T2874" s="1634" t="str">
        <f>IF(Q$2875="Yes",53,"")</f>
        <v/>
      </c>
    </row>
    <row r="2875" spans="1:20" s="1632"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4"/>
      <c r="H2875" s="1634"/>
      <c r="I2875" s="801"/>
      <c r="J2875" s="801"/>
      <c r="K2875" s="801"/>
      <c r="L2875" s="801" t="s">
        <v>1697</v>
      </c>
      <c r="M2875" s="1298">
        <v>1714</v>
      </c>
      <c r="N2875" s="801"/>
      <c r="O2875" s="1632">
        <f>'Configurable Tab'!H55</f>
        <v>741</v>
      </c>
      <c r="P2875" s="18" t="str">
        <f>'Configurable Tab'!J55</f>
        <v>No</v>
      </c>
      <c r="Q2875" s="1632" t="s">
        <v>648</v>
      </c>
      <c r="R2875" s="1634" t="s">
        <v>2191</v>
      </c>
      <c r="T2875" s="1688" t="str">
        <f t="shared" ref="T2875:T2884" si="400">IF(Q$2875="Yes",53,"")</f>
        <v/>
      </c>
    </row>
    <row r="2876" spans="1:20" s="1632"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4" t="str">
        <f>IF(T2876&lt;&gt;"","B","")</f>
        <v/>
      </c>
      <c r="H2876" s="1634" t="s">
        <v>1982</v>
      </c>
      <c r="I2876" s="801"/>
      <c r="J2876" s="801"/>
      <c r="K2876" s="801"/>
      <c r="L2876" s="801" t="s">
        <v>1376</v>
      </c>
      <c r="M2876" s="1298">
        <v>1715</v>
      </c>
      <c r="N2876" s="801"/>
      <c r="O2876" s="1632" t="s">
        <v>726</v>
      </c>
      <c r="R2876" s="1634" t="s">
        <v>2191</v>
      </c>
      <c r="T2876" s="1688" t="str">
        <f t="shared" si="400"/>
        <v/>
      </c>
    </row>
    <row r="2877" spans="1:20" s="1632"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4" t="str">
        <f>IF(T2877&lt;&gt;"","I","")</f>
        <v/>
      </c>
      <c r="H2877" s="1634" t="s">
        <v>1982</v>
      </c>
      <c r="I2877" s="801"/>
      <c r="J2877" s="801"/>
      <c r="K2877" s="801"/>
      <c r="L2877" s="801" t="s">
        <v>1374</v>
      </c>
      <c r="M2877" s="1298">
        <v>1716</v>
      </c>
      <c r="N2877" s="801"/>
      <c r="O2877" s="1632">
        <f>'Configurable Tab'!I55</f>
        <v>754</v>
      </c>
      <c r="R2877" s="1634" t="s">
        <v>2191</v>
      </c>
      <c r="T2877" s="1688" t="str">
        <f t="shared" si="400"/>
        <v/>
      </c>
    </row>
    <row r="2878" spans="1:20" s="1632"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4" t="str">
        <f>IF(T2878&lt;&gt;"",IF(Q2877="Credit Memo","J",IF(Q2877="Check","K","")),"")</f>
        <v/>
      </c>
      <c r="H2878" s="1634" t="s">
        <v>1982</v>
      </c>
      <c r="I2878" s="801"/>
      <c r="J2878" s="801"/>
      <c r="K2878" s="801"/>
      <c r="L2878" s="801" t="s">
        <v>1375</v>
      </c>
      <c r="M2878" s="1298">
        <v>1717</v>
      </c>
      <c r="N2878" s="801"/>
      <c r="O2878" s="1632" t="s">
        <v>2200</v>
      </c>
      <c r="R2878" s="1634" t="s">
        <v>2191</v>
      </c>
      <c r="T2878" s="1688" t="str">
        <f t="shared" si="400"/>
        <v/>
      </c>
    </row>
    <row r="2879" spans="1:20" s="1632"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4" t="str">
        <f>IF(T2879&lt;&gt;"","C","")</f>
        <v/>
      </c>
      <c r="H2879" s="1634" t="s">
        <v>1982</v>
      </c>
      <c r="I2879" s="801"/>
      <c r="J2879" s="801"/>
      <c r="K2879" s="801"/>
      <c r="L2879" s="801" t="s">
        <v>1378</v>
      </c>
      <c r="M2879" s="1298">
        <v>1718</v>
      </c>
      <c r="N2879" s="801"/>
      <c r="R2879" s="1634" t="s">
        <v>2191</v>
      </c>
      <c r="T2879" s="1688" t="str">
        <f t="shared" si="400"/>
        <v/>
      </c>
    </row>
    <row r="2880" spans="1:20" s="1632"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4" t="str">
        <f>IF(T2880&lt;&gt;"","D","")</f>
        <v/>
      </c>
      <c r="H2880" s="1634" t="s">
        <v>1982</v>
      </c>
      <c r="I2880" s="801"/>
      <c r="J2880" s="801"/>
      <c r="K2880" s="801"/>
      <c r="L2880" s="801" t="s">
        <v>1379</v>
      </c>
      <c r="M2880" s="1298">
        <v>1719</v>
      </c>
      <c r="N2880" s="801"/>
      <c r="R2880" s="1634" t="s">
        <v>2191</v>
      </c>
      <c r="T2880" s="1688" t="str">
        <f t="shared" si="400"/>
        <v/>
      </c>
    </row>
    <row r="2881" spans="1:20" s="1632"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4" t="s">
        <v>1389</v>
      </c>
      <c r="G2881" s="1634" t="str">
        <f>IF(T2881&lt;&gt;"","S","")</f>
        <v/>
      </c>
      <c r="H2881" s="1634" t="s">
        <v>1982</v>
      </c>
      <c r="I2881" s="801"/>
      <c r="J2881" s="801"/>
      <c r="K2881" s="801"/>
      <c r="L2881" s="801" t="s">
        <v>1389</v>
      </c>
      <c r="M2881" s="1298">
        <v>1720</v>
      </c>
      <c r="N2881" s="801"/>
      <c r="R2881" s="1634" t="s">
        <v>2191</v>
      </c>
      <c r="T2881" s="1688" t="str">
        <f t="shared" si="400"/>
        <v/>
      </c>
    </row>
    <row r="2882" spans="1:20" s="1632"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4" t="str">
        <f>IF(T2882&lt;&gt;"","AQ","")</f>
        <v/>
      </c>
      <c r="H2882" s="1634" t="s">
        <v>1982</v>
      </c>
      <c r="I2882" s="801"/>
      <c r="J2882" s="801"/>
      <c r="K2882" s="801"/>
      <c r="L2882" s="801" t="s">
        <v>1996</v>
      </c>
      <c r="M2882" s="1298">
        <v>1721</v>
      </c>
      <c r="N2882" s="801"/>
      <c r="R2882" s="1634" t="s">
        <v>2191</v>
      </c>
      <c r="T2882" s="1688" t="str">
        <f t="shared" si="400"/>
        <v/>
      </c>
    </row>
    <row r="2883" spans="1:20" s="1632"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4" t="str">
        <f>IF(T2883&lt;&gt;"","AA","")</f>
        <v/>
      </c>
      <c r="H2883" s="1634" t="s">
        <v>1982</v>
      </c>
      <c r="I2883" s="801"/>
      <c r="J2883" s="801"/>
      <c r="K2883" s="801"/>
      <c r="L2883" s="801" t="s">
        <v>1997</v>
      </c>
      <c r="M2883" s="1298">
        <v>1722</v>
      </c>
      <c r="N2883" s="801"/>
      <c r="R2883" s="1634" t="s">
        <v>2191</v>
      </c>
      <c r="T2883" s="1688" t="str">
        <f t="shared" si="400"/>
        <v/>
      </c>
    </row>
    <row r="2884" spans="1:20" s="1632"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4" t="str">
        <f>IF(T2884&lt;&gt;"","H","")</f>
        <v/>
      </c>
      <c r="H2884" s="1634" t="s">
        <v>1982</v>
      </c>
      <c r="I2884" s="801"/>
      <c r="J2884" s="801"/>
      <c r="K2884" s="801"/>
      <c r="L2884" s="801" t="s">
        <v>1390</v>
      </c>
      <c r="M2884" s="1298">
        <v>1723</v>
      </c>
      <c r="N2884" s="801"/>
      <c r="R2884" s="1634" t="s">
        <v>2191</v>
      </c>
      <c r="T2884" s="1688" t="str">
        <f t="shared" si="400"/>
        <v/>
      </c>
    </row>
    <row r="2885" spans="1:20" s="1632" customFormat="1" x14ac:dyDescent="0.25">
      <c r="A2885" s="818" t="s">
        <v>1697</v>
      </c>
      <c r="B2885" s="1241" t="str">
        <f>IFERROR(_xlfn.CONCAT("D",('Configurable Tab'!$C$40+1)),"")</f>
        <v>D413</v>
      </c>
      <c r="C2885" s="1241" t="str">
        <f>IFERROR(_xlfn.CONCAT("E",('Configurable Tab'!$C$40+1)),"")</f>
        <v>E413</v>
      </c>
      <c r="D2885" s="801" t="s">
        <v>1343</v>
      </c>
      <c r="E2885" s="801" t="s">
        <v>1734</v>
      </c>
      <c r="F2885" s="1634"/>
      <c r="G2885" s="1634"/>
      <c r="H2885" s="1634"/>
      <c r="I2885" s="1241" t="str">
        <f t="shared" ref="I2885:I2895" si="401">IF(J2885&lt;&gt;"",A2885,"")</f>
        <v/>
      </c>
      <c r="J2885" s="1634" t="str">
        <f t="shared" ref="J2885:J2894" si="402">IFERROR(IF($Q$2875="Yes",Q$1&amp;M2875,""),"")</f>
        <v/>
      </c>
      <c r="K2885" s="1634" t="str">
        <f t="shared" ref="K2885:K2895" si="403">IF(J2885&lt;&gt;"",E2885,"")</f>
        <v/>
      </c>
      <c r="M2885" s="1633"/>
      <c r="Q2885" s="1241" t="str">
        <f>IFERROR(_xlfn.CONCAT("C",('Configurable Tab'!$C40+1)),"")</f>
        <v>C413</v>
      </c>
      <c r="R2885" s="1634" t="s">
        <v>2191</v>
      </c>
    </row>
    <row r="2886" spans="1:20" s="1632" customFormat="1" x14ac:dyDescent="0.25">
      <c r="A2886" s="818" t="s">
        <v>1376</v>
      </c>
      <c r="B2886" s="1241" t="str">
        <f>IFERROR(_xlfn.CONCAT("D",('Configurable Tab'!$C$40+2)),"")</f>
        <v>D414</v>
      </c>
      <c r="C2886" s="1241" t="str">
        <f>IFERROR(_xlfn.CONCAT("E",('Configurable Tab'!$C$40+2)),"")</f>
        <v>E414</v>
      </c>
      <c r="D2886" s="801" t="s">
        <v>1343</v>
      </c>
      <c r="E2886" s="801" t="s">
        <v>1734</v>
      </c>
      <c r="F2886" s="1634"/>
      <c r="G2886" s="1634"/>
      <c r="H2886" s="1634"/>
      <c r="I2886" s="1241" t="str">
        <f t="shared" si="401"/>
        <v/>
      </c>
      <c r="J2886" s="1634" t="str">
        <f t="shared" si="402"/>
        <v/>
      </c>
      <c r="K2886" s="1634" t="str">
        <f t="shared" si="403"/>
        <v/>
      </c>
      <c r="M2886" s="1633"/>
      <c r="R2886" s="1634" t="s">
        <v>2191</v>
      </c>
    </row>
    <row r="2887" spans="1:20" s="1632" customFormat="1" x14ac:dyDescent="0.25">
      <c r="A2887" s="818" t="s">
        <v>1374</v>
      </c>
      <c r="B2887" s="1241" t="str">
        <f>IFERROR(_xlfn.CONCAT("I",('Configurable Tab'!$C$40+1)),"")</f>
        <v>I413</v>
      </c>
      <c r="C2887" s="1241" t="str">
        <f>IFERROR(_xlfn.CONCAT("I",('Configurable Tab'!$C$40+2)),"")</f>
        <v>I414</v>
      </c>
      <c r="D2887" s="801" t="s">
        <v>1343</v>
      </c>
      <c r="E2887" s="801" t="s">
        <v>1734</v>
      </c>
      <c r="F2887" s="1634"/>
      <c r="G2887" s="1634"/>
      <c r="H2887" s="1634"/>
      <c r="I2887" s="1241" t="str">
        <f t="shared" si="401"/>
        <v/>
      </c>
      <c r="J2887" s="1634" t="str">
        <f t="shared" si="402"/>
        <v/>
      </c>
      <c r="K2887" s="1634" t="str">
        <f t="shared" si="403"/>
        <v/>
      </c>
      <c r="M2887" s="1633"/>
      <c r="R2887" s="1634" t="s">
        <v>2191</v>
      </c>
    </row>
    <row r="2888" spans="1:20" s="1632" customFormat="1" x14ac:dyDescent="0.25">
      <c r="A2888" s="818" t="s">
        <v>1375</v>
      </c>
      <c r="B2888" s="1241" t="str">
        <f>IFERROR(_xlfn.CONCAT("M",('Configurable Tab'!$C$40+1)),"")</f>
        <v>M413</v>
      </c>
      <c r="C2888" s="1241" t="str">
        <f>IFERROR(_xlfn.CONCAT("M",('Configurable Tab'!$C$40+2)),"")</f>
        <v>M414</v>
      </c>
      <c r="D2888" s="801" t="s">
        <v>1343</v>
      </c>
      <c r="E2888" s="801" t="s">
        <v>1734</v>
      </c>
      <c r="F2888" s="1634"/>
      <c r="G2888" s="1634"/>
      <c r="H2888" s="1634"/>
      <c r="I2888" s="1241" t="str">
        <f t="shared" si="401"/>
        <v/>
      </c>
      <c r="J2888" s="1634" t="str">
        <f t="shared" si="402"/>
        <v/>
      </c>
      <c r="K2888" s="1634" t="str">
        <f t="shared" si="403"/>
        <v/>
      </c>
      <c r="M2888" s="1633"/>
      <c r="R2888" s="1634" t="s">
        <v>2191</v>
      </c>
    </row>
    <row r="2889" spans="1:20" s="1632" customFormat="1" x14ac:dyDescent="0.25">
      <c r="A2889" s="818" t="s">
        <v>1378</v>
      </c>
      <c r="B2889" s="1241" t="str">
        <f>IFERROR(_xlfn.CONCAT("D",('Configurable Tab'!$C$40+4)),"")</f>
        <v>D416</v>
      </c>
      <c r="C2889" s="1241" t="str">
        <f>IFERROR(_xlfn.CONCAT("E",('Configurable Tab'!$C$40+4)),"")</f>
        <v>E416</v>
      </c>
      <c r="D2889" s="801" t="s">
        <v>1343</v>
      </c>
      <c r="E2889" s="801" t="s">
        <v>1734</v>
      </c>
      <c r="F2889" s="1634"/>
      <c r="G2889" s="1634"/>
      <c r="H2889" s="1634"/>
      <c r="I2889" s="1241" t="str">
        <f t="shared" si="401"/>
        <v/>
      </c>
      <c r="J2889" s="1634" t="str">
        <f t="shared" si="402"/>
        <v/>
      </c>
      <c r="K2889" s="1634" t="str">
        <f t="shared" si="403"/>
        <v/>
      </c>
      <c r="M2889" s="1633"/>
      <c r="R2889" s="1634" t="s">
        <v>2191</v>
      </c>
    </row>
    <row r="2890" spans="1:20" s="1632" customFormat="1" x14ac:dyDescent="0.25">
      <c r="A2890" s="818" t="s">
        <v>1379</v>
      </c>
      <c r="B2890" s="1241" t="str">
        <f>IFERROR(_xlfn.CONCAT("D",('Configurable Tab'!$C$40+5)),"")</f>
        <v>D417</v>
      </c>
      <c r="C2890" s="1241" t="str">
        <f>IFERROR(_xlfn.CONCAT("E",('Configurable Tab'!$C$40+5)),"")</f>
        <v>E417</v>
      </c>
      <c r="D2890" s="801" t="s">
        <v>1343</v>
      </c>
      <c r="E2890" s="801" t="s">
        <v>1734</v>
      </c>
      <c r="F2890" s="1634"/>
      <c r="G2890" s="1634"/>
      <c r="H2890" s="1634"/>
      <c r="I2890" s="1241" t="str">
        <f t="shared" si="401"/>
        <v/>
      </c>
      <c r="J2890" s="1634" t="str">
        <f t="shared" si="402"/>
        <v/>
      </c>
      <c r="K2890" s="1634" t="str">
        <f t="shared" si="403"/>
        <v/>
      </c>
      <c r="M2890" s="1633"/>
      <c r="R2890" s="1634" t="s">
        <v>2191</v>
      </c>
    </row>
    <row r="2891" spans="1:20" s="1632" customFormat="1" x14ac:dyDescent="0.25">
      <c r="A2891" s="818" t="s">
        <v>1389</v>
      </c>
      <c r="B2891" s="1241" t="str">
        <f>IFERROR(_xlfn.CONCAT("G",('Configurable Tab'!$C$40+4)),"")</f>
        <v>G416</v>
      </c>
      <c r="C2891" s="1241" t="str">
        <f>IFERROR(_xlfn.CONCAT("G",('Configurable Tab'!$C$40+5)),"")</f>
        <v>G417</v>
      </c>
      <c r="D2891" s="801" t="s">
        <v>1343</v>
      </c>
      <c r="E2891" s="801" t="s">
        <v>1734</v>
      </c>
      <c r="F2891" s="1634"/>
      <c r="G2891" s="1634"/>
      <c r="H2891" s="1634"/>
      <c r="I2891" s="1241" t="str">
        <f t="shared" si="401"/>
        <v/>
      </c>
      <c r="J2891" s="1634" t="str">
        <f t="shared" si="402"/>
        <v/>
      </c>
      <c r="K2891" s="1634" t="str">
        <f t="shared" si="403"/>
        <v/>
      </c>
      <c r="M2891" s="1633"/>
      <c r="R2891" s="1634" t="s">
        <v>2191</v>
      </c>
    </row>
    <row r="2892" spans="1:20" s="1632" customFormat="1" x14ac:dyDescent="0.25">
      <c r="A2892" s="818" t="s">
        <v>1996</v>
      </c>
      <c r="B2892" s="1241" t="str">
        <f>IFERROR(_xlfn.CONCAT("G",('Configurable Tab'!$C$40+7)),"")</f>
        <v>G419</v>
      </c>
      <c r="C2892" s="1241" t="str">
        <f>IFERROR(_xlfn.CONCAT("G",('Configurable Tab'!$C$40+8)),"")</f>
        <v>G420</v>
      </c>
      <c r="D2892" s="801" t="s">
        <v>1343</v>
      </c>
      <c r="E2892" s="801" t="s">
        <v>1734</v>
      </c>
      <c r="F2892" s="1634"/>
      <c r="G2892" s="1634"/>
      <c r="H2892" s="1634"/>
      <c r="I2892" s="1241" t="str">
        <f t="shared" si="401"/>
        <v/>
      </c>
      <c r="J2892" s="1634" t="str">
        <f t="shared" si="402"/>
        <v/>
      </c>
      <c r="K2892" s="1634" t="str">
        <f t="shared" si="403"/>
        <v/>
      </c>
      <c r="M2892" s="1633"/>
      <c r="R2892" s="1634" t="s">
        <v>2191</v>
      </c>
    </row>
    <row r="2893" spans="1:20" s="1632" customFormat="1" x14ac:dyDescent="0.25">
      <c r="A2893" s="818" t="s">
        <v>1474</v>
      </c>
      <c r="B2893" s="1241" t="str">
        <f>IFERROR(_xlfn.CONCAT("K",('Configurable Tab'!$C$40+7)),"")</f>
        <v>K419</v>
      </c>
      <c r="C2893" s="1241" t="str">
        <f>IFERROR(_xlfn.CONCAT("K",('Configurable Tab'!$C$40+8)),"")</f>
        <v>K420</v>
      </c>
      <c r="D2893" s="801" t="s">
        <v>1343</v>
      </c>
      <c r="E2893" s="801" t="s">
        <v>1734</v>
      </c>
      <c r="F2893" s="1634"/>
      <c r="G2893" s="1634"/>
      <c r="H2893" s="1634"/>
      <c r="I2893" s="1241" t="str">
        <f t="shared" si="401"/>
        <v/>
      </c>
      <c r="J2893" s="1634" t="str">
        <f t="shared" si="402"/>
        <v/>
      </c>
      <c r="K2893" s="1634" t="str">
        <f t="shared" si="403"/>
        <v/>
      </c>
      <c r="M2893" s="1633"/>
      <c r="R2893" s="1634" t="s">
        <v>2191</v>
      </c>
    </row>
    <row r="2894" spans="1:20" s="1632" customFormat="1" x14ac:dyDescent="0.25">
      <c r="A2894" s="818" t="s">
        <v>1390</v>
      </c>
      <c r="B2894" s="1241" t="str">
        <f>IFERROR(_xlfn.CONCAT("K",('Configurable Tab'!$C$40+1)),"")</f>
        <v>K413</v>
      </c>
      <c r="C2894" s="1241" t="str">
        <f>IFERROR(_xlfn.CONCAT("K",('Configurable Tab'!$C$40+2)),"")</f>
        <v>K414</v>
      </c>
      <c r="D2894" s="801" t="s">
        <v>1343</v>
      </c>
      <c r="E2894" s="801" t="s">
        <v>1734</v>
      </c>
      <c r="F2894" s="1634"/>
      <c r="G2894" s="1634"/>
      <c r="H2894" s="1634"/>
      <c r="I2894" s="1241" t="str">
        <f t="shared" si="401"/>
        <v/>
      </c>
      <c r="J2894" s="1634" t="str">
        <f t="shared" si="402"/>
        <v/>
      </c>
      <c r="K2894" s="1634" t="str">
        <f t="shared" si="403"/>
        <v/>
      </c>
      <c r="M2894" s="1633"/>
      <c r="R2894" s="1634" t="s">
        <v>2191</v>
      </c>
    </row>
    <row r="2895" spans="1:20" s="1632"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4" t="s">
        <v>1488</v>
      </c>
      <c r="G2895" s="1634" t="str">
        <f>IF(T2895&lt;&gt;"","AS","")</f>
        <v/>
      </c>
      <c r="H2895" s="1634" t="s">
        <v>1982</v>
      </c>
      <c r="I2895" s="1241" t="str">
        <f t="shared" si="401"/>
        <v/>
      </c>
      <c r="J2895" s="1634"/>
      <c r="K2895" s="1634" t="str">
        <f t="shared" si="403"/>
        <v/>
      </c>
      <c r="L2895" s="801"/>
      <c r="M2895" s="1635"/>
      <c r="N2895" s="1634"/>
      <c r="R2895" s="1634" t="s">
        <v>2191</v>
      </c>
      <c r="T2895" s="1634" t="str">
        <f>IF(Q$2875="Yes",53,"")</f>
        <v/>
      </c>
    </row>
    <row r="2896" spans="1:20" s="1632"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4" t="s">
        <v>1487</v>
      </c>
      <c r="G2896" s="1634" t="str">
        <f>IF(T2896&lt;&gt;"","AN","")</f>
        <v/>
      </c>
      <c r="H2896" s="1634" t="s">
        <v>1982</v>
      </c>
      <c r="I2896" s="1241"/>
      <c r="J2896" s="1634"/>
      <c r="K2896" s="1634"/>
      <c r="L2896" s="801"/>
      <c r="M2896" s="1635"/>
      <c r="N2896" s="1634"/>
      <c r="O2896" s="1526"/>
      <c r="P2896" s="595"/>
      <c r="Q2896" s="595"/>
      <c r="R2896" s="1634" t="s">
        <v>2191</v>
      </c>
      <c r="T2896" s="1688" t="str">
        <f t="shared" ref="T2896:T2903" si="404">IF(Q$2875="Yes",53,"")</f>
        <v/>
      </c>
    </row>
    <row r="2897" spans="1:20" s="1632"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4" t="s">
        <v>1484</v>
      </c>
      <c r="G2897" s="1634" t="str">
        <f>IF(T2897&lt;&gt;"","AL","")</f>
        <v/>
      </c>
      <c r="H2897" s="1634" t="s">
        <v>1982</v>
      </c>
      <c r="I2897" s="1241"/>
      <c r="J2897" s="1634"/>
      <c r="K2897" s="1634"/>
      <c r="L2897" s="801"/>
      <c r="M2897" s="1635"/>
      <c r="N2897" s="1634"/>
      <c r="O2897" s="595"/>
      <c r="P2897" s="595"/>
      <c r="Q2897" s="595"/>
      <c r="R2897" s="1634" t="s">
        <v>2191</v>
      </c>
      <c r="T2897" s="1688" t="str">
        <f t="shared" si="404"/>
        <v/>
      </c>
    </row>
    <row r="2898" spans="1:20" s="1632"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4" t="s">
        <v>1983</v>
      </c>
      <c r="G2898" s="1634" t="str">
        <f>IF(T2898&lt;&gt;"","E","")</f>
        <v/>
      </c>
      <c r="H2898" s="1634" t="s">
        <v>1982</v>
      </c>
      <c r="I2898" s="1241"/>
      <c r="J2898" s="1634"/>
      <c r="K2898" s="1634"/>
      <c r="L2898" s="801"/>
      <c r="M2898" s="1635"/>
      <c r="N2898" s="1634"/>
      <c r="O2898" s="595"/>
      <c r="P2898" s="595"/>
      <c r="Q2898" s="595"/>
      <c r="R2898" s="1634" t="s">
        <v>2191</v>
      </c>
      <c r="T2898" s="1688" t="str">
        <f t="shared" si="404"/>
        <v/>
      </c>
    </row>
    <row r="2899" spans="1:20" s="1632"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4" t="s">
        <v>1987</v>
      </c>
      <c r="G2899" s="1634" t="str">
        <f>IF(T2899&lt;&gt;"","G","")</f>
        <v/>
      </c>
      <c r="H2899" s="1634" t="s">
        <v>1982</v>
      </c>
      <c r="I2899" s="1241"/>
      <c r="J2899" s="1634"/>
      <c r="K2899" s="1634"/>
      <c r="L2899" s="801"/>
      <c r="M2899" s="1635"/>
      <c r="N2899" s="1634"/>
      <c r="O2899" s="595"/>
      <c r="P2899" s="595"/>
      <c r="Q2899" s="595"/>
      <c r="R2899" s="1634" t="s">
        <v>2191</v>
      </c>
      <c r="T2899" s="1688" t="str">
        <f t="shared" si="404"/>
        <v/>
      </c>
    </row>
    <row r="2900" spans="1:20" s="1632"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4" t="str">
        <f>IF(T2900&lt;&gt;"","AW","")</f>
        <v/>
      </c>
      <c r="H2900" s="1634" t="s">
        <v>1982</v>
      </c>
      <c r="I2900" s="1241"/>
      <c r="J2900" s="1634"/>
      <c r="K2900" s="1634"/>
      <c r="L2900" s="801"/>
      <c r="M2900" s="1635"/>
      <c r="N2900" s="1634"/>
      <c r="O2900" s="595"/>
      <c r="P2900" s="595"/>
      <c r="Q2900" s="595"/>
      <c r="R2900" s="1634" t="s">
        <v>2191</v>
      </c>
      <c r="T2900" s="1688" t="str">
        <f t="shared" si="404"/>
        <v/>
      </c>
    </row>
    <row r="2901" spans="1:20" s="1632"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4" t="s">
        <v>1991</v>
      </c>
      <c r="G2901" s="1634" t="str">
        <f>IF(T2901&lt;&gt;"","AB","")</f>
        <v/>
      </c>
      <c r="H2901" s="1634" t="s">
        <v>1982</v>
      </c>
      <c r="I2901" s="1241"/>
      <c r="J2901" s="1634"/>
      <c r="K2901" s="1634"/>
      <c r="L2901" s="801"/>
      <c r="M2901" s="1635"/>
      <c r="N2901" s="1634"/>
      <c r="O2901" s="595"/>
      <c r="P2901" s="595"/>
      <c r="Q2901" s="595"/>
      <c r="R2901" s="1634" t="s">
        <v>2191</v>
      </c>
      <c r="T2901" s="1688" t="str">
        <f t="shared" si="404"/>
        <v/>
      </c>
    </row>
    <row r="2902" spans="1:20" s="1632"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4" t="s">
        <v>1596</v>
      </c>
      <c r="G2902" s="1634" t="str">
        <f>IF(T2902&lt;&gt;"","AP","")</f>
        <v/>
      </c>
      <c r="H2902" s="1634" t="s">
        <v>1982</v>
      </c>
      <c r="I2902" s="1241"/>
      <c r="J2902" s="1634"/>
      <c r="K2902" s="1634"/>
      <c r="L2902" s="801"/>
      <c r="M2902" s="1635"/>
      <c r="N2902" s="1634"/>
      <c r="O2902" s="595"/>
      <c r="P2902" s="595"/>
      <c r="Q2902" s="595"/>
      <c r="R2902" s="1634" t="s">
        <v>2191</v>
      </c>
      <c r="T2902" s="1688" t="str">
        <f t="shared" si="404"/>
        <v/>
      </c>
    </row>
    <row r="2903" spans="1:20" s="1632"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4" t="s">
        <v>2126</v>
      </c>
      <c r="G2903" s="1634" t="str">
        <f>IF(T2903&lt;&gt;"","AZ","")</f>
        <v/>
      </c>
      <c r="H2903" s="1634" t="s">
        <v>1982</v>
      </c>
      <c r="I2903" s="1241"/>
      <c r="J2903" s="1634"/>
      <c r="K2903" s="1634"/>
      <c r="L2903" s="801" t="s">
        <v>2126</v>
      </c>
      <c r="M2903" s="1635">
        <v>1724</v>
      </c>
      <c r="N2903" s="1634"/>
      <c r="O2903" s="595"/>
      <c r="P2903" s="595"/>
      <c r="Q2903" s="595"/>
      <c r="R2903" s="1634" t="s">
        <v>2191</v>
      </c>
      <c r="T2903" s="1688" t="str">
        <f t="shared" si="404"/>
        <v/>
      </c>
    </row>
    <row r="2904" spans="1:20" s="1632" customFormat="1" x14ac:dyDescent="0.25">
      <c r="A2904" s="1636"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4" t="str">
        <f>IF(T2904&lt;&gt;"","A","")</f>
        <v/>
      </c>
      <c r="H2904" s="1634" t="s">
        <v>1982</v>
      </c>
      <c r="I2904" s="801"/>
      <c r="J2904" s="801"/>
      <c r="K2904" s="801"/>
      <c r="L2904" s="801" t="s">
        <v>1483</v>
      </c>
      <c r="M2904" s="1298">
        <v>1725</v>
      </c>
      <c r="N2904" s="801"/>
      <c r="O2904" s="1632" t="s">
        <v>725</v>
      </c>
      <c r="R2904" s="1634" t="s">
        <v>2192</v>
      </c>
      <c r="T2904" s="1634" t="str">
        <f>IF(Q$2905="Yes",54,"")</f>
        <v/>
      </c>
    </row>
    <row r="2905" spans="1:20" s="1632" customFormat="1" x14ac:dyDescent="0.25">
      <c r="A2905" s="1636"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4"/>
      <c r="H2905" s="1634"/>
      <c r="I2905" s="801"/>
      <c r="J2905" s="801"/>
      <c r="K2905" s="801"/>
      <c r="L2905" s="801" t="s">
        <v>1697</v>
      </c>
      <c r="M2905" s="1298">
        <v>1726</v>
      </c>
      <c r="N2905" s="801"/>
      <c r="O2905" s="1632">
        <f>'Configurable Tab'!H56</f>
        <v>755</v>
      </c>
      <c r="P2905" s="18" t="str">
        <f>'Configurable Tab'!J56</f>
        <v>No</v>
      </c>
      <c r="Q2905" s="1632" t="s">
        <v>648</v>
      </c>
      <c r="R2905" s="1634" t="s">
        <v>2192</v>
      </c>
      <c r="T2905" s="1688" t="str">
        <f t="shared" ref="T2905:T2914" si="405">IF(Q$2905="Yes",54,"")</f>
        <v/>
      </c>
    </row>
    <row r="2906" spans="1:20" s="1632" customFormat="1" x14ac:dyDescent="0.25">
      <c r="A2906" s="1636"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4" t="str">
        <f>IF(T2906&lt;&gt;"","B","")</f>
        <v/>
      </c>
      <c r="H2906" s="1634" t="s">
        <v>1982</v>
      </c>
      <c r="I2906" s="801"/>
      <c r="J2906" s="801"/>
      <c r="K2906" s="801"/>
      <c r="L2906" s="801" t="s">
        <v>1376</v>
      </c>
      <c r="M2906" s="1298">
        <v>1727</v>
      </c>
      <c r="N2906" s="801"/>
      <c r="O2906" s="1632" t="s">
        <v>726</v>
      </c>
      <c r="R2906" s="1634" t="s">
        <v>2192</v>
      </c>
      <c r="T2906" s="1688" t="str">
        <f t="shared" si="405"/>
        <v/>
      </c>
    </row>
    <row r="2907" spans="1:20" s="1632" customFormat="1" x14ac:dyDescent="0.25">
      <c r="A2907" s="1636"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4" t="str">
        <f>IF(T2907&lt;&gt;"","I","")</f>
        <v/>
      </c>
      <c r="H2907" s="1634" t="s">
        <v>1982</v>
      </c>
      <c r="I2907" s="801"/>
      <c r="J2907" s="801"/>
      <c r="K2907" s="801"/>
      <c r="L2907" s="801" t="s">
        <v>1374</v>
      </c>
      <c r="M2907" s="1298">
        <v>1728</v>
      </c>
      <c r="N2907" s="801"/>
      <c r="O2907" s="1632">
        <f>'Configurable Tab'!I56</f>
        <v>768</v>
      </c>
      <c r="R2907" s="1634" t="s">
        <v>2192</v>
      </c>
      <c r="T2907" s="1688" t="str">
        <f t="shared" si="405"/>
        <v/>
      </c>
    </row>
    <row r="2908" spans="1:20" s="1632" customFormat="1" x14ac:dyDescent="0.25">
      <c r="A2908" s="1636"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4" t="str">
        <f>IF(T2908&lt;&gt;"",IF(Q2907="Credit Memo","J",IF(Q2907="Check","K","")),"")</f>
        <v/>
      </c>
      <c r="H2908" s="1634" t="s">
        <v>1982</v>
      </c>
      <c r="I2908" s="801"/>
      <c r="J2908" s="801"/>
      <c r="K2908" s="801"/>
      <c r="L2908" s="801" t="s">
        <v>1375</v>
      </c>
      <c r="M2908" s="1298">
        <v>1729</v>
      </c>
      <c r="N2908" s="801"/>
      <c r="O2908" s="1632" t="s">
        <v>2201</v>
      </c>
      <c r="R2908" s="1634" t="s">
        <v>2192</v>
      </c>
      <c r="T2908" s="1688" t="str">
        <f t="shared" si="405"/>
        <v/>
      </c>
    </row>
    <row r="2909" spans="1:20" s="1632" customFormat="1" x14ac:dyDescent="0.25">
      <c r="A2909" s="1636"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4" t="str">
        <f>IF(T2909&lt;&gt;"","C","")</f>
        <v/>
      </c>
      <c r="H2909" s="1634" t="s">
        <v>1982</v>
      </c>
      <c r="I2909" s="801"/>
      <c r="J2909" s="801"/>
      <c r="K2909" s="801"/>
      <c r="L2909" s="801" t="s">
        <v>1378</v>
      </c>
      <c r="M2909" s="1298">
        <v>1730</v>
      </c>
      <c r="N2909" s="801"/>
      <c r="R2909" s="1634" t="s">
        <v>2192</v>
      </c>
      <c r="T2909" s="1688" t="str">
        <f t="shared" si="405"/>
        <v/>
      </c>
    </row>
    <row r="2910" spans="1:20" s="1632" customFormat="1" x14ac:dyDescent="0.25">
      <c r="A2910" s="1636"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4" t="str">
        <f>IF(T2910&lt;&gt;"","D","")</f>
        <v/>
      </c>
      <c r="H2910" s="1634" t="s">
        <v>1982</v>
      </c>
      <c r="I2910" s="801"/>
      <c r="J2910" s="801"/>
      <c r="K2910" s="801"/>
      <c r="L2910" s="801" t="s">
        <v>1379</v>
      </c>
      <c r="M2910" s="1298">
        <v>1731</v>
      </c>
      <c r="N2910" s="801"/>
      <c r="R2910" s="1634" t="s">
        <v>2192</v>
      </c>
      <c r="T2910" s="1688" t="str">
        <f t="shared" si="405"/>
        <v/>
      </c>
    </row>
    <row r="2911" spans="1:20" s="1632" customFormat="1" x14ac:dyDescent="0.25">
      <c r="A2911" s="1636"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4" t="s">
        <v>1389</v>
      </c>
      <c r="G2911" s="1634" t="str">
        <f>IF(T2911&lt;&gt;"","S","")</f>
        <v/>
      </c>
      <c r="H2911" s="1634" t="s">
        <v>1982</v>
      </c>
      <c r="I2911" s="801"/>
      <c r="J2911" s="801"/>
      <c r="K2911" s="801"/>
      <c r="L2911" s="801" t="s">
        <v>1389</v>
      </c>
      <c r="M2911" s="1298">
        <v>1732</v>
      </c>
      <c r="N2911" s="801"/>
      <c r="R2911" s="1634" t="s">
        <v>2192</v>
      </c>
      <c r="T2911" s="1688" t="str">
        <f t="shared" si="405"/>
        <v/>
      </c>
    </row>
    <row r="2912" spans="1:20" s="1632" customFormat="1" x14ac:dyDescent="0.25">
      <c r="A2912" s="1636"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4" t="str">
        <f>IF(T2912&lt;&gt;"","AQ","")</f>
        <v/>
      </c>
      <c r="H2912" s="1634" t="s">
        <v>1982</v>
      </c>
      <c r="I2912" s="801"/>
      <c r="J2912" s="801"/>
      <c r="K2912" s="801"/>
      <c r="L2912" s="801" t="s">
        <v>1996</v>
      </c>
      <c r="M2912" s="1298">
        <v>1733</v>
      </c>
      <c r="N2912" s="801"/>
      <c r="R2912" s="1634" t="s">
        <v>2192</v>
      </c>
      <c r="T2912" s="1688" t="str">
        <f t="shared" si="405"/>
        <v/>
      </c>
    </row>
    <row r="2913" spans="1:20" s="1632" customFormat="1" x14ac:dyDescent="0.25">
      <c r="A2913" s="1636"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4" t="str">
        <f>IF(T2913&lt;&gt;"","AA","")</f>
        <v/>
      </c>
      <c r="H2913" s="1634" t="s">
        <v>1982</v>
      </c>
      <c r="I2913" s="801"/>
      <c r="J2913" s="801"/>
      <c r="K2913" s="801"/>
      <c r="L2913" s="801" t="s">
        <v>1997</v>
      </c>
      <c r="M2913" s="1298">
        <v>1734</v>
      </c>
      <c r="N2913" s="801"/>
      <c r="R2913" s="1634" t="s">
        <v>2192</v>
      </c>
      <c r="T2913" s="1688" t="str">
        <f t="shared" si="405"/>
        <v/>
      </c>
    </row>
    <row r="2914" spans="1:20" s="1632" customFormat="1" x14ac:dyDescent="0.25">
      <c r="A2914" s="1636"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4" t="str">
        <f>IF(T2914&lt;&gt;"","H","")</f>
        <v/>
      </c>
      <c r="H2914" s="1634" t="s">
        <v>1982</v>
      </c>
      <c r="I2914" s="801"/>
      <c r="J2914" s="801"/>
      <c r="K2914" s="801"/>
      <c r="L2914" s="801" t="s">
        <v>1390</v>
      </c>
      <c r="M2914" s="1298">
        <v>1735</v>
      </c>
      <c r="N2914" s="801"/>
      <c r="R2914" s="1634" t="s">
        <v>2192</v>
      </c>
      <c r="T2914" s="1688" t="str">
        <f t="shared" si="405"/>
        <v/>
      </c>
    </row>
    <row r="2915" spans="1:20" s="1632" customFormat="1" x14ac:dyDescent="0.25">
      <c r="A2915" s="1636" t="s">
        <v>1697</v>
      </c>
      <c r="B2915" s="1241" t="str">
        <f>IFERROR(_xlfn.CONCAT("D",('Configurable Tab'!$C$41+1)),"")</f>
        <v>D424</v>
      </c>
      <c r="C2915" s="1241" t="str">
        <f>IFERROR(_xlfn.CONCAT("E",('Configurable Tab'!$C$41+1)),"")</f>
        <v>E424</v>
      </c>
      <c r="D2915" s="801" t="s">
        <v>1343</v>
      </c>
      <c r="E2915" s="801" t="s">
        <v>1734</v>
      </c>
      <c r="F2915" s="1634"/>
      <c r="G2915" s="1634"/>
      <c r="H2915" s="1634"/>
      <c r="I2915" s="1241" t="str">
        <f t="shared" ref="I2915:I2925" si="406">IF(J2915&lt;&gt;"",A2915,"")</f>
        <v/>
      </c>
      <c r="J2915" s="1634" t="str">
        <f t="shared" ref="J2915:J2924" si="407">IFERROR(IF($Q$2905="Yes",Q$1&amp;M2905,""),"")</f>
        <v/>
      </c>
      <c r="K2915" s="1634" t="str">
        <f t="shared" ref="K2915:K2925" si="408">IF(J2915&lt;&gt;"",E2915,"")</f>
        <v/>
      </c>
      <c r="M2915" s="1633"/>
      <c r="Q2915" s="1241" t="str">
        <f>IFERROR(_xlfn.CONCAT("C",('Configurable Tab'!$C41+1)),"")</f>
        <v>C424</v>
      </c>
      <c r="R2915" s="1634" t="s">
        <v>2192</v>
      </c>
    </row>
    <row r="2916" spans="1:20" s="1632" customFormat="1" x14ac:dyDescent="0.25">
      <c r="A2916" s="1636" t="s">
        <v>1376</v>
      </c>
      <c r="B2916" s="1241" t="str">
        <f>IFERROR(_xlfn.CONCAT("D",('Configurable Tab'!$C$41+2)),"")</f>
        <v>D425</v>
      </c>
      <c r="C2916" s="1241" t="str">
        <f>IFERROR(_xlfn.CONCAT("E",('Configurable Tab'!$C$41+2)),"")</f>
        <v>E425</v>
      </c>
      <c r="D2916" s="801" t="s">
        <v>1343</v>
      </c>
      <c r="E2916" s="801" t="s">
        <v>1734</v>
      </c>
      <c r="F2916" s="1634"/>
      <c r="G2916" s="1634"/>
      <c r="H2916" s="1634"/>
      <c r="I2916" s="1241" t="str">
        <f t="shared" si="406"/>
        <v/>
      </c>
      <c r="J2916" s="1634" t="str">
        <f t="shared" si="407"/>
        <v/>
      </c>
      <c r="K2916" s="1634" t="str">
        <f t="shared" si="408"/>
        <v/>
      </c>
      <c r="M2916" s="1633"/>
      <c r="R2916" s="1634" t="s">
        <v>2192</v>
      </c>
    </row>
    <row r="2917" spans="1:20" s="1632" customFormat="1" x14ac:dyDescent="0.25">
      <c r="A2917" s="1636" t="s">
        <v>1374</v>
      </c>
      <c r="B2917" s="1241" t="str">
        <f>IFERROR(_xlfn.CONCAT("I",('Configurable Tab'!$C$41+1)),"")</f>
        <v>I424</v>
      </c>
      <c r="C2917" s="1241" t="str">
        <f>IFERROR(_xlfn.CONCAT("I",('Configurable Tab'!$C$41+2)),"")</f>
        <v>I425</v>
      </c>
      <c r="D2917" s="801" t="s">
        <v>1343</v>
      </c>
      <c r="E2917" s="801" t="s">
        <v>1734</v>
      </c>
      <c r="F2917" s="1634"/>
      <c r="G2917" s="1634"/>
      <c r="H2917" s="1634"/>
      <c r="I2917" s="1241" t="str">
        <f t="shared" si="406"/>
        <v/>
      </c>
      <c r="J2917" s="1634" t="str">
        <f t="shared" si="407"/>
        <v/>
      </c>
      <c r="K2917" s="1634" t="str">
        <f t="shared" si="408"/>
        <v/>
      </c>
      <c r="M2917" s="1633"/>
      <c r="R2917" s="1634" t="s">
        <v>2192</v>
      </c>
    </row>
    <row r="2918" spans="1:20" s="1632" customFormat="1" x14ac:dyDescent="0.25">
      <c r="A2918" s="1636" t="s">
        <v>1375</v>
      </c>
      <c r="B2918" s="1241" t="str">
        <f>IFERROR(_xlfn.CONCAT("M",('Configurable Tab'!$C$41+1)),"")</f>
        <v>M424</v>
      </c>
      <c r="C2918" s="1241" t="str">
        <f>IFERROR(_xlfn.CONCAT("M",('Configurable Tab'!$C$41+2)),"")</f>
        <v>M425</v>
      </c>
      <c r="D2918" s="801" t="s">
        <v>1343</v>
      </c>
      <c r="E2918" s="801" t="s">
        <v>1734</v>
      </c>
      <c r="F2918" s="1634"/>
      <c r="G2918" s="1634"/>
      <c r="H2918" s="1634"/>
      <c r="I2918" s="1241" t="str">
        <f t="shared" si="406"/>
        <v/>
      </c>
      <c r="J2918" s="1634" t="str">
        <f t="shared" si="407"/>
        <v/>
      </c>
      <c r="K2918" s="1634" t="str">
        <f t="shared" si="408"/>
        <v/>
      </c>
      <c r="M2918" s="1633"/>
      <c r="R2918" s="1634" t="s">
        <v>2192</v>
      </c>
    </row>
    <row r="2919" spans="1:20" s="1632" customFormat="1" x14ac:dyDescent="0.25">
      <c r="A2919" s="1636" t="s">
        <v>1378</v>
      </c>
      <c r="B2919" s="1241" t="str">
        <f>IFERROR(_xlfn.CONCAT("D",('Configurable Tab'!$C$41+4)),"")</f>
        <v>D427</v>
      </c>
      <c r="C2919" s="1241" t="str">
        <f>IFERROR(_xlfn.CONCAT("E",('Configurable Tab'!$C$41+4)),"")</f>
        <v>E427</v>
      </c>
      <c r="D2919" s="801" t="s">
        <v>1343</v>
      </c>
      <c r="E2919" s="801" t="s">
        <v>1734</v>
      </c>
      <c r="F2919" s="1634"/>
      <c r="G2919" s="1634"/>
      <c r="H2919" s="1634"/>
      <c r="I2919" s="1241" t="str">
        <f t="shared" si="406"/>
        <v/>
      </c>
      <c r="J2919" s="1634" t="str">
        <f t="shared" si="407"/>
        <v/>
      </c>
      <c r="K2919" s="1634" t="str">
        <f t="shared" si="408"/>
        <v/>
      </c>
      <c r="M2919" s="1633"/>
      <c r="R2919" s="1634" t="s">
        <v>2192</v>
      </c>
    </row>
    <row r="2920" spans="1:20" s="1632" customFormat="1" x14ac:dyDescent="0.25">
      <c r="A2920" s="1636" t="s">
        <v>1379</v>
      </c>
      <c r="B2920" s="1241" t="str">
        <f>IFERROR(_xlfn.CONCAT("D",('Configurable Tab'!$C$41+5)),"")</f>
        <v>D428</v>
      </c>
      <c r="C2920" s="1241" t="str">
        <f>IFERROR(_xlfn.CONCAT("E",('Configurable Tab'!$C$41+5)),"")</f>
        <v>E428</v>
      </c>
      <c r="D2920" s="801" t="s">
        <v>1343</v>
      </c>
      <c r="E2920" s="801" t="s">
        <v>1734</v>
      </c>
      <c r="F2920" s="1634"/>
      <c r="G2920" s="1634"/>
      <c r="H2920" s="1634"/>
      <c r="I2920" s="1241" t="str">
        <f t="shared" si="406"/>
        <v/>
      </c>
      <c r="J2920" s="1634" t="str">
        <f t="shared" si="407"/>
        <v/>
      </c>
      <c r="K2920" s="1634" t="str">
        <f t="shared" si="408"/>
        <v/>
      </c>
      <c r="M2920" s="1633"/>
      <c r="R2920" s="1634" t="s">
        <v>2192</v>
      </c>
    </row>
    <row r="2921" spans="1:20" s="1632" customFormat="1" x14ac:dyDescent="0.25">
      <c r="A2921" s="1636" t="s">
        <v>1389</v>
      </c>
      <c r="B2921" s="1241" t="str">
        <f>IFERROR(_xlfn.CONCAT("G",('Configurable Tab'!$C$41+4)),"")</f>
        <v>G427</v>
      </c>
      <c r="C2921" s="1241" t="str">
        <f>IFERROR(_xlfn.CONCAT("G",('Configurable Tab'!$C$41+5)),"")</f>
        <v>G428</v>
      </c>
      <c r="D2921" s="801" t="s">
        <v>1343</v>
      </c>
      <c r="E2921" s="801" t="s">
        <v>1734</v>
      </c>
      <c r="F2921" s="1634"/>
      <c r="G2921" s="1634"/>
      <c r="H2921" s="1634"/>
      <c r="I2921" s="1241" t="str">
        <f t="shared" si="406"/>
        <v/>
      </c>
      <c r="J2921" s="1634" t="str">
        <f t="shared" si="407"/>
        <v/>
      </c>
      <c r="K2921" s="1634" t="str">
        <f t="shared" si="408"/>
        <v/>
      </c>
      <c r="M2921" s="1633"/>
      <c r="R2921" s="1634" t="s">
        <v>2192</v>
      </c>
    </row>
    <row r="2922" spans="1:20" s="1632" customFormat="1" x14ac:dyDescent="0.25">
      <c r="A2922" s="1636" t="s">
        <v>1996</v>
      </c>
      <c r="B2922" s="1241" t="str">
        <f>IFERROR(_xlfn.CONCAT("G",('Configurable Tab'!$C$41+7)),"")</f>
        <v>G430</v>
      </c>
      <c r="C2922" s="1241" t="str">
        <f>IFERROR(_xlfn.CONCAT("G",('Configurable Tab'!$C$41+8)),"")</f>
        <v>G431</v>
      </c>
      <c r="D2922" s="801" t="s">
        <v>1343</v>
      </c>
      <c r="E2922" s="801" t="s">
        <v>1734</v>
      </c>
      <c r="F2922" s="1634"/>
      <c r="G2922" s="1634"/>
      <c r="H2922" s="1634"/>
      <c r="I2922" s="1241" t="str">
        <f t="shared" si="406"/>
        <v/>
      </c>
      <c r="J2922" s="1634" t="str">
        <f t="shared" si="407"/>
        <v/>
      </c>
      <c r="K2922" s="1634" t="str">
        <f t="shared" si="408"/>
        <v/>
      </c>
      <c r="M2922" s="1633"/>
      <c r="R2922" s="1634" t="s">
        <v>2192</v>
      </c>
    </row>
    <row r="2923" spans="1:20" s="1632" customFormat="1" x14ac:dyDescent="0.25">
      <c r="A2923" s="1636" t="s">
        <v>1474</v>
      </c>
      <c r="B2923" s="1241" t="str">
        <f>IFERROR(_xlfn.CONCAT("K",('Configurable Tab'!$C$41+7)),"")</f>
        <v>K430</v>
      </c>
      <c r="C2923" s="1241" t="str">
        <f>IFERROR(_xlfn.CONCAT("K",('Configurable Tab'!$C$41+8)),"")</f>
        <v>K431</v>
      </c>
      <c r="D2923" s="801" t="s">
        <v>1343</v>
      </c>
      <c r="E2923" s="801" t="s">
        <v>1734</v>
      </c>
      <c r="F2923" s="1634"/>
      <c r="G2923" s="1634"/>
      <c r="H2923" s="1634"/>
      <c r="I2923" s="1241" t="str">
        <f t="shared" si="406"/>
        <v/>
      </c>
      <c r="J2923" s="1634" t="str">
        <f t="shared" si="407"/>
        <v/>
      </c>
      <c r="K2923" s="1634" t="str">
        <f t="shared" si="408"/>
        <v/>
      </c>
      <c r="M2923" s="1633"/>
      <c r="R2923" s="1634" t="s">
        <v>2192</v>
      </c>
    </row>
    <row r="2924" spans="1:20" s="1632" customFormat="1" x14ac:dyDescent="0.25">
      <c r="A2924" s="1636" t="s">
        <v>1390</v>
      </c>
      <c r="B2924" s="1241" t="str">
        <f>IFERROR(_xlfn.CONCAT("K",('Configurable Tab'!$C$41+1)),"")</f>
        <v>K424</v>
      </c>
      <c r="C2924" s="1241" t="str">
        <f>IFERROR(_xlfn.CONCAT("K",('Configurable Tab'!$C$41+2)),"")</f>
        <v>K425</v>
      </c>
      <c r="D2924" s="801" t="s">
        <v>1343</v>
      </c>
      <c r="E2924" s="801" t="s">
        <v>1734</v>
      </c>
      <c r="F2924" s="1634"/>
      <c r="G2924" s="1634"/>
      <c r="H2924" s="1634"/>
      <c r="I2924" s="1241" t="str">
        <f t="shared" si="406"/>
        <v/>
      </c>
      <c r="J2924" s="1634" t="str">
        <f t="shared" si="407"/>
        <v/>
      </c>
      <c r="K2924" s="1634" t="str">
        <f t="shared" si="408"/>
        <v/>
      </c>
      <c r="M2924" s="1633"/>
      <c r="R2924" s="1634" t="s">
        <v>2192</v>
      </c>
    </row>
    <row r="2925" spans="1:20" s="1632" customFormat="1" x14ac:dyDescent="0.25">
      <c r="A2925" s="1636"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4" t="s">
        <v>1488</v>
      </c>
      <c r="G2925" s="1634" t="str">
        <f>IF(T2925&lt;&gt;"","AS","")</f>
        <v/>
      </c>
      <c r="H2925" s="1634" t="s">
        <v>1982</v>
      </c>
      <c r="I2925" s="1241" t="str">
        <f t="shared" si="406"/>
        <v/>
      </c>
      <c r="J2925" s="1634"/>
      <c r="K2925" s="1634" t="str">
        <f t="shared" si="408"/>
        <v/>
      </c>
      <c r="L2925" s="801"/>
      <c r="M2925" s="1635"/>
      <c r="N2925" s="1634"/>
      <c r="R2925" s="1634" t="s">
        <v>2192</v>
      </c>
      <c r="T2925" s="1634" t="str">
        <f>IF(Q$2905="Yes",54,"")</f>
        <v/>
      </c>
    </row>
    <row r="2926" spans="1:20" s="1632" customFormat="1" x14ac:dyDescent="0.25">
      <c r="A2926" s="1637"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4" t="s">
        <v>1487</v>
      </c>
      <c r="G2926" s="1634" t="str">
        <f>IF(T2926&lt;&gt;"","AN","")</f>
        <v/>
      </c>
      <c r="H2926" s="1634" t="s">
        <v>1982</v>
      </c>
      <c r="I2926" s="1241"/>
      <c r="J2926" s="1634"/>
      <c r="K2926" s="1634"/>
      <c r="L2926" s="801"/>
      <c r="M2926" s="1635"/>
      <c r="N2926" s="1634"/>
      <c r="O2926" s="1526"/>
      <c r="P2926" s="595"/>
      <c r="Q2926" s="595"/>
      <c r="R2926" s="1634" t="s">
        <v>2192</v>
      </c>
      <c r="T2926" s="1688" t="str">
        <f t="shared" ref="T2926:T2933" si="409">IF(Q$2905="Yes",54,"")</f>
        <v/>
      </c>
    </row>
    <row r="2927" spans="1:20" s="1632" customFormat="1" x14ac:dyDescent="0.25">
      <c r="A2927" s="1637"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4" t="s">
        <v>1484</v>
      </c>
      <c r="G2927" s="1634" t="str">
        <f>IF(T2927&lt;&gt;"","AL","")</f>
        <v/>
      </c>
      <c r="H2927" s="1634" t="s">
        <v>1982</v>
      </c>
      <c r="I2927" s="1241"/>
      <c r="J2927" s="1634"/>
      <c r="K2927" s="1634"/>
      <c r="L2927" s="801"/>
      <c r="M2927" s="1635"/>
      <c r="N2927" s="1634"/>
      <c r="O2927" s="595"/>
      <c r="P2927" s="595"/>
      <c r="Q2927" s="595"/>
      <c r="R2927" s="1634" t="s">
        <v>2192</v>
      </c>
      <c r="T2927" s="1688" t="str">
        <f t="shared" si="409"/>
        <v/>
      </c>
    </row>
    <row r="2928" spans="1:20" s="1632" customFormat="1" x14ac:dyDescent="0.25">
      <c r="A2928" s="1637"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4" t="s">
        <v>1983</v>
      </c>
      <c r="G2928" s="1634" t="str">
        <f>IF(T2928&lt;&gt;"","E","")</f>
        <v/>
      </c>
      <c r="H2928" s="1634" t="s">
        <v>1982</v>
      </c>
      <c r="I2928" s="1241"/>
      <c r="J2928" s="1634"/>
      <c r="K2928" s="1634"/>
      <c r="L2928" s="801"/>
      <c r="M2928" s="1635"/>
      <c r="N2928" s="1634"/>
      <c r="O2928" s="595"/>
      <c r="P2928" s="595"/>
      <c r="Q2928" s="595"/>
      <c r="R2928" s="1634" t="s">
        <v>2192</v>
      </c>
      <c r="T2928" s="1688" t="str">
        <f t="shared" si="409"/>
        <v/>
      </c>
    </row>
    <row r="2929" spans="1:20" s="1632" customFormat="1" x14ac:dyDescent="0.25">
      <c r="A2929" s="1637"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4" t="s">
        <v>1987</v>
      </c>
      <c r="G2929" s="1634" t="str">
        <f>IF(T2929&lt;&gt;"","G","")</f>
        <v/>
      </c>
      <c r="H2929" s="1634" t="s">
        <v>1982</v>
      </c>
      <c r="I2929" s="1241"/>
      <c r="J2929" s="1634"/>
      <c r="K2929" s="1634"/>
      <c r="L2929" s="801"/>
      <c r="M2929" s="1635"/>
      <c r="N2929" s="1634"/>
      <c r="O2929" s="595"/>
      <c r="P2929" s="595"/>
      <c r="Q2929" s="595"/>
      <c r="R2929" s="1634" t="s">
        <v>2192</v>
      </c>
      <c r="T2929" s="1688" t="str">
        <f t="shared" si="409"/>
        <v/>
      </c>
    </row>
    <row r="2930" spans="1:20" s="1632" customFormat="1" x14ac:dyDescent="0.25">
      <c r="A2930" s="1637"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4" t="str">
        <f>IF(T2930&lt;&gt;"","AW","")</f>
        <v/>
      </c>
      <c r="H2930" s="1634" t="s">
        <v>1982</v>
      </c>
      <c r="I2930" s="1241"/>
      <c r="J2930" s="1634"/>
      <c r="K2930" s="1634"/>
      <c r="L2930" s="801"/>
      <c r="M2930" s="1635"/>
      <c r="N2930" s="1634"/>
      <c r="O2930" s="595"/>
      <c r="P2930" s="595"/>
      <c r="Q2930" s="595"/>
      <c r="R2930" s="1634" t="s">
        <v>2192</v>
      </c>
      <c r="T2930" s="1688" t="str">
        <f t="shared" si="409"/>
        <v/>
      </c>
    </row>
    <row r="2931" spans="1:20" s="1632" customFormat="1" x14ac:dyDescent="0.25">
      <c r="A2931" s="1637"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4" t="s">
        <v>1991</v>
      </c>
      <c r="G2931" s="1634" t="str">
        <f>IF(T2931&lt;&gt;"","AB","")</f>
        <v/>
      </c>
      <c r="H2931" s="1634" t="s">
        <v>1982</v>
      </c>
      <c r="I2931" s="1241"/>
      <c r="J2931" s="1634"/>
      <c r="K2931" s="1634"/>
      <c r="L2931" s="801"/>
      <c r="M2931" s="1635"/>
      <c r="N2931" s="1634"/>
      <c r="O2931" s="595"/>
      <c r="P2931" s="595"/>
      <c r="Q2931" s="595"/>
      <c r="R2931" s="1634" t="s">
        <v>2192</v>
      </c>
      <c r="T2931" s="1688" t="str">
        <f t="shared" si="409"/>
        <v/>
      </c>
    </row>
    <row r="2932" spans="1:20" s="1632" customFormat="1" x14ac:dyDescent="0.25">
      <c r="A2932" s="1637"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4" t="s">
        <v>1596</v>
      </c>
      <c r="G2932" s="1634" t="str">
        <f>IF(T2932&lt;&gt;"","AP","")</f>
        <v/>
      </c>
      <c r="H2932" s="1634" t="s">
        <v>1982</v>
      </c>
      <c r="I2932" s="1241"/>
      <c r="J2932" s="1634"/>
      <c r="K2932" s="1634"/>
      <c r="L2932" s="801"/>
      <c r="M2932" s="1635"/>
      <c r="N2932" s="1634"/>
      <c r="O2932" s="595"/>
      <c r="P2932" s="595"/>
      <c r="Q2932" s="595"/>
      <c r="R2932" s="1634" t="s">
        <v>2192</v>
      </c>
      <c r="T2932" s="1688" t="str">
        <f t="shared" si="409"/>
        <v/>
      </c>
    </row>
    <row r="2933" spans="1:20" s="1632" customFormat="1" x14ac:dyDescent="0.25">
      <c r="A2933" s="1637"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4" t="s">
        <v>2126</v>
      </c>
      <c r="G2933" s="1634" t="str">
        <f>IF(T2933&lt;&gt;"","AZ","")</f>
        <v/>
      </c>
      <c r="H2933" s="1634" t="s">
        <v>1982</v>
      </c>
      <c r="I2933" s="1241"/>
      <c r="J2933" s="1634"/>
      <c r="K2933" s="1634"/>
      <c r="L2933" s="801" t="s">
        <v>2126</v>
      </c>
      <c r="M2933" s="1635">
        <v>1736</v>
      </c>
      <c r="N2933" s="1634"/>
      <c r="O2933" s="595"/>
      <c r="P2933" s="595"/>
      <c r="Q2933" s="595"/>
      <c r="R2933" s="1634" t="s">
        <v>2192</v>
      </c>
      <c r="T2933" s="1688" t="str">
        <f t="shared" si="409"/>
        <v/>
      </c>
    </row>
    <row r="2934" spans="1:20" x14ac:dyDescent="0.25">
      <c r="A2934" s="1255" t="s">
        <v>1258</v>
      </c>
      <c r="B2934" s="766" t="str">
        <f t="shared" ref="B2934:B2943" ca="1" si="410">_xlfn.IFNA(_xlfn.CONCAT(SUBSTITUTE(ADDRESS(1,MATCH(A2934,INDIRECT("'"&amp;E2934&amp;"'"&amp;"!A2:Z2"),0),4),1,""),3),"")</f>
        <v>C3</v>
      </c>
      <c r="C2934" s="766" t="str">
        <f t="shared" ref="C2934:C2943" ca="1" si="411">_xlfn.IFNA(SUBSTITUTE(ADDRESS(1,MATCH(A2934,INDIRECT("'"&amp;E2934&amp;"'"&amp;"!A2:Z2"),0),4),1,""),"")</f>
        <v>C</v>
      </c>
      <c r="D2934" s="766" t="s">
        <v>1350</v>
      </c>
      <c r="E2934" s="802" t="s">
        <v>2221</v>
      </c>
      <c r="F2934" s="1255" t="s">
        <v>1258</v>
      </c>
      <c r="G2934" s="1703" t="s">
        <v>1346</v>
      </c>
      <c r="H2934" s="802" t="s">
        <v>2221</v>
      </c>
    </row>
    <row r="2935" spans="1:20" x14ac:dyDescent="0.25">
      <c r="A2935" s="1255" t="s">
        <v>2220</v>
      </c>
      <c r="B2935" s="766" t="str">
        <f t="shared" ca="1" si="410"/>
        <v>D3</v>
      </c>
      <c r="C2935" s="766" t="str">
        <f t="shared" ca="1" si="411"/>
        <v>D</v>
      </c>
      <c r="D2935" s="766" t="s">
        <v>1350</v>
      </c>
      <c r="E2935" s="802" t="s">
        <v>2221</v>
      </c>
      <c r="F2935" s="1255" t="s">
        <v>2220</v>
      </c>
      <c r="G2935" s="1703" t="s">
        <v>1348</v>
      </c>
      <c r="H2935" s="802" t="s">
        <v>2221</v>
      </c>
    </row>
    <row r="2936" spans="1:20" x14ac:dyDescent="0.25">
      <c r="A2936" s="1255" t="s">
        <v>1275</v>
      </c>
      <c r="B2936" s="766" t="str">
        <f t="shared" ca="1" si="410"/>
        <v>E3</v>
      </c>
      <c r="C2936" s="766" t="str">
        <f t="shared" ca="1" si="411"/>
        <v>E</v>
      </c>
      <c r="D2936" s="766" t="s">
        <v>1350</v>
      </c>
      <c r="E2936" s="802" t="s">
        <v>2221</v>
      </c>
      <c r="F2936" s="1255" t="s">
        <v>1275</v>
      </c>
      <c r="G2936" s="1703" t="s">
        <v>1363</v>
      </c>
      <c r="H2936" s="802" t="s">
        <v>2221</v>
      </c>
    </row>
    <row r="2937" spans="1:20" x14ac:dyDescent="0.25">
      <c r="A2937" s="1255" t="s">
        <v>1276</v>
      </c>
      <c r="B2937" s="766" t="str">
        <f t="shared" ca="1" si="410"/>
        <v>F3</v>
      </c>
      <c r="C2937" s="766" t="str">
        <f t="shared" ca="1" si="411"/>
        <v>F</v>
      </c>
      <c r="D2937" s="766" t="s">
        <v>1350</v>
      </c>
      <c r="E2937" s="802" t="s">
        <v>2221</v>
      </c>
      <c r="F2937" s="1255" t="s">
        <v>1276</v>
      </c>
      <c r="G2937" s="1703" t="s">
        <v>656</v>
      </c>
      <c r="H2937" s="802" t="s">
        <v>2221</v>
      </c>
    </row>
    <row r="2938" spans="1:20" x14ac:dyDescent="0.25">
      <c r="A2938" s="1255" t="s">
        <v>1239</v>
      </c>
      <c r="B2938" s="766" t="str">
        <f t="shared" ca="1" si="410"/>
        <v>G3</v>
      </c>
      <c r="C2938" s="766" t="str">
        <f t="shared" ca="1" si="411"/>
        <v>G</v>
      </c>
      <c r="D2938" s="766" t="s">
        <v>1350</v>
      </c>
      <c r="E2938" s="802" t="s">
        <v>2221</v>
      </c>
      <c r="F2938" s="1255" t="s">
        <v>1239</v>
      </c>
      <c r="G2938" s="1703" t="s">
        <v>1349</v>
      </c>
      <c r="H2938" s="802" t="s">
        <v>2221</v>
      </c>
    </row>
    <row r="2939" spans="1:20" x14ac:dyDescent="0.25">
      <c r="A2939" s="1255" t="s">
        <v>1279</v>
      </c>
      <c r="B2939" s="766" t="str">
        <f t="shared" ca="1" si="410"/>
        <v>I3</v>
      </c>
      <c r="C2939" s="766" t="str">
        <f t="shared" ca="1" si="411"/>
        <v>I</v>
      </c>
      <c r="D2939" s="766" t="s">
        <v>1350</v>
      </c>
      <c r="E2939" s="802" t="s">
        <v>2221</v>
      </c>
      <c r="F2939" s="1255" t="s">
        <v>1279</v>
      </c>
      <c r="G2939" s="1703" t="s">
        <v>1354</v>
      </c>
      <c r="H2939" s="802" t="s">
        <v>2221</v>
      </c>
    </row>
    <row r="2940" spans="1:20" x14ac:dyDescent="0.25">
      <c r="A2940" s="1254" t="s">
        <v>2222</v>
      </c>
      <c r="B2940" s="766" t="str">
        <f t="shared" ca="1" si="410"/>
        <v>M3</v>
      </c>
      <c r="C2940" s="766" t="str">
        <f t="shared" ca="1" si="411"/>
        <v>M</v>
      </c>
      <c r="D2940" s="766" t="s">
        <v>1350</v>
      </c>
      <c r="E2940" s="802" t="s">
        <v>2221</v>
      </c>
      <c r="F2940" s="1254" t="s">
        <v>2222</v>
      </c>
      <c r="G2940" s="1703" t="s">
        <v>1355</v>
      </c>
      <c r="H2940" s="802" t="s">
        <v>2221</v>
      </c>
    </row>
    <row r="2941" spans="1:20" x14ac:dyDescent="0.25">
      <c r="A2941" s="1254" t="s">
        <v>2223</v>
      </c>
      <c r="B2941" s="766" t="str">
        <f t="shared" ca="1" si="410"/>
        <v>N3</v>
      </c>
      <c r="C2941" s="766" t="str">
        <f t="shared" ca="1" si="411"/>
        <v>N</v>
      </c>
      <c r="D2941" s="766" t="s">
        <v>1350</v>
      </c>
      <c r="E2941" s="802" t="s">
        <v>2221</v>
      </c>
      <c r="F2941" s="1254" t="s">
        <v>2223</v>
      </c>
      <c r="G2941" s="1703" t="s">
        <v>1356</v>
      </c>
      <c r="H2941" s="802" t="s">
        <v>2221</v>
      </c>
    </row>
    <row r="2942" spans="1:20" x14ac:dyDescent="0.25">
      <c r="A2942" s="1255" t="s">
        <v>1281</v>
      </c>
      <c r="B2942" s="766" t="str">
        <f t="shared" ca="1" si="410"/>
        <v>K3</v>
      </c>
      <c r="C2942" s="766" t="str">
        <f t="shared" ca="1" si="411"/>
        <v>K</v>
      </c>
      <c r="D2942" s="766" t="s">
        <v>1350</v>
      </c>
      <c r="E2942" s="802" t="s">
        <v>2221</v>
      </c>
      <c r="F2942" s="1255" t="s">
        <v>1281</v>
      </c>
      <c r="G2942" s="1703" t="s">
        <v>1357</v>
      </c>
      <c r="H2942" s="802" t="s">
        <v>2221</v>
      </c>
    </row>
    <row r="2943" spans="1:20" x14ac:dyDescent="0.25">
      <c r="A2943" s="1255" t="s">
        <v>1221</v>
      </c>
      <c r="B2943" s="766" t="str">
        <f t="shared" ca="1" si="410"/>
        <v>L3</v>
      </c>
      <c r="C2943" s="766" t="str">
        <f t="shared" ca="1" si="411"/>
        <v>L</v>
      </c>
      <c r="D2943" s="766" t="s">
        <v>1350</v>
      </c>
      <c r="E2943" s="802" t="s">
        <v>2221</v>
      </c>
      <c r="F2943" s="1255" t="s">
        <v>1221</v>
      </c>
      <c r="G2943" s="1703" t="s">
        <v>1359</v>
      </c>
      <c r="H2943" s="802" t="s">
        <v>2221</v>
      </c>
    </row>
    <row r="2944" spans="1:20" x14ac:dyDescent="0.25">
      <c r="A2944" s="1255" t="s">
        <v>1278</v>
      </c>
      <c r="B2944" s="766" t="str">
        <f ca="1">_xlfn.IFNA(_xlfn.CONCAT(SUBSTITUTE(ADDRESS(1,MATCH(A2944,INDIRECT("'"&amp;E2944&amp;"'"&amp;"!A2:Z2"),0),4),1,""),3),"")</f>
        <v>H3</v>
      </c>
      <c r="C2944" s="766" t="str">
        <f ca="1">_xlfn.IFNA(SUBSTITUTE(ADDRESS(1,MATCH(A2944,INDIRECT("'"&amp;E2944&amp;"'"&amp;"!A2:Z2"),0),4),1,""),"")</f>
        <v>H</v>
      </c>
      <c r="D2944" s="766" t="s">
        <v>1350</v>
      </c>
      <c r="E2944" s="802" t="s">
        <v>2221</v>
      </c>
      <c r="F2944" s="1255" t="s">
        <v>1278</v>
      </c>
      <c r="G2944" s="1704" t="s">
        <v>134</v>
      </c>
      <c r="H2944" s="802" t="s">
        <v>2221</v>
      </c>
    </row>
    <row r="2945" spans="1:13" x14ac:dyDescent="0.25">
      <c r="A2945" s="1255" t="s">
        <v>1280</v>
      </c>
      <c r="B2945" s="766" t="str">
        <f ca="1">_xlfn.IFNA(_xlfn.CONCAT(SUBSTITUTE(ADDRESS(1,MATCH(A2945,INDIRECT("'"&amp;E2945&amp;"'"&amp;"!A2:Z2"),0),4),1,""),3),"")</f>
        <v>J3</v>
      </c>
      <c r="C2945" s="766" t="str">
        <f ca="1">_xlfn.IFNA(SUBSTITUTE(ADDRESS(1,MATCH(A2945,INDIRECT("'"&amp;E2945&amp;"'"&amp;"!A2:Z2"),0),4),1,""),"")</f>
        <v>J</v>
      </c>
      <c r="D2945" s="766" t="s">
        <v>1350</v>
      </c>
      <c r="E2945" s="802" t="s">
        <v>2221</v>
      </c>
      <c r="F2945" s="1255" t="s">
        <v>1280</v>
      </c>
      <c r="G2945" s="1704" t="s">
        <v>657</v>
      </c>
      <c r="H2945" s="802" t="s">
        <v>2221</v>
      </c>
    </row>
    <row r="2946" spans="1:13" s="1827" customFormat="1" x14ac:dyDescent="0.25">
      <c r="A2946" s="813" t="s">
        <v>1277</v>
      </c>
      <c r="B2946" s="766" t="str">
        <f ca="1">IF('Pricing Schedule'!$K$5="No",_xlfn.CONCAT(IFERROR(SUBSTITUTE(ADDRESS(1,MATCH(A2946,INDIRECT("'"&amp;E2946&amp;"'"&amp;"!A10:Z10"),0),4),1,""),""),11),_xlfn.CONCAT(IFERROR(SUBSTITUTE(ADDRESS(1,MATCH(A2946,INDIRECT("'"&amp;E2946&amp;"'"&amp;"!A10:Z10"),0),4),1,""),""),35))</f>
        <v>H11</v>
      </c>
      <c r="C2946" s="766" t="str">
        <f ca="1">IF('Pricing Schedule'!$K$5="No",IFERROR(SUBSTITUTE(ADDRESS(1,MATCH(A2946,INDIRECT("'"&amp;E2946&amp;"'"&amp;"!A10:Z10"),0),4),1,""),""),IFERROR(SUBSTITUTE(ADDRESS(1,MATCH(A2946,INDIRECT("'"&amp;E2946&amp;"'"&amp;"!A10:Z10"),0),4),1,""),""))</f>
        <v>H</v>
      </c>
      <c r="D2946" s="766" t="s">
        <v>1350</v>
      </c>
      <c r="E2946" s="766" t="s">
        <v>1272</v>
      </c>
      <c r="F2946" s="1237" t="s">
        <v>1277</v>
      </c>
      <c r="G2946" s="766" t="s">
        <v>1355</v>
      </c>
      <c r="H2946" s="766" t="s">
        <v>1272</v>
      </c>
      <c r="M2946" s="1828"/>
    </row>
    <row r="2947" spans="1:13" s="1827" customFormat="1" x14ac:dyDescent="0.25">
      <c r="A2947" s="813" t="s">
        <v>1277</v>
      </c>
      <c r="B2947" s="766" t="str">
        <f ca="1">_xlfn.CONCAT(IFERROR(SUBSTITUTE(ADDRESS(1,MATCH(A2947,INDIRECT("'"&amp;E2947&amp;"'"&amp;"!A68:Z68"),0),4),1,""),""),69)</f>
        <v>H69</v>
      </c>
      <c r="C2947" s="766" t="str">
        <f ca="1">IFERROR(SUBSTITUTE(ADDRESS(1,MATCH(A2947,INDIRECT("'"&amp;E2947&amp;"'"&amp;"!A68:Z68"),0),4),1,""),"")</f>
        <v>H</v>
      </c>
      <c r="D2947" s="766" t="s">
        <v>1350</v>
      </c>
      <c r="E2947" s="766" t="s">
        <v>1272</v>
      </c>
      <c r="F2947" s="1237" t="s">
        <v>1277</v>
      </c>
      <c r="G2947" s="766" t="s">
        <v>1355</v>
      </c>
      <c r="H2947" s="766" t="s">
        <v>1272</v>
      </c>
      <c r="M2947" s="1828"/>
    </row>
    <row r="2948" spans="1:13" x14ac:dyDescent="0.25">
      <c r="A2948" s="813" t="s">
        <v>1282</v>
      </c>
      <c r="B2948" s="766" t="str">
        <f ca="1">_xlfn.CONCAT(IFERROR(SUBSTITUTE(ADDRESS(1,MATCH(A2948,INDIRECT("'"&amp;E2948&amp;"'"&amp;"!A68:Z68"),0),4),1,""),""),69)</f>
        <v>O69</v>
      </c>
      <c r="C2948" s="766" t="str">
        <f ca="1">IFERROR(SUBSTITUTE(ADDRESS(1,MATCH(A2948,INDIRECT("'"&amp;E2948&amp;"'"&amp;"!A68:Z68"),0),4),1,""),"")</f>
        <v>O</v>
      </c>
      <c r="D2948" s="766" t="s">
        <v>1350</v>
      </c>
      <c r="E2948" s="766" t="s">
        <v>1272</v>
      </c>
      <c r="F2948" s="52" t="s">
        <v>1774</v>
      </c>
      <c r="G2948" s="52" t="s">
        <v>134</v>
      </c>
      <c r="H2948" s="52" t="s">
        <v>1272</v>
      </c>
    </row>
    <row r="2949" spans="1:13" x14ac:dyDescent="0.25">
      <c r="A2949" s="1052" t="s">
        <v>1273</v>
      </c>
      <c r="B2949" s="766" t="str">
        <f t="shared" ref="B2949:B2969" ca="1" si="412">_xlfn.CONCAT(IFERROR(SUBSTITUTE(ADDRESS(1,MATCH(A2949,INDIRECT("'"&amp;E2949&amp;"'"&amp;"!A68:Z68"),0),4),1,""),""),69)</f>
        <v>C69</v>
      </c>
      <c r="C2949" s="766" t="str">
        <f t="shared" ref="C2949:C2969" ca="1" si="413">IFERROR(SUBSTITUTE(ADDRESS(1,MATCH(A2949,INDIRECT("'"&amp;E2949&amp;"'"&amp;"!A68:Z68"),0),4),1,""),"")</f>
        <v>C</v>
      </c>
      <c r="D2949" s="766" t="s">
        <v>1350</v>
      </c>
      <c r="E2949" s="766" t="s">
        <v>1272</v>
      </c>
      <c r="F2949" s="52" t="s">
        <v>1273</v>
      </c>
      <c r="G2949" s="52" t="s">
        <v>1348</v>
      </c>
      <c r="H2949" s="52" t="s">
        <v>1272</v>
      </c>
    </row>
    <row r="2950" spans="1:13" x14ac:dyDescent="0.25">
      <c r="A2950" s="1052" t="s">
        <v>1239</v>
      </c>
      <c r="B2950" s="766" t="str">
        <f t="shared" ca="1" si="412"/>
        <v>I69</v>
      </c>
      <c r="C2950" s="766" t="str">
        <f t="shared" ca="1" si="413"/>
        <v>I</v>
      </c>
      <c r="D2950" s="766" t="s">
        <v>1350</v>
      </c>
      <c r="E2950" s="766" t="s">
        <v>1272</v>
      </c>
      <c r="F2950" s="52" t="s">
        <v>1239</v>
      </c>
      <c r="G2950" s="52" t="s">
        <v>1356</v>
      </c>
      <c r="H2950" s="52" t="s">
        <v>1272</v>
      </c>
    </row>
    <row r="2951" spans="1:13" x14ac:dyDescent="0.25">
      <c r="A2951" s="1052" t="s">
        <v>1276</v>
      </c>
      <c r="B2951" s="766" t="str">
        <f t="shared" ca="1" si="412"/>
        <v>G69</v>
      </c>
      <c r="C2951" s="766" t="str">
        <f t="shared" ca="1" si="413"/>
        <v>G</v>
      </c>
      <c r="D2951" s="766" t="s">
        <v>1350</v>
      </c>
      <c r="E2951" s="766" t="s">
        <v>1272</v>
      </c>
      <c r="F2951" s="52" t="s">
        <v>1276</v>
      </c>
      <c r="G2951" s="52" t="s">
        <v>1354</v>
      </c>
      <c r="H2951" s="52" t="s">
        <v>1272</v>
      </c>
    </row>
    <row r="2952" spans="1:13" x14ac:dyDescent="0.25">
      <c r="A2952" s="1068" t="s">
        <v>1275</v>
      </c>
      <c r="B2952" s="766" t="str">
        <f t="shared" ca="1" si="412"/>
        <v>F69</v>
      </c>
      <c r="C2952" s="766" t="str">
        <f t="shared" ca="1" si="413"/>
        <v>F</v>
      </c>
      <c r="D2952" s="766" t="s">
        <v>1350</v>
      </c>
      <c r="E2952" s="766" t="s">
        <v>1272</v>
      </c>
      <c r="F2952" s="52" t="s">
        <v>1275</v>
      </c>
      <c r="G2952" s="52" t="s">
        <v>1349</v>
      </c>
      <c r="H2952" s="52" t="s">
        <v>1272</v>
      </c>
    </row>
    <row r="2953" spans="1:13" x14ac:dyDescent="0.25">
      <c r="A2953" s="1068" t="s">
        <v>1279</v>
      </c>
      <c r="B2953" s="766" t="str">
        <f t="shared" ca="1" si="412"/>
        <v>K69</v>
      </c>
      <c r="C2953" s="766" t="str">
        <f t="shared" ca="1" si="413"/>
        <v>K</v>
      </c>
      <c r="D2953" s="766" t="s">
        <v>1350</v>
      </c>
      <c r="E2953" s="766" t="s">
        <v>1272</v>
      </c>
      <c r="F2953" s="1068" t="s">
        <v>1279</v>
      </c>
      <c r="G2953" s="52" t="s">
        <v>1357</v>
      </c>
      <c r="H2953" s="52" t="s">
        <v>1272</v>
      </c>
    </row>
    <row r="2954" spans="1:13" x14ac:dyDescent="0.25">
      <c r="A2954" s="1068" t="s">
        <v>1281</v>
      </c>
      <c r="B2954" s="766" t="str">
        <f t="shared" ca="1" si="412"/>
        <v>M69</v>
      </c>
      <c r="C2954" s="766" t="str">
        <f t="shared" ca="1" si="413"/>
        <v>M</v>
      </c>
      <c r="D2954" s="766" t="s">
        <v>1350</v>
      </c>
      <c r="E2954" s="766" t="s">
        <v>1272</v>
      </c>
      <c r="F2954" s="1068" t="s">
        <v>1281</v>
      </c>
      <c r="G2954" s="52" t="s">
        <v>1359</v>
      </c>
      <c r="H2954" s="52" t="s">
        <v>1272</v>
      </c>
    </row>
    <row r="2955" spans="1:13" x14ac:dyDescent="0.25">
      <c r="A2955" s="1068" t="s">
        <v>1221</v>
      </c>
      <c r="B2955" s="766" t="str">
        <f t="shared" ca="1" si="412"/>
        <v>N69</v>
      </c>
      <c r="C2955" s="766" t="str">
        <f t="shared" ca="1" si="413"/>
        <v>N</v>
      </c>
      <c r="D2955" s="766" t="s">
        <v>1350</v>
      </c>
      <c r="E2955" s="766" t="s">
        <v>1272</v>
      </c>
      <c r="F2955" s="1068" t="s">
        <v>1221</v>
      </c>
      <c r="G2955" s="52" t="s">
        <v>1353</v>
      </c>
      <c r="H2955" s="52" t="s">
        <v>1272</v>
      </c>
    </row>
    <row r="2956" spans="1:13" x14ac:dyDescent="0.25">
      <c r="A2956" s="1052" t="s">
        <v>1274</v>
      </c>
      <c r="B2956" s="766" t="str">
        <f t="shared" ca="1" si="412"/>
        <v>D69</v>
      </c>
      <c r="C2956" s="766" t="str">
        <f t="shared" ca="1" si="413"/>
        <v>D</v>
      </c>
      <c r="D2956" s="766" t="s">
        <v>1350</v>
      </c>
      <c r="E2956" s="766" t="s">
        <v>1272</v>
      </c>
      <c r="F2956" s="1052" t="s">
        <v>1274</v>
      </c>
      <c r="G2956" s="52" t="s">
        <v>1363</v>
      </c>
      <c r="H2956" s="52" t="s">
        <v>1272</v>
      </c>
    </row>
    <row r="2957" spans="1:13" x14ac:dyDescent="0.25">
      <c r="A2957" s="765" t="s">
        <v>1258</v>
      </c>
      <c r="B2957" s="766" t="str">
        <f ca="1">_xlfn.CONCAT(IFERROR(SUBSTITUTE(ADDRESS(1,MATCH(A2957,INDIRECT("'"&amp;E2957&amp;"'"&amp;"!A4:Z4"),0),4),1,""),""),4)</f>
        <v>B4</v>
      </c>
      <c r="C2957" s="52" t="str">
        <f ca="1">_xlfn.CONCAT(IFERROR(SUBSTITUTE(ADDRESS(1,MATCH(A2957,INDIRECT("'"&amp;E2957&amp;"'"&amp;"!A4:Z4"),0),4),1,""),""),5)</f>
        <v>B5</v>
      </c>
      <c r="D2957" s="766" t="s">
        <v>1343</v>
      </c>
      <c r="E2957" s="766" t="s">
        <v>1272</v>
      </c>
      <c r="F2957" s="765" t="s">
        <v>1258</v>
      </c>
      <c r="G2957" s="766" t="s">
        <v>1346</v>
      </c>
      <c r="H2957" s="766" t="s">
        <v>1272</v>
      </c>
    </row>
    <row r="2958" spans="1:13" s="1716" customFormat="1" x14ac:dyDescent="0.25">
      <c r="A2958" s="765" t="s">
        <v>2228</v>
      </c>
      <c r="B2958" s="766" t="str">
        <f t="shared" ca="1" si="412"/>
        <v>E69</v>
      </c>
      <c r="C2958" s="766" t="str">
        <f t="shared" ca="1" si="413"/>
        <v>E</v>
      </c>
      <c r="D2958" s="766" t="s">
        <v>1350</v>
      </c>
      <c r="E2958" s="766" t="s">
        <v>1272</v>
      </c>
      <c r="F2958" s="765" t="s">
        <v>2228</v>
      </c>
      <c r="G2958" s="766" t="s">
        <v>656</v>
      </c>
      <c r="H2958" s="766" t="s">
        <v>1272</v>
      </c>
      <c r="M2958" s="1717"/>
    </row>
    <row r="2959" spans="1:13" x14ac:dyDescent="0.25">
      <c r="A2959" s="813" t="s">
        <v>1282</v>
      </c>
      <c r="B2959" s="766" t="str">
        <f t="shared" ca="1" si="412"/>
        <v>O69</v>
      </c>
      <c r="C2959" s="766" t="str">
        <f t="shared" ca="1" si="413"/>
        <v>O</v>
      </c>
      <c r="D2959" s="766" t="s">
        <v>1350</v>
      </c>
      <c r="E2959" s="766" t="s">
        <v>1272</v>
      </c>
      <c r="F2959" s="1237" t="s">
        <v>1909</v>
      </c>
      <c r="G2959" s="52" t="s">
        <v>1348</v>
      </c>
      <c r="H2959" s="52" t="s">
        <v>1284</v>
      </c>
    </row>
    <row r="2960" spans="1:13" x14ac:dyDescent="0.25">
      <c r="A2960" s="1052" t="s">
        <v>1239</v>
      </c>
      <c r="B2960" s="766" t="str">
        <f t="shared" ca="1" si="412"/>
        <v>I69</v>
      </c>
      <c r="C2960" s="766" t="str">
        <f t="shared" ca="1" si="413"/>
        <v>I</v>
      </c>
      <c r="D2960" s="766" t="s">
        <v>1350</v>
      </c>
      <c r="E2960" s="766" t="s">
        <v>1272</v>
      </c>
      <c r="F2960" s="1237" t="s">
        <v>1239</v>
      </c>
      <c r="G2960" s="52" t="s">
        <v>1354</v>
      </c>
      <c r="H2960" s="52" t="s">
        <v>1284</v>
      </c>
    </row>
    <row r="2961" spans="1:14" x14ac:dyDescent="0.25">
      <c r="A2961" s="1052" t="s">
        <v>1276</v>
      </c>
      <c r="B2961" s="766" t="str">
        <f t="shared" ca="1" si="412"/>
        <v>G69</v>
      </c>
      <c r="C2961" s="766" t="str">
        <f t="shared" ca="1" si="413"/>
        <v>G</v>
      </c>
      <c r="D2961" s="766" t="s">
        <v>1350</v>
      </c>
      <c r="E2961" s="766" t="s">
        <v>1272</v>
      </c>
      <c r="F2961" s="1237" t="s">
        <v>671</v>
      </c>
      <c r="G2961" s="52" t="s">
        <v>656</v>
      </c>
      <c r="H2961" s="52" t="s">
        <v>1284</v>
      </c>
    </row>
    <row r="2962" spans="1:14" x14ac:dyDescent="0.25">
      <c r="A2962" s="1068" t="s">
        <v>1275</v>
      </c>
      <c r="B2962" s="766" t="str">
        <f t="shared" ca="1" si="412"/>
        <v>F69</v>
      </c>
      <c r="C2962" s="766" t="str">
        <f t="shared" ca="1" si="413"/>
        <v>F</v>
      </c>
      <c r="D2962" s="766" t="s">
        <v>1350</v>
      </c>
      <c r="E2962" s="766" t="s">
        <v>1272</v>
      </c>
      <c r="F2962" s="1237" t="s">
        <v>1275</v>
      </c>
      <c r="G2962" s="52" t="s">
        <v>1363</v>
      </c>
      <c r="H2962" s="52" t="s">
        <v>1284</v>
      </c>
    </row>
    <row r="2963" spans="1:14" x14ac:dyDescent="0.25">
      <c r="A2963" s="1068" t="s">
        <v>1279</v>
      </c>
      <c r="B2963" s="766" t="str">
        <f t="shared" ca="1" si="412"/>
        <v>K69</v>
      </c>
      <c r="C2963" s="766" t="str">
        <f t="shared" ca="1" si="413"/>
        <v>K</v>
      </c>
      <c r="D2963" s="766" t="s">
        <v>1350</v>
      </c>
      <c r="E2963" s="766" t="s">
        <v>1272</v>
      </c>
      <c r="F2963" s="1237" t="s">
        <v>1279</v>
      </c>
      <c r="G2963" s="52" t="s">
        <v>1355</v>
      </c>
      <c r="H2963" s="52" t="s">
        <v>1284</v>
      </c>
    </row>
    <row r="2964" spans="1:14" x14ac:dyDescent="0.25">
      <c r="A2964" s="1068" t="s">
        <v>1281</v>
      </c>
      <c r="B2964" s="766" t="str">
        <f t="shared" ca="1" si="412"/>
        <v>M69</v>
      </c>
      <c r="C2964" s="766" t="str">
        <f t="shared" ca="1" si="413"/>
        <v>M</v>
      </c>
      <c r="D2964" s="766" t="s">
        <v>1350</v>
      </c>
      <c r="E2964" s="766" t="s">
        <v>1272</v>
      </c>
      <c r="F2964" s="1237" t="s">
        <v>1281</v>
      </c>
      <c r="G2964" s="52" t="s">
        <v>1356</v>
      </c>
      <c r="H2964" s="52" t="s">
        <v>1284</v>
      </c>
    </row>
    <row r="2965" spans="1:14" x14ac:dyDescent="0.25">
      <c r="A2965" s="1068" t="s">
        <v>1221</v>
      </c>
      <c r="B2965" s="766" t="str">
        <f t="shared" ca="1" si="412"/>
        <v>N69</v>
      </c>
      <c r="C2965" s="766" t="str">
        <f t="shared" ca="1" si="413"/>
        <v>N</v>
      </c>
      <c r="D2965" s="766" t="s">
        <v>1350</v>
      </c>
      <c r="E2965" s="766" t="s">
        <v>1272</v>
      </c>
      <c r="F2965" s="765" t="s">
        <v>1221</v>
      </c>
      <c r="G2965" s="52" t="s">
        <v>1357</v>
      </c>
      <c r="H2965" s="52" t="s">
        <v>1284</v>
      </c>
    </row>
    <row r="2966" spans="1:14" x14ac:dyDescent="0.25">
      <c r="A2966" s="765" t="s">
        <v>1258</v>
      </c>
      <c r="B2966" s="766" t="str">
        <f ca="1">_xlfn.CONCAT(IFERROR(SUBSTITUTE(ADDRESS(1,MATCH(A2966,INDIRECT("'"&amp;E2966&amp;"'"&amp;"!A4:Z4"),0),4),1,""),""),4)</f>
        <v>B4</v>
      </c>
      <c r="C2966" s="52" t="str">
        <f ca="1">_xlfn.CONCAT(IFERROR(SUBSTITUTE(ADDRESS(1,MATCH(A2966,INDIRECT("'"&amp;E2966&amp;"'"&amp;"!A4:Z4"),0),4),1,""),""),5)</f>
        <v>B5</v>
      </c>
      <c r="D2966" s="766" t="s">
        <v>1343</v>
      </c>
      <c r="E2966" s="766" t="s">
        <v>1272</v>
      </c>
      <c r="F2966" s="1237" t="s">
        <v>1258</v>
      </c>
      <c r="G2966" s="766" t="s">
        <v>1346</v>
      </c>
      <c r="H2966" s="52" t="s">
        <v>1284</v>
      </c>
    </row>
    <row r="2967" spans="1:14" x14ac:dyDescent="0.25">
      <c r="A2967" s="813" t="s">
        <v>1277</v>
      </c>
      <c r="B2967" s="766" t="str">
        <f t="shared" ca="1" si="412"/>
        <v>H69</v>
      </c>
      <c r="C2967" s="766" t="str">
        <f t="shared" ca="1" si="413"/>
        <v>H</v>
      </c>
      <c r="D2967" s="766" t="s">
        <v>1350</v>
      </c>
      <c r="E2967" s="766" t="s">
        <v>1272</v>
      </c>
      <c r="F2967" s="1237" t="s">
        <v>1277</v>
      </c>
      <c r="G2967" s="52" t="s">
        <v>1349</v>
      </c>
      <c r="H2967" s="52" t="s">
        <v>1284</v>
      </c>
    </row>
    <row r="2968" spans="1:14" x14ac:dyDescent="0.25">
      <c r="A2968" s="1254" t="s">
        <v>1910</v>
      </c>
      <c r="B2968" s="766" t="str">
        <f t="shared" ca="1" si="412"/>
        <v>P69</v>
      </c>
      <c r="C2968" s="766" t="str">
        <f t="shared" ca="1" si="413"/>
        <v>P</v>
      </c>
      <c r="D2968" s="766" t="s">
        <v>1350</v>
      </c>
      <c r="E2968" s="766" t="s">
        <v>1272</v>
      </c>
      <c r="F2968" s="1254" t="s">
        <v>1910</v>
      </c>
      <c r="G2968" s="1718" t="s">
        <v>1359</v>
      </c>
      <c r="H2968" s="52" t="s">
        <v>1284</v>
      </c>
    </row>
    <row r="2969" spans="1:14" x14ac:dyDescent="0.25">
      <c r="A2969" s="1068" t="s">
        <v>1280</v>
      </c>
      <c r="B2969" s="766" t="str">
        <f t="shared" ca="1" si="412"/>
        <v>L69</v>
      </c>
      <c r="C2969" s="766" t="str">
        <f t="shared" ca="1" si="413"/>
        <v>L</v>
      </c>
      <c r="D2969" s="766" t="s">
        <v>1350</v>
      </c>
      <c r="E2969" s="766" t="s">
        <v>1272</v>
      </c>
      <c r="F2969" s="1237" t="s">
        <v>1280</v>
      </c>
      <c r="G2969" s="52" t="s">
        <v>1353</v>
      </c>
      <c r="H2969" s="52" t="s">
        <v>1284</v>
      </c>
    </row>
    <row r="2970" spans="1:14" x14ac:dyDescent="0.25">
      <c r="A2970" s="765" t="s">
        <v>2229</v>
      </c>
      <c r="B2970" s="766" t="str">
        <f ca="1">_xlfn.CONCAT(IFERROR(SUBSTITUTE(ADDRESS(1,MATCH(A2970,INDIRECT("'"&amp;E2970&amp;"'"&amp;"!A68:Z68"),0),4),1,""),""),69)</f>
        <v>Q69</v>
      </c>
      <c r="C2970" s="766" t="str">
        <f ca="1">IFERROR(SUBSTITUTE(ADDRESS(1,MATCH(A2970,INDIRECT("'"&amp;E2970&amp;"'"&amp;"!A68:Z68"),0),4),1,""),"")</f>
        <v>Q</v>
      </c>
      <c r="D2970" s="766" t="s">
        <v>1350</v>
      </c>
      <c r="E2970" s="766" t="s">
        <v>1272</v>
      </c>
      <c r="F2970" s="765" t="s">
        <v>2229</v>
      </c>
      <c r="G2970" s="766" t="s">
        <v>657</v>
      </c>
      <c r="H2970" s="766" t="s">
        <v>1272</v>
      </c>
    </row>
    <row r="2971" spans="1:14" x14ac:dyDescent="0.25">
      <c r="A2971" s="765" t="s">
        <v>2229</v>
      </c>
      <c r="B2971" s="766" t="str">
        <f ca="1">_xlfn.CONCAT(IFERROR(SUBSTITUTE(ADDRESS(1,MATCH(A2971,INDIRECT("'"&amp;E2971&amp;"'"&amp;"!A68:Z68"),0),4),1,""),""),69)</f>
        <v>Q69</v>
      </c>
      <c r="C2971" s="766" t="str">
        <f ca="1">IFERROR(SUBSTITUTE(ADDRESS(1,MATCH(A2971,INDIRECT("'"&amp;E2971&amp;"'"&amp;"!A68:Z68"),0),4),1,""),"")</f>
        <v>Q</v>
      </c>
      <c r="D2971" s="766" t="s">
        <v>1350</v>
      </c>
      <c r="E2971" s="766" t="s">
        <v>1272</v>
      </c>
      <c r="F2971" s="765" t="s">
        <v>2229</v>
      </c>
      <c r="G2971" s="766" t="s">
        <v>134</v>
      </c>
      <c r="H2971" s="52" t="s">
        <v>1284</v>
      </c>
    </row>
    <row r="2972" spans="1:14" x14ac:dyDescent="0.25">
      <c r="A2972" s="813" t="s">
        <v>1910</v>
      </c>
      <c r="B2972" s="1241" t="str">
        <f ca="1">_xlfn.CONCAT(IFERROR(SUBSTITUTE(ADDRESS(1,MATCH(A2972,INDIRECT("'"&amp;E2972&amp;"'"&amp;"!A34:Z34"),0),4),1,""),""),35)</f>
        <v>P35</v>
      </c>
      <c r="C2972" s="1241" t="str">
        <f ca="1">IFERROR(SUBSTITUTE(ADDRESS(1,MATCH(A2972,INDIRECT("'"&amp;E2972&amp;"'"&amp;"!A34:Z34"),0),4),1,""),"")</f>
        <v>P</v>
      </c>
      <c r="D2972" s="766" t="s">
        <v>1350</v>
      </c>
      <c r="E2972" s="766" t="s">
        <v>1272</v>
      </c>
      <c r="I2972" s="1241" t="str">
        <f t="shared" ref="I2972:I2992" si="414">IF(J2972&lt;&gt;"",A2972,"")</f>
        <v>Desc Sort Seq</v>
      </c>
      <c r="J2972" s="1784" t="str">
        <f t="shared" ref="J2972:J2992" si="415">IF(M2972&lt;&gt;"",Q$1&amp;M2972,"")</f>
        <v>F1738</v>
      </c>
      <c r="K2972" s="1784" t="str">
        <f t="shared" ref="K2972:K2992" si="416">IF(J2972&lt;&gt;"",E2972,"")</f>
        <v>Pricing Schedule</v>
      </c>
      <c r="L2972" s="813" t="s">
        <v>1910</v>
      </c>
      <c r="M2972" s="1798">
        <v>1738</v>
      </c>
      <c r="N2972" s="1789" t="s">
        <v>103</v>
      </c>
    </row>
    <row r="2973" spans="1:14" x14ac:dyDescent="0.25">
      <c r="A2973" s="813" t="s">
        <v>1910</v>
      </c>
      <c r="B2973" s="1241" t="str">
        <f ca="1">_xlfn.CONCAT(IFERROR(SUBSTITUTE(ADDRESS(1,MATCH(A2973,INDIRECT("'"&amp;E2973&amp;"'"&amp;"!A34:Z34"),0),4),1,""),""),36)</f>
        <v>P36</v>
      </c>
      <c r="C2973" s="1241" t="str">
        <f t="shared" ref="C2973:C2992" ca="1" si="417">IFERROR(SUBSTITUTE(ADDRESS(1,MATCH(A2973,INDIRECT("'"&amp;E2973&amp;"'"&amp;"!A34:Z34"),0),4),1,""),"")</f>
        <v>P</v>
      </c>
      <c r="D2973" s="766" t="s">
        <v>1350</v>
      </c>
      <c r="E2973" s="766" t="s">
        <v>1272</v>
      </c>
      <c r="I2973" s="1241" t="str">
        <f t="shared" si="414"/>
        <v>Desc Sort Seq</v>
      </c>
      <c r="J2973" s="1784" t="str">
        <f t="shared" si="415"/>
        <v>F1739</v>
      </c>
      <c r="K2973" s="1784" t="str">
        <f t="shared" si="416"/>
        <v>Pricing Schedule</v>
      </c>
      <c r="L2973" s="813" t="s">
        <v>1910</v>
      </c>
      <c r="M2973" s="1798">
        <v>1739</v>
      </c>
      <c r="N2973" s="1790" t="s">
        <v>1289</v>
      </c>
    </row>
    <row r="2974" spans="1:14" x14ac:dyDescent="0.25">
      <c r="A2974" s="813" t="s">
        <v>1910</v>
      </c>
      <c r="B2974" s="1241" t="str">
        <f ca="1">_xlfn.CONCAT(IFERROR(SUBSTITUTE(ADDRESS(1,MATCH(A2974,INDIRECT("'"&amp;E2974&amp;"'"&amp;"!A34:Z34"),0),4),1,""),""),46)</f>
        <v>P46</v>
      </c>
      <c r="C2974" s="1241" t="str">
        <f t="shared" ca="1" si="417"/>
        <v>P</v>
      </c>
      <c r="D2974" s="766" t="s">
        <v>1350</v>
      </c>
      <c r="E2974" s="766" t="s">
        <v>1272</v>
      </c>
      <c r="I2974" s="1241" t="str">
        <f t="shared" si="414"/>
        <v>Desc Sort Seq</v>
      </c>
      <c r="J2974" s="1784" t="str">
        <f t="shared" si="415"/>
        <v>F1740</v>
      </c>
      <c r="K2974" s="1784" t="str">
        <f t="shared" si="416"/>
        <v>Pricing Schedule</v>
      </c>
      <c r="L2974" s="813" t="s">
        <v>1910</v>
      </c>
      <c r="M2974" s="1798">
        <v>1740</v>
      </c>
      <c r="N2974" s="1791" t="s">
        <v>102</v>
      </c>
    </row>
    <row r="2975" spans="1:14" ht="26.25" x14ac:dyDescent="0.25">
      <c r="A2975" s="813" t="s">
        <v>1910</v>
      </c>
      <c r="B2975" s="1241" t="str">
        <f ca="1">_xlfn.CONCAT(IFERROR(SUBSTITUTE(ADDRESS(1,MATCH(A2975,INDIRECT("'"&amp;E2975&amp;"'"&amp;"!A34:Z34"),0),4),1,""),""),47)</f>
        <v>P47</v>
      </c>
      <c r="C2975" s="1241" t="str">
        <f t="shared" ca="1" si="417"/>
        <v>P</v>
      </c>
      <c r="D2975" s="766" t="s">
        <v>1350</v>
      </c>
      <c r="E2975" s="766" t="s">
        <v>1272</v>
      </c>
      <c r="I2975" s="1241" t="str">
        <f t="shared" si="414"/>
        <v>Desc Sort Seq</v>
      </c>
      <c r="J2975" s="1784" t="str">
        <f t="shared" si="415"/>
        <v>F1746</v>
      </c>
      <c r="K2975" s="1784" t="str">
        <f t="shared" si="416"/>
        <v>Pricing Schedule</v>
      </c>
      <c r="L2975" s="813" t="s">
        <v>1910</v>
      </c>
      <c r="M2975" s="1798">
        <v>1746</v>
      </c>
      <c r="N2975" s="1791" t="s">
        <v>101</v>
      </c>
    </row>
    <row r="2976" spans="1:14" x14ac:dyDescent="0.25">
      <c r="A2976" s="813" t="s">
        <v>1910</v>
      </c>
      <c r="B2976" s="1241" t="str">
        <f ca="1">_xlfn.CONCAT(IFERROR(SUBSTITUTE(ADDRESS(1,MATCH(A2976,INDIRECT("'"&amp;E2976&amp;"'"&amp;"!A34:Z34"),0),4),1,""),""),48)</f>
        <v>P48</v>
      </c>
      <c r="C2976" s="1241" t="str">
        <f t="shared" ca="1" si="417"/>
        <v>P</v>
      </c>
      <c r="D2976" s="766" t="s">
        <v>1350</v>
      </c>
      <c r="E2976" s="766" t="s">
        <v>1272</v>
      </c>
      <c r="I2976" s="1241" t="str">
        <f t="shared" si="414"/>
        <v>Desc Sort Seq</v>
      </c>
      <c r="J2976" s="1784" t="str">
        <f t="shared" si="415"/>
        <v>F1741</v>
      </c>
      <c r="K2976" s="1784" t="str">
        <f t="shared" si="416"/>
        <v>Pricing Schedule</v>
      </c>
      <c r="L2976" s="813" t="s">
        <v>1910</v>
      </c>
      <c r="M2976" s="1798">
        <v>1741</v>
      </c>
      <c r="N2976" s="1791" t="s">
        <v>100</v>
      </c>
    </row>
    <row r="2977" spans="1:14" x14ac:dyDescent="0.25">
      <c r="A2977" s="813" t="s">
        <v>1910</v>
      </c>
      <c r="B2977" s="1241" t="str">
        <f ca="1">_xlfn.CONCAT(IFERROR(SUBSTITUTE(ADDRESS(1,MATCH(A2977,INDIRECT("'"&amp;E2977&amp;"'"&amp;"!A34:Z34"),0),4),1,""),""),49)</f>
        <v>P49</v>
      </c>
      <c r="C2977" s="1241" t="str">
        <f t="shared" ca="1" si="417"/>
        <v>P</v>
      </c>
      <c r="D2977" s="766" t="s">
        <v>1350</v>
      </c>
      <c r="E2977" s="766" t="s">
        <v>1272</v>
      </c>
      <c r="I2977" s="1241" t="str">
        <f t="shared" si="414"/>
        <v>Desc Sort Seq</v>
      </c>
      <c r="J2977" s="1784" t="str">
        <f t="shared" si="415"/>
        <v>F1742</v>
      </c>
      <c r="K2977" s="1784" t="str">
        <f t="shared" si="416"/>
        <v>Pricing Schedule</v>
      </c>
      <c r="L2977" s="813" t="s">
        <v>1910</v>
      </c>
      <c r="M2977" s="1798">
        <v>1742</v>
      </c>
      <c r="N2977" s="1791" t="s">
        <v>104</v>
      </c>
    </row>
    <row r="2978" spans="1:14" ht="26.25" x14ac:dyDescent="0.25">
      <c r="A2978" s="813" t="s">
        <v>1910</v>
      </c>
      <c r="B2978" s="1241" t="str">
        <f ca="1">_xlfn.CONCAT(IFERROR(SUBSTITUTE(ADDRESS(1,MATCH(A2978,INDIRECT("'"&amp;E2978&amp;"'"&amp;"!A34:Z34"),0),4),1,""),""),50)</f>
        <v>P50</v>
      </c>
      <c r="C2978" s="1241" t="str">
        <f t="shared" ca="1" si="417"/>
        <v>P</v>
      </c>
      <c r="D2978" s="766" t="s">
        <v>1350</v>
      </c>
      <c r="E2978" s="766" t="s">
        <v>1272</v>
      </c>
      <c r="I2978" s="1241" t="str">
        <f t="shared" si="414"/>
        <v>Desc Sort Seq</v>
      </c>
      <c r="J2978" s="1784" t="str">
        <f t="shared" si="415"/>
        <v>F1737</v>
      </c>
      <c r="K2978" s="1784" t="str">
        <f t="shared" si="416"/>
        <v>Pricing Schedule</v>
      </c>
      <c r="L2978" s="813" t="s">
        <v>1910</v>
      </c>
      <c r="M2978" s="1798">
        <v>1737</v>
      </c>
      <c r="N2978" s="1791" t="s">
        <v>99</v>
      </c>
    </row>
    <row r="2979" spans="1:14" x14ac:dyDescent="0.25">
      <c r="A2979" s="813" t="s">
        <v>1910</v>
      </c>
      <c r="B2979" s="1241" t="str">
        <f ca="1">_xlfn.CONCAT(IFERROR(SUBSTITUTE(ADDRESS(1,MATCH(A2979,INDIRECT("'"&amp;E2979&amp;"'"&amp;"!A34:Z34"),0),4),1,""),""),51)</f>
        <v>P51</v>
      </c>
      <c r="C2979" s="1241" t="str">
        <f t="shared" ca="1" si="417"/>
        <v>P</v>
      </c>
      <c r="D2979" s="766" t="s">
        <v>1350</v>
      </c>
      <c r="E2979" s="766" t="s">
        <v>1272</v>
      </c>
      <c r="I2979" s="1241" t="str">
        <f t="shared" si="414"/>
        <v>Desc Sort Seq</v>
      </c>
      <c r="J2979" s="1784" t="str">
        <f t="shared" si="415"/>
        <v>F1743</v>
      </c>
      <c r="K2979" s="1784" t="str">
        <f t="shared" si="416"/>
        <v>Pricing Schedule</v>
      </c>
      <c r="L2979" s="813" t="s">
        <v>1910</v>
      </c>
      <c r="M2979" s="1798">
        <v>1743</v>
      </c>
      <c r="N2979" s="1791" t="s">
        <v>98</v>
      </c>
    </row>
    <row r="2980" spans="1:14" x14ac:dyDescent="0.25">
      <c r="A2980" s="813" t="s">
        <v>1910</v>
      </c>
      <c r="B2980" s="1241" t="str">
        <f ca="1">_xlfn.CONCAT(IFERROR(SUBSTITUTE(ADDRESS(1,MATCH(A2980,INDIRECT("'"&amp;E2980&amp;"'"&amp;"!A34:Z34"),0),4),1,""),""),52)</f>
        <v>P52</v>
      </c>
      <c r="C2980" s="1241" t="str">
        <f t="shared" ca="1" si="417"/>
        <v>P</v>
      </c>
      <c r="D2980" s="766" t="s">
        <v>1350</v>
      </c>
      <c r="E2980" s="766" t="s">
        <v>1272</v>
      </c>
      <c r="I2980" s="1241" t="str">
        <f t="shared" si="414"/>
        <v>Desc Sort Seq</v>
      </c>
      <c r="J2980" s="1784" t="str">
        <f t="shared" si="415"/>
        <v>F1747</v>
      </c>
      <c r="K2980" s="1784" t="str">
        <f t="shared" si="416"/>
        <v>Pricing Schedule</v>
      </c>
      <c r="L2980" s="813" t="s">
        <v>1910</v>
      </c>
      <c r="M2980" s="1798">
        <v>1747</v>
      </c>
      <c r="N2980" s="1791" t="s">
        <v>97</v>
      </c>
    </row>
    <row r="2981" spans="1:14" x14ac:dyDescent="0.25">
      <c r="A2981" s="813" t="s">
        <v>1910</v>
      </c>
      <c r="B2981" s="1241" t="str">
        <f ca="1">_xlfn.CONCAT(IFERROR(SUBSTITUTE(ADDRESS(1,MATCH(A2981,INDIRECT("'"&amp;E2981&amp;"'"&amp;"!A34:Z34"),0),4),1,""),""),53)</f>
        <v>P53</v>
      </c>
      <c r="C2981" s="1241" t="str">
        <f t="shared" ca="1" si="417"/>
        <v>P</v>
      </c>
      <c r="D2981" s="766" t="s">
        <v>1350</v>
      </c>
      <c r="E2981" s="766" t="s">
        <v>1272</v>
      </c>
      <c r="I2981" s="1241" t="str">
        <f t="shared" si="414"/>
        <v>Desc Sort Seq</v>
      </c>
      <c r="J2981" s="1784" t="str">
        <f t="shared" si="415"/>
        <v>F1745</v>
      </c>
      <c r="K2981" s="1784" t="str">
        <f t="shared" si="416"/>
        <v>Pricing Schedule</v>
      </c>
      <c r="L2981" s="813" t="s">
        <v>1910</v>
      </c>
      <c r="M2981" s="1798">
        <v>1745</v>
      </c>
      <c r="N2981" s="1791" t="s">
        <v>96</v>
      </c>
    </row>
    <row r="2982" spans="1:14" x14ac:dyDescent="0.25">
      <c r="A2982" s="813" t="s">
        <v>1910</v>
      </c>
      <c r="B2982" s="1241" t="str">
        <f ca="1">_xlfn.CONCAT(IFERROR(SUBSTITUTE(ADDRESS(1,MATCH(A2982,INDIRECT("'"&amp;E2982&amp;"'"&amp;"!A34:Z34"),0),4),1,""),""),54)</f>
        <v>P54</v>
      </c>
      <c r="C2982" s="1241" t="str">
        <f t="shared" ca="1" si="417"/>
        <v>P</v>
      </c>
      <c r="D2982" s="766" t="s">
        <v>1350</v>
      </c>
      <c r="E2982" s="766" t="s">
        <v>1272</v>
      </c>
      <c r="I2982" s="1241" t="str">
        <f t="shared" si="414"/>
        <v>Desc Sort Seq</v>
      </c>
      <c r="J2982" s="1784" t="str">
        <f t="shared" si="415"/>
        <v>F1744</v>
      </c>
      <c r="K2982" s="1784" t="str">
        <f t="shared" si="416"/>
        <v>Pricing Schedule</v>
      </c>
      <c r="L2982" s="813" t="s">
        <v>1910</v>
      </c>
      <c r="M2982" s="1798">
        <v>1744</v>
      </c>
      <c r="N2982" s="1791" t="s">
        <v>95</v>
      </c>
    </row>
    <row r="2983" spans="1:14" x14ac:dyDescent="0.25">
      <c r="A2983" s="813" t="s">
        <v>1910</v>
      </c>
      <c r="B2983" s="1241" t="str">
        <f ca="1">_xlfn.CONCAT(IFERROR(SUBSTITUTE(ADDRESS(1,MATCH(A2983,INDIRECT("'"&amp;E2983&amp;"'"&amp;"!A34:Z34"),0),4),1,""),""),55)</f>
        <v>P55</v>
      </c>
      <c r="C2983" s="1241" t="str">
        <f t="shared" ca="1" si="417"/>
        <v>P</v>
      </c>
      <c r="D2983" s="766" t="s">
        <v>1350</v>
      </c>
      <c r="E2983" s="766" t="s">
        <v>1272</v>
      </c>
      <c r="I2983" s="1241" t="str">
        <f t="shared" si="414"/>
        <v>Desc Sort Seq</v>
      </c>
      <c r="J2983" s="1784" t="str">
        <f t="shared" si="415"/>
        <v>F1754</v>
      </c>
      <c r="K2983" s="1784" t="str">
        <f t="shared" si="416"/>
        <v>Pricing Schedule</v>
      </c>
      <c r="L2983" s="813" t="s">
        <v>1910</v>
      </c>
      <c r="M2983" s="1798">
        <v>1754</v>
      </c>
      <c r="N2983" s="1791" t="s">
        <v>94</v>
      </c>
    </row>
    <row r="2984" spans="1:14" x14ac:dyDescent="0.25">
      <c r="A2984" s="813" t="s">
        <v>1910</v>
      </c>
      <c r="B2984" s="1241" t="str">
        <f ca="1">_xlfn.CONCAT(IFERROR(SUBSTITUTE(ADDRESS(1,MATCH(A2984,INDIRECT("'"&amp;E2984&amp;"'"&amp;"!A34:Z34"),0),4),1,""),""),56)</f>
        <v>P56</v>
      </c>
      <c r="C2984" s="1241" t="str">
        <f t="shared" ca="1" si="417"/>
        <v>P</v>
      </c>
      <c r="D2984" s="766" t="s">
        <v>1350</v>
      </c>
      <c r="E2984" s="766" t="s">
        <v>1272</v>
      </c>
      <c r="I2984" s="1241" t="str">
        <f t="shared" si="414"/>
        <v>Desc Sort Seq</v>
      </c>
      <c r="J2984" s="1784" t="str">
        <f t="shared" si="415"/>
        <v>F1748</v>
      </c>
      <c r="K2984" s="1784" t="str">
        <f t="shared" si="416"/>
        <v>Pricing Schedule</v>
      </c>
      <c r="L2984" s="813" t="s">
        <v>1910</v>
      </c>
      <c r="M2984" s="1798">
        <v>1748</v>
      </c>
      <c r="N2984" s="1791" t="s">
        <v>93</v>
      </c>
    </row>
    <row r="2985" spans="1:14" x14ac:dyDescent="0.25">
      <c r="A2985" s="813" t="s">
        <v>1910</v>
      </c>
      <c r="B2985" s="1241" t="str">
        <f ca="1">_xlfn.CONCAT(IFERROR(SUBSTITUTE(ADDRESS(1,MATCH(A2985,INDIRECT("'"&amp;E2985&amp;"'"&amp;"!A34:Z34"),0),4),1,""),""),57)</f>
        <v>P57</v>
      </c>
      <c r="C2985" s="1241" t="str">
        <f t="shared" ca="1" si="417"/>
        <v>P</v>
      </c>
      <c r="D2985" s="766" t="s">
        <v>1350</v>
      </c>
      <c r="E2985" s="766" t="s">
        <v>1272</v>
      </c>
      <c r="I2985" s="1241" t="str">
        <f t="shared" si="414"/>
        <v>Desc Sort Seq</v>
      </c>
      <c r="J2985" s="1784" t="str">
        <f t="shared" si="415"/>
        <v>F1750</v>
      </c>
      <c r="K2985" s="1784" t="str">
        <f t="shared" si="416"/>
        <v>Pricing Schedule</v>
      </c>
      <c r="L2985" s="813" t="s">
        <v>1910</v>
      </c>
      <c r="M2985" s="1798">
        <v>1750</v>
      </c>
      <c r="N2985" s="1791" t="s">
        <v>92</v>
      </c>
    </row>
    <row r="2986" spans="1:14" x14ac:dyDescent="0.25">
      <c r="A2986" s="813" t="s">
        <v>1910</v>
      </c>
      <c r="B2986" s="1241" t="str">
        <f ca="1">_xlfn.CONCAT(IFERROR(SUBSTITUTE(ADDRESS(1,MATCH(A2986,INDIRECT("'"&amp;E2986&amp;"'"&amp;"!A34:Z34"),0),4),1,""),""),58)</f>
        <v>P58</v>
      </c>
      <c r="C2986" s="1241" t="str">
        <f t="shared" ca="1" si="417"/>
        <v>P</v>
      </c>
      <c r="D2986" s="766" t="s">
        <v>1350</v>
      </c>
      <c r="E2986" s="766" t="s">
        <v>1272</v>
      </c>
      <c r="I2986" s="1241" t="str">
        <f t="shared" si="414"/>
        <v>Desc Sort Seq</v>
      </c>
      <c r="J2986" s="1784" t="str">
        <f t="shared" si="415"/>
        <v>F1751</v>
      </c>
      <c r="K2986" s="1784" t="str">
        <f t="shared" si="416"/>
        <v>Pricing Schedule</v>
      </c>
      <c r="L2986" s="813" t="s">
        <v>1910</v>
      </c>
      <c r="M2986" s="1798">
        <v>1751</v>
      </c>
      <c r="N2986" s="1791" t="s">
        <v>91</v>
      </c>
    </row>
    <row r="2987" spans="1:14" x14ac:dyDescent="0.25">
      <c r="A2987" s="813" t="s">
        <v>1910</v>
      </c>
      <c r="B2987" s="1241" t="str">
        <f ca="1">_xlfn.CONCAT(IFERROR(SUBSTITUTE(ADDRESS(1,MATCH(A2987,INDIRECT("'"&amp;E2987&amp;"'"&amp;"!A34:Z34"),0),4),1,""),""),59)</f>
        <v>P59</v>
      </c>
      <c r="C2987" s="1241" t="str">
        <f t="shared" ca="1" si="417"/>
        <v>P</v>
      </c>
      <c r="D2987" s="766" t="s">
        <v>1350</v>
      </c>
      <c r="E2987" s="766" t="s">
        <v>1272</v>
      </c>
      <c r="I2987" s="1241" t="str">
        <f t="shared" si="414"/>
        <v>Desc Sort Seq</v>
      </c>
      <c r="J2987" s="1784" t="str">
        <f t="shared" si="415"/>
        <v>F1752</v>
      </c>
      <c r="K2987" s="1784" t="str">
        <f t="shared" si="416"/>
        <v>Pricing Schedule</v>
      </c>
      <c r="L2987" s="813" t="s">
        <v>1910</v>
      </c>
      <c r="M2987" s="1798">
        <v>1752</v>
      </c>
      <c r="N2987" s="1791" t="s">
        <v>90</v>
      </c>
    </row>
    <row r="2988" spans="1:14" x14ac:dyDescent="0.25">
      <c r="A2988" s="813" t="s">
        <v>1910</v>
      </c>
      <c r="B2988" s="1241" t="str">
        <f ca="1">_xlfn.CONCAT(IFERROR(SUBSTITUTE(ADDRESS(1,MATCH(A2988,INDIRECT("'"&amp;E2988&amp;"'"&amp;"!A34:Z34"),0),4),1,""),""),60)</f>
        <v>P60</v>
      </c>
      <c r="C2988" s="1241" t="str">
        <f t="shared" ca="1" si="417"/>
        <v>P</v>
      </c>
      <c r="D2988" s="766" t="s">
        <v>1350</v>
      </c>
      <c r="E2988" s="766" t="s">
        <v>1272</v>
      </c>
      <c r="I2988" s="1241" t="str">
        <f t="shared" si="414"/>
        <v>Desc Sort Seq</v>
      </c>
      <c r="J2988" s="1784" t="str">
        <f t="shared" si="415"/>
        <v>F1753</v>
      </c>
      <c r="K2988" s="1784" t="str">
        <f t="shared" si="416"/>
        <v>Pricing Schedule</v>
      </c>
      <c r="L2988" s="813" t="s">
        <v>1910</v>
      </c>
      <c r="M2988" s="1798">
        <v>1753</v>
      </c>
      <c r="N2988" s="1791" t="s">
        <v>89</v>
      </c>
    </row>
    <row r="2989" spans="1:14" x14ac:dyDescent="0.25">
      <c r="A2989" s="813" t="s">
        <v>1910</v>
      </c>
      <c r="B2989" s="1241" t="str">
        <f ca="1">_xlfn.CONCAT(IFERROR(SUBSTITUTE(ADDRESS(1,MATCH(A2989,INDIRECT("'"&amp;E2989&amp;"'"&amp;"!A34:Z34"),0),4),1,""),""),61)</f>
        <v>P61</v>
      </c>
      <c r="C2989" s="1241" t="str">
        <f t="shared" ca="1" si="417"/>
        <v>P</v>
      </c>
      <c r="D2989" s="766" t="s">
        <v>1350</v>
      </c>
      <c r="E2989" s="766" t="s">
        <v>1272</v>
      </c>
      <c r="I2989" s="1241" t="str">
        <f t="shared" si="414"/>
        <v>Desc Sort Seq</v>
      </c>
      <c r="J2989" s="1784" t="str">
        <f t="shared" si="415"/>
        <v>F1756</v>
      </c>
      <c r="K2989" s="1784" t="str">
        <f t="shared" si="416"/>
        <v>Pricing Schedule</v>
      </c>
      <c r="L2989" s="813" t="s">
        <v>1910</v>
      </c>
      <c r="M2989" s="1798">
        <v>1756</v>
      </c>
      <c r="N2989" s="1791" t="s">
        <v>88</v>
      </c>
    </row>
    <row r="2990" spans="1:14" x14ac:dyDescent="0.25">
      <c r="A2990" s="813" t="s">
        <v>1910</v>
      </c>
      <c r="B2990" s="1241" t="str">
        <f ca="1">_xlfn.CONCAT(IFERROR(SUBSTITUTE(ADDRESS(1,MATCH(A2990,INDIRECT("'"&amp;E2990&amp;"'"&amp;"!A34:Z34"),0),4),1,""),""),62)</f>
        <v>P62</v>
      </c>
      <c r="C2990" s="1241" t="str">
        <f t="shared" ca="1" si="417"/>
        <v>P</v>
      </c>
      <c r="D2990" s="766" t="s">
        <v>1350</v>
      </c>
      <c r="E2990" s="766" t="s">
        <v>1272</v>
      </c>
      <c r="I2990" s="1241" t="str">
        <f t="shared" si="414"/>
        <v>Desc Sort Seq</v>
      </c>
      <c r="J2990" s="1784" t="str">
        <f t="shared" si="415"/>
        <v>F1757</v>
      </c>
      <c r="K2990" s="1784" t="str">
        <f t="shared" si="416"/>
        <v>Pricing Schedule</v>
      </c>
      <c r="L2990" s="813" t="s">
        <v>1910</v>
      </c>
      <c r="M2990" s="1798">
        <v>1757</v>
      </c>
      <c r="N2990" s="1791" t="s">
        <v>87</v>
      </c>
    </row>
    <row r="2991" spans="1:14" x14ac:dyDescent="0.25">
      <c r="A2991" s="813" t="s">
        <v>1910</v>
      </c>
      <c r="B2991" s="1241" t="str">
        <f ca="1">_xlfn.CONCAT(IFERROR(SUBSTITUTE(ADDRESS(1,MATCH(A2991,INDIRECT("'"&amp;E2991&amp;"'"&amp;"!A34:Z34"),0),4),1,""),""),63)</f>
        <v>P63</v>
      </c>
      <c r="C2991" s="1241" t="str">
        <f t="shared" ca="1" si="417"/>
        <v>P</v>
      </c>
      <c r="D2991" s="766" t="s">
        <v>1350</v>
      </c>
      <c r="E2991" s="766" t="s">
        <v>1272</v>
      </c>
      <c r="I2991" s="1241" t="str">
        <f t="shared" si="414"/>
        <v>Desc Sort Seq</v>
      </c>
      <c r="J2991" s="1784" t="str">
        <f t="shared" si="415"/>
        <v>F1755</v>
      </c>
      <c r="K2991" s="1784" t="str">
        <f t="shared" si="416"/>
        <v>Pricing Schedule</v>
      </c>
      <c r="L2991" s="813" t="s">
        <v>1910</v>
      </c>
      <c r="M2991" s="1798">
        <v>1755</v>
      </c>
      <c r="N2991" s="1791" t="s">
        <v>86</v>
      </c>
    </row>
    <row r="2992" spans="1:14" x14ac:dyDescent="0.25">
      <c r="A2992" s="813" t="s">
        <v>1910</v>
      </c>
      <c r="B2992" s="1241" t="str">
        <f ca="1">_xlfn.CONCAT(IFERROR(SUBSTITUTE(ADDRESS(1,MATCH(A2992,INDIRECT("'"&amp;E2992&amp;"'"&amp;"!A34:Z34"),0),4),1,""),""),64)</f>
        <v>P64</v>
      </c>
      <c r="C2992" s="1241" t="str">
        <f t="shared" ca="1" si="417"/>
        <v>P</v>
      </c>
      <c r="D2992" s="766" t="s">
        <v>1350</v>
      </c>
      <c r="E2992" s="766" t="s">
        <v>1272</v>
      </c>
      <c r="I2992" s="1241" t="str">
        <f t="shared" si="414"/>
        <v>Desc Sort Seq</v>
      </c>
      <c r="J2992" s="1784" t="str">
        <f t="shared" si="415"/>
        <v>F1749</v>
      </c>
      <c r="K2992" s="1784" t="str">
        <f t="shared" si="416"/>
        <v>Pricing Schedule</v>
      </c>
      <c r="L2992" s="813" t="s">
        <v>1910</v>
      </c>
      <c r="M2992" s="1798">
        <v>1749</v>
      </c>
      <c r="N2992" s="1791"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39" customWidth="1"/>
    <col min="6" max="6" width="42.28515625" style="686" customWidth="1"/>
    <col min="7" max="7" width="27.28515625" style="686" customWidth="1"/>
    <col min="8" max="8" width="19.28515625" style="686" customWidth="1"/>
    <col min="9" max="9" width="9.140625" style="686" customWidth="1"/>
    <col min="10" max="10" width="20.5703125" style="1539" customWidth="1"/>
    <col min="11" max="11" width="18.28515625" style="1537" customWidth="1"/>
    <col min="12" max="12" width="19.140625" style="686" customWidth="1"/>
    <col min="13" max="13" width="23" style="686" customWidth="1"/>
    <col min="14" max="14" width="23" style="1540" customWidth="1"/>
    <col min="15" max="15" width="25" style="1695"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55" t="s">
        <v>1720</v>
      </c>
      <c r="B1" s="2256"/>
      <c r="C1" s="2256"/>
      <c r="D1" s="2256"/>
      <c r="E1" s="2257"/>
      <c r="F1" s="2258" t="s">
        <v>1721</v>
      </c>
      <c r="G1" s="2259"/>
      <c r="H1" s="2259"/>
      <c r="I1" s="2259"/>
      <c r="J1" s="2259"/>
      <c r="K1" s="2259"/>
      <c r="L1" s="2259"/>
      <c r="M1" s="2260"/>
      <c r="N1" s="1627"/>
      <c r="O1" s="1692"/>
      <c r="P1" s="1630"/>
      <c r="Q1" s="1628" t="s">
        <v>2161</v>
      </c>
      <c r="R1" s="1822" t="s">
        <v>2096</v>
      </c>
    </row>
    <row r="2" spans="1:18" ht="15.75" thickBot="1" x14ac:dyDescent="0.3">
      <c r="A2" s="1594" t="s">
        <v>1720</v>
      </c>
      <c r="B2" s="1595" t="s">
        <v>1725</v>
      </c>
      <c r="C2" s="1595" t="s">
        <v>1722</v>
      </c>
      <c r="D2" s="1596" t="s">
        <v>1723</v>
      </c>
      <c r="E2" s="1597" t="s">
        <v>1591</v>
      </c>
      <c r="F2" s="1598" t="s">
        <v>1376</v>
      </c>
      <c r="G2" s="1599" t="s">
        <v>1724</v>
      </c>
      <c r="H2" s="1600" t="s">
        <v>1722</v>
      </c>
      <c r="I2" s="1601" t="s">
        <v>1723</v>
      </c>
      <c r="J2" s="1602" t="s">
        <v>1591</v>
      </c>
      <c r="K2" s="1535" t="s">
        <v>2129</v>
      </c>
      <c r="L2" s="1544" t="s">
        <v>2129</v>
      </c>
      <c r="M2" s="1602" t="s">
        <v>2130</v>
      </c>
      <c r="N2" s="1626" t="s">
        <v>2131</v>
      </c>
      <c r="O2" s="1693" t="s">
        <v>2219</v>
      </c>
      <c r="P2" s="1631"/>
      <c r="Q2" s="1629">
        <f>MAX('Customer Inputs'!C:C)</f>
        <v>20</v>
      </c>
      <c r="R2" s="1823">
        <v>4.18</v>
      </c>
    </row>
    <row r="3" spans="1:18" ht="35.25" customHeight="1" x14ac:dyDescent="0.25">
      <c r="A3" s="1588" t="s">
        <v>847</v>
      </c>
      <c r="B3" s="1588">
        <v>1</v>
      </c>
      <c r="C3" s="1588">
        <v>12</v>
      </c>
      <c r="D3" s="1588">
        <v>24</v>
      </c>
      <c r="E3" s="1589" t="str">
        <f>J3</f>
        <v>Yes</v>
      </c>
      <c r="F3" s="1588" t="s">
        <v>1477</v>
      </c>
      <c r="G3" s="1588">
        <v>1201</v>
      </c>
      <c r="H3" s="1588">
        <v>3</v>
      </c>
      <c r="I3" s="1588">
        <v>16</v>
      </c>
      <c r="J3" s="1590" t="str">
        <f>'Incentives Worksheet'!T12</f>
        <v>Yes</v>
      </c>
      <c r="K3" s="1591" t="str">
        <f t="shared" ref="K3:K47" si="0">_xlfn.CONCAT(_xlfn.CONCAT("D",H3+10), _xlfn.CONCAT(":E",H3+10))</f>
        <v>D13:E13</v>
      </c>
      <c r="L3" s="1588" t="str">
        <f>_xlfn.CONCAT("F",I3-1)</f>
        <v>F15</v>
      </c>
      <c r="M3" s="1592" t="str">
        <f>'Incentives Worksheet'!T15</f>
        <v>No</v>
      </c>
      <c r="N3" s="1593">
        <f>'Incentives Worksheet'!F15</f>
        <v>0</v>
      </c>
      <c r="O3" s="1694"/>
    </row>
    <row r="4" spans="1:18" x14ac:dyDescent="0.25">
      <c r="A4" s="1536" t="s">
        <v>847</v>
      </c>
      <c r="B4" s="1536">
        <v>2</v>
      </c>
      <c r="C4" s="1536">
        <v>26</v>
      </c>
      <c r="D4" s="1536">
        <v>38</v>
      </c>
      <c r="E4" s="1583" t="str">
        <f>J3</f>
        <v>Yes</v>
      </c>
      <c r="F4" s="1536" t="s">
        <v>1477</v>
      </c>
      <c r="G4" s="1536">
        <v>1202</v>
      </c>
      <c r="H4" s="1536">
        <v>17</v>
      </c>
      <c r="I4" s="1536">
        <v>30</v>
      </c>
      <c r="J4" s="1582" t="str">
        <f>'Incentives Worksheet'!T26</f>
        <v>Yes</v>
      </c>
      <c r="K4" s="1585" t="str">
        <f t="shared" si="0"/>
        <v>D27:E27</v>
      </c>
      <c r="L4" s="1536" t="str">
        <f t="shared" ref="L4:L47" si="1">_xlfn.CONCAT("F",I4-1)</f>
        <v>F29</v>
      </c>
      <c r="M4" s="1586" t="str">
        <f>'Incentives Worksheet'!T29</f>
        <v>No</v>
      </c>
      <c r="N4" s="1587">
        <f>'Incentives Worksheet'!F29</f>
        <v>0</v>
      </c>
      <c r="O4" s="1694"/>
    </row>
    <row r="5" spans="1:18" x14ac:dyDescent="0.25">
      <c r="A5" s="1538" t="s">
        <v>847</v>
      </c>
      <c r="B5" s="1538">
        <v>3</v>
      </c>
      <c r="C5" s="1538">
        <v>40</v>
      </c>
      <c r="D5" s="1536">
        <v>52</v>
      </c>
      <c r="E5" s="1583" t="str">
        <f>J3</f>
        <v>Yes</v>
      </c>
      <c r="F5" s="1536" t="s">
        <v>1492</v>
      </c>
      <c r="G5" s="1536">
        <v>1401</v>
      </c>
      <c r="H5" s="1536">
        <v>31</v>
      </c>
      <c r="I5" s="1536">
        <v>44</v>
      </c>
      <c r="J5" s="1582" t="str">
        <f>'Incentives Worksheet'!T40</f>
        <v>Yes</v>
      </c>
      <c r="K5" s="1585" t="str">
        <f t="shared" si="0"/>
        <v>D41:E41</v>
      </c>
      <c r="L5" s="1536" t="str">
        <f t="shared" si="1"/>
        <v>F43</v>
      </c>
      <c r="M5" s="1586" t="str">
        <f>'Incentives Worksheet'!T43</f>
        <v>No</v>
      </c>
      <c r="N5" s="1587">
        <f>'Incentives Worksheet'!F43</f>
        <v>0</v>
      </c>
      <c r="O5" s="1694"/>
    </row>
    <row r="6" spans="1:18" x14ac:dyDescent="0.25">
      <c r="A6" s="1538" t="s">
        <v>217</v>
      </c>
      <c r="B6" s="1538">
        <v>1</v>
      </c>
      <c r="C6" s="1538">
        <v>54</v>
      </c>
      <c r="D6" s="1536">
        <v>66</v>
      </c>
      <c r="E6" s="1583" t="str">
        <f>J9</f>
        <v>Yes</v>
      </c>
      <c r="F6" s="1536" t="s">
        <v>1492</v>
      </c>
      <c r="G6" s="1536">
        <v>1402</v>
      </c>
      <c r="H6" s="1536">
        <v>45</v>
      </c>
      <c r="I6" s="1536">
        <v>58</v>
      </c>
      <c r="J6" s="1582" t="str">
        <f>'Incentives Worksheet'!T54</f>
        <v>Yes</v>
      </c>
      <c r="K6" s="1585" t="str">
        <f t="shared" si="0"/>
        <v>D55:E55</v>
      </c>
      <c r="L6" s="1536" t="str">
        <f t="shared" si="1"/>
        <v>F57</v>
      </c>
      <c r="M6" s="1586" t="str">
        <f>'Incentives Worksheet'!T57</f>
        <v>No</v>
      </c>
      <c r="N6" s="1587">
        <f>'Incentives Worksheet'!F57</f>
        <v>0</v>
      </c>
      <c r="O6" s="1694"/>
    </row>
    <row r="7" spans="1:18" x14ac:dyDescent="0.25">
      <c r="A7" s="1538" t="s">
        <v>217</v>
      </c>
      <c r="B7" s="1538">
        <v>2</v>
      </c>
      <c r="C7" s="1538">
        <v>68</v>
      </c>
      <c r="D7" s="1536">
        <v>80</v>
      </c>
      <c r="E7" s="1583" t="str">
        <f>J9</f>
        <v>Yes</v>
      </c>
      <c r="F7" s="1536" t="s">
        <v>1505</v>
      </c>
      <c r="G7" s="1536">
        <v>1501</v>
      </c>
      <c r="H7" s="1536">
        <v>59</v>
      </c>
      <c r="I7" s="1536">
        <v>74</v>
      </c>
      <c r="J7" s="1582" t="str">
        <f>'Incentives Worksheet'!T68</f>
        <v>Yes</v>
      </c>
      <c r="K7" s="1585" t="str">
        <f>_xlfn.CONCAT(_xlfn.CONCAT("D",H7+12), _xlfn.CONCAT(":E",H7+12))</f>
        <v>D71:E71</v>
      </c>
      <c r="L7" s="1536" t="str">
        <f>_xlfn.CONCAT("F",I7-2)</f>
        <v>F72</v>
      </c>
      <c r="M7" s="1586" t="str">
        <f>'Incentives Worksheet'!T72</f>
        <v>No</v>
      </c>
      <c r="N7" s="1587">
        <f>'Incentives Worksheet'!F72</f>
        <v>0</v>
      </c>
      <c r="O7" s="1694"/>
    </row>
    <row r="8" spans="1:18" x14ac:dyDescent="0.25">
      <c r="A8" s="1538" t="s">
        <v>525</v>
      </c>
      <c r="B8" s="1538">
        <v>1</v>
      </c>
      <c r="C8" s="1538">
        <v>82</v>
      </c>
      <c r="D8" s="1536">
        <v>94</v>
      </c>
      <c r="E8" s="1583" t="str">
        <f>J13</f>
        <v>Yes</v>
      </c>
      <c r="F8" s="1536" t="s">
        <v>1505</v>
      </c>
      <c r="G8" s="1536">
        <v>1502</v>
      </c>
      <c r="H8" s="1536">
        <v>75</v>
      </c>
      <c r="I8" s="1536">
        <v>90</v>
      </c>
      <c r="J8" s="1582" t="str">
        <f>'Incentives Worksheet'!T84</f>
        <v>Yes</v>
      </c>
      <c r="K8" s="1585" t="str">
        <f>_xlfn.CONCAT(_xlfn.CONCAT("D",H8+12), _xlfn.CONCAT(":E",H8+12))</f>
        <v>D87:E87</v>
      </c>
      <c r="L8" s="1536" t="str">
        <f>_xlfn.CONCAT("F",I8-2)</f>
        <v>F88</v>
      </c>
      <c r="M8" s="1586" t="str">
        <f>'Incentives Worksheet'!T88</f>
        <v>No</v>
      </c>
      <c r="N8" s="1587">
        <f>'Incentives Worksheet'!F88</f>
        <v>0</v>
      </c>
      <c r="O8" s="1694"/>
    </row>
    <row r="9" spans="1:18" x14ac:dyDescent="0.25">
      <c r="A9" s="1538" t="s">
        <v>525</v>
      </c>
      <c r="B9" s="1538">
        <v>2</v>
      </c>
      <c r="C9" s="1538">
        <v>96</v>
      </c>
      <c r="D9" s="1536">
        <v>108</v>
      </c>
      <c r="E9" s="1583" t="str">
        <f>J13</f>
        <v>Yes</v>
      </c>
      <c r="F9" s="1536" t="s">
        <v>1514</v>
      </c>
      <c r="G9" s="1536">
        <v>5501</v>
      </c>
      <c r="H9" s="1536">
        <v>91</v>
      </c>
      <c r="I9" s="1536">
        <v>104</v>
      </c>
      <c r="J9" s="1582" t="str">
        <f>'Incentives Worksheet'!T100</f>
        <v>Yes</v>
      </c>
      <c r="K9" s="1585" t="str">
        <f t="shared" si="0"/>
        <v>D101:E101</v>
      </c>
      <c r="L9" s="1536" t="str">
        <f t="shared" si="1"/>
        <v>F103</v>
      </c>
      <c r="M9" s="1586" t="str">
        <f>'Incentives Worksheet'!T103</f>
        <v>No</v>
      </c>
      <c r="N9" s="1587">
        <f>'Incentives Worksheet'!F103</f>
        <v>0</v>
      </c>
      <c r="O9" s="1694"/>
    </row>
    <row r="10" spans="1:18" x14ac:dyDescent="0.25">
      <c r="A10" s="1538" t="s">
        <v>1100</v>
      </c>
      <c r="B10" s="1538">
        <v>1</v>
      </c>
      <c r="C10" s="1538">
        <v>110</v>
      </c>
      <c r="D10" s="1536">
        <v>116</v>
      </c>
      <c r="E10" s="1583"/>
      <c r="F10" s="1536" t="s">
        <v>1514</v>
      </c>
      <c r="G10" s="1536">
        <v>5502</v>
      </c>
      <c r="H10" s="1536">
        <v>105</v>
      </c>
      <c r="I10" s="1536">
        <v>118</v>
      </c>
      <c r="J10" s="1582" t="str">
        <f>'Incentives Worksheet'!T114</f>
        <v>Yes</v>
      </c>
      <c r="K10" s="1585" t="str">
        <f t="shared" si="0"/>
        <v>D115:E115</v>
      </c>
      <c r="L10" s="1536" t="str">
        <f t="shared" si="1"/>
        <v>F117</v>
      </c>
      <c r="M10" s="1586" t="str">
        <f>'Incentives Worksheet'!T117</f>
        <v>No</v>
      </c>
      <c r="N10" s="1587">
        <f>'Incentives Worksheet'!F117</f>
        <v>0</v>
      </c>
      <c r="O10" s="1694"/>
    </row>
    <row r="11" spans="1:18" x14ac:dyDescent="0.25">
      <c r="A11" s="1538" t="s">
        <v>1100</v>
      </c>
      <c r="B11" s="1538">
        <v>2</v>
      </c>
      <c r="C11" s="1538">
        <v>118</v>
      </c>
      <c r="D11" s="1536">
        <v>124</v>
      </c>
      <c r="E11" s="1583"/>
      <c r="F11" s="1536" t="s">
        <v>1515</v>
      </c>
      <c r="G11" s="1536">
        <v>2801</v>
      </c>
      <c r="H11" s="1536">
        <v>119</v>
      </c>
      <c r="I11" s="1536">
        <v>134</v>
      </c>
      <c r="J11" s="1582" t="str">
        <f>'Incentives Worksheet'!T128</f>
        <v>Yes</v>
      </c>
      <c r="K11" s="1585" t="str">
        <f>_xlfn.CONCAT(_xlfn.CONCAT("D",H11+12), _xlfn.CONCAT(":E",H11+12))</f>
        <v>D131:E131</v>
      </c>
      <c r="L11" s="1536" t="str">
        <f>_xlfn.CONCAT("F",I11-2)</f>
        <v>F132</v>
      </c>
      <c r="M11" s="1586" t="str">
        <f>'Incentives Worksheet'!T132</f>
        <v>No</v>
      </c>
      <c r="N11" s="1587">
        <f>'Incentives Worksheet'!F132</f>
        <v>0</v>
      </c>
      <c r="O11" s="1694"/>
    </row>
    <row r="12" spans="1:18" x14ac:dyDescent="0.25">
      <c r="A12" s="1538" t="s">
        <v>1100</v>
      </c>
      <c r="B12" s="1538">
        <v>3</v>
      </c>
      <c r="C12" s="1538">
        <v>126</v>
      </c>
      <c r="D12" s="1536">
        <v>132</v>
      </c>
      <c r="E12" s="1583"/>
      <c r="F12" s="1536" t="s">
        <v>1515</v>
      </c>
      <c r="G12" s="1536">
        <v>2802</v>
      </c>
      <c r="H12" s="1536">
        <v>135</v>
      </c>
      <c r="I12" s="1536">
        <v>150</v>
      </c>
      <c r="J12" s="1582" t="str">
        <f>'Incentives Worksheet'!T144</f>
        <v>Yes</v>
      </c>
      <c r="K12" s="1585" t="str">
        <f>_xlfn.CONCAT(_xlfn.CONCAT("D",H12+12), _xlfn.CONCAT(":E",H12+12))</f>
        <v>D147:E147</v>
      </c>
      <c r="L12" s="1536" t="str">
        <f>_xlfn.CONCAT("F",I12-2)</f>
        <v>F148</v>
      </c>
      <c r="M12" s="1586" t="str">
        <f>'Incentives Worksheet'!T148</f>
        <v>No</v>
      </c>
      <c r="N12" s="1587">
        <f>'Incentives Worksheet'!F148</f>
        <v>0</v>
      </c>
      <c r="O12" s="1694"/>
    </row>
    <row r="13" spans="1:18" x14ac:dyDescent="0.25">
      <c r="A13" s="1538" t="s">
        <v>1100</v>
      </c>
      <c r="B13" s="1538">
        <v>4</v>
      </c>
      <c r="C13" s="1538">
        <v>134</v>
      </c>
      <c r="D13" s="1536">
        <v>140</v>
      </c>
      <c r="E13" s="1583"/>
      <c r="F13" s="1536" t="s">
        <v>1522</v>
      </c>
      <c r="G13" s="1536">
        <v>3401</v>
      </c>
      <c r="H13" s="1536">
        <v>151</v>
      </c>
      <c r="I13" s="1536">
        <v>164</v>
      </c>
      <c r="J13" s="1582" t="str">
        <f>'Incentives Worksheet'!T160</f>
        <v>Yes</v>
      </c>
      <c r="K13" s="1585" t="str">
        <f t="shared" si="0"/>
        <v>D161:E161</v>
      </c>
      <c r="L13" s="1536" t="str">
        <f t="shared" si="1"/>
        <v>F163</v>
      </c>
      <c r="M13" s="1586" t="str">
        <f>'Incentives Worksheet'!T163</f>
        <v>No</v>
      </c>
      <c r="N13" s="1587">
        <f>'Incentives Worksheet'!F163</f>
        <v>0</v>
      </c>
      <c r="O13" s="1694"/>
    </row>
    <row r="14" spans="1:18" x14ac:dyDescent="0.25">
      <c r="A14" s="1538" t="s">
        <v>1100</v>
      </c>
      <c r="B14" s="1538">
        <v>5</v>
      </c>
      <c r="C14" s="1538">
        <v>142</v>
      </c>
      <c r="D14" s="1536">
        <v>148</v>
      </c>
      <c r="E14" s="1583"/>
      <c r="F14" s="1536" t="s">
        <v>1522</v>
      </c>
      <c r="G14" s="1536">
        <v>3402</v>
      </c>
      <c r="H14" s="1536">
        <v>165</v>
      </c>
      <c r="I14" s="1536">
        <v>178</v>
      </c>
      <c r="J14" s="1582" t="str">
        <f>'Incentives Worksheet'!T174</f>
        <v>Yes</v>
      </c>
      <c r="K14" s="1585" t="str">
        <f t="shared" si="0"/>
        <v>D175:E175</v>
      </c>
      <c r="L14" s="1536" t="str">
        <f t="shared" si="1"/>
        <v>F177</v>
      </c>
      <c r="M14" s="1586" t="str">
        <f>'Incentives Worksheet'!T177</f>
        <v>No</v>
      </c>
      <c r="N14" s="1587">
        <f>'Incentives Worksheet'!F177</f>
        <v>0</v>
      </c>
      <c r="O14" s="1694"/>
    </row>
    <row r="15" spans="1:18" x14ac:dyDescent="0.25">
      <c r="A15" s="1538" t="s">
        <v>717</v>
      </c>
      <c r="B15" s="1538">
        <v>1</v>
      </c>
      <c r="C15" s="1538">
        <v>150</v>
      </c>
      <c r="D15" s="1536">
        <v>156</v>
      </c>
      <c r="E15" s="1583" t="str">
        <f>J24</f>
        <v>Yes</v>
      </c>
      <c r="F15" s="1536" t="s">
        <v>1526</v>
      </c>
      <c r="G15" s="1536">
        <v>3501</v>
      </c>
      <c r="H15" s="1536">
        <v>179</v>
      </c>
      <c r="I15" s="1536">
        <v>192</v>
      </c>
      <c r="J15" s="1582" t="str">
        <f>'Incentives Worksheet'!T188</f>
        <v>Yes</v>
      </c>
      <c r="K15" s="1585" t="str">
        <f t="shared" si="0"/>
        <v>D189:E189</v>
      </c>
      <c r="L15" s="1536" t="str">
        <f t="shared" si="1"/>
        <v>F191</v>
      </c>
      <c r="M15" s="1586" t="str">
        <f>'Incentives Worksheet'!T191</f>
        <v>No</v>
      </c>
      <c r="N15" s="1587">
        <f>'Incentives Worksheet'!F191</f>
        <v>0</v>
      </c>
      <c r="O15" s="1694"/>
    </row>
    <row r="16" spans="1:18" x14ac:dyDescent="0.25">
      <c r="A16" s="1538" t="s">
        <v>1090</v>
      </c>
      <c r="B16" s="1538">
        <v>1</v>
      </c>
      <c r="C16" s="1538">
        <v>158</v>
      </c>
      <c r="D16" s="1536">
        <v>164</v>
      </c>
      <c r="E16" s="1583" t="str">
        <f>J25</f>
        <v>No</v>
      </c>
      <c r="F16" s="1536" t="s">
        <v>1526</v>
      </c>
      <c r="G16" s="1536">
        <v>3502</v>
      </c>
      <c r="H16" s="1536">
        <v>193</v>
      </c>
      <c r="I16" s="1536">
        <v>206</v>
      </c>
      <c r="J16" s="1582" t="str">
        <f>'Incentives Worksheet'!T202</f>
        <v>Yes</v>
      </c>
      <c r="K16" s="1585" t="str">
        <f t="shared" si="0"/>
        <v>D203:E203</v>
      </c>
      <c r="L16" s="1536" t="str">
        <f t="shared" si="1"/>
        <v>F205</v>
      </c>
      <c r="M16" s="1586" t="str">
        <f>'Incentives Worksheet'!T205</f>
        <v>No</v>
      </c>
      <c r="N16" s="1587">
        <f>'Incentives Worksheet'!F205</f>
        <v>0</v>
      </c>
      <c r="O16" s="1694"/>
    </row>
    <row r="17" spans="1:15" x14ac:dyDescent="0.25">
      <c r="A17" s="1538" t="s">
        <v>1090</v>
      </c>
      <c r="B17" s="1538">
        <v>2</v>
      </c>
      <c r="C17" s="1538">
        <v>166</v>
      </c>
      <c r="D17" s="1536">
        <v>172</v>
      </c>
      <c r="E17" s="1584" t="str">
        <f>J25</f>
        <v>No</v>
      </c>
      <c r="F17" s="1536" t="s">
        <v>1529</v>
      </c>
      <c r="G17" s="1536">
        <v>3601</v>
      </c>
      <c r="H17" s="1536">
        <v>207</v>
      </c>
      <c r="I17" s="1536">
        <v>222</v>
      </c>
      <c r="J17" s="1582" t="str">
        <f>'Incentives Worksheet'!T216</f>
        <v>Yes</v>
      </c>
      <c r="K17" s="1585" t="str">
        <f>_xlfn.CONCAT(_xlfn.CONCAT("D",H17+12), _xlfn.CONCAT(":E",H17+12))</f>
        <v>D219:E219</v>
      </c>
      <c r="L17" s="1536" t="str">
        <f>_xlfn.CONCAT("F",I17-2)</f>
        <v>F220</v>
      </c>
      <c r="M17" s="1586" t="str">
        <f>'Incentives Worksheet'!T220</f>
        <v>No</v>
      </c>
      <c r="N17" s="1587">
        <f>'Incentives Worksheet'!F220</f>
        <v>0</v>
      </c>
      <c r="O17" s="1694"/>
    </row>
    <row r="18" spans="1:15" x14ac:dyDescent="0.25">
      <c r="A18" s="1538" t="s">
        <v>994</v>
      </c>
      <c r="B18" s="1538">
        <v>1</v>
      </c>
      <c r="C18" s="1538">
        <v>174</v>
      </c>
      <c r="D18" s="1536">
        <v>180</v>
      </c>
      <c r="E18" s="1584" t="str">
        <f>J28</f>
        <v>No</v>
      </c>
      <c r="F18" s="1536" t="s">
        <v>1529</v>
      </c>
      <c r="G18" s="1536">
        <v>3602</v>
      </c>
      <c r="H18" s="1536">
        <v>223</v>
      </c>
      <c r="I18" s="1536">
        <v>238</v>
      </c>
      <c r="J18" s="1582" t="str">
        <f>'Incentives Worksheet'!T232</f>
        <v>Yes</v>
      </c>
      <c r="K18" s="1585" t="str">
        <f>_xlfn.CONCAT(_xlfn.CONCAT("D",H18+12), _xlfn.CONCAT(":E",H18+12))</f>
        <v>D235:E235</v>
      </c>
      <c r="L18" s="1536" t="str">
        <f>_xlfn.CONCAT("F",I18-2)</f>
        <v>F236</v>
      </c>
      <c r="M18" s="1586" t="str">
        <f>'Incentives Worksheet'!T236</f>
        <v>No</v>
      </c>
      <c r="N18" s="1587">
        <f>'Incentives Worksheet'!F236</f>
        <v>0</v>
      </c>
      <c r="O18" s="1694"/>
    </row>
    <row r="19" spans="1:15" x14ac:dyDescent="0.25">
      <c r="A19" s="1538" t="s">
        <v>1465</v>
      </c>
      <c r="B19" s="1538">
        <v>1</v>
      </c>
      <c r="C19" s="1538">
        <v>182</v>
      </c>
      <c r="D19" s="1536">
        <v>191</v>
      </c>
      <c r="E19" s="1584" t="str">
        <f>J29</f>
        <v>No</v>
      </c>
      <c r="F19" s="1536" t="s">
        <v>1531</v>
      </c>
      <c r="G19" s="1536">
        <v>1301</v>
      </c>
      <c r="H19" s="1536">
        <v>239</v>
      </c>
      <c r="I19" s="1536">
        <v>252</v>
      </c>
      <c r="J19" s="1582"/>
      <c r="K19" s="1585" t="str">
        <f t="shared" si="0"/>
        <v>D249:E249</v>
      </c>
      <c r="L19" s="1536" t="str">
        <f t="shared" si="1"/>
        <v>F251</v>
      </c>
      <c r="M19" s="1586" t="str">
        <f>'Incentives Worksheet'!T251</f>
        <v>No</v>
      </c>
      <c r="N19" s="1587">
        <f>'Incentives Worksheet'!F251</f>
        <v>0</v>
      </c>
      <c r="O19" s="1694"/>
    </row>
    <row r="20" spans="1:15" x14ac:dyDescent="0.25">
      <c r="A20" s="1538" t="s">
        <v>1094</v>
      </c>
      <c r="B20" s="1538">
        <v>1</v>
      </c>
      <c r="C20" s="1538">
        <v>193</v>
      </c>
      <c r="D20" s="1536">
        <v>203</v>
      </c>
      <c r="E20" s="1584" t="str">
        <f>J31</f>
        <v>No</v>
      </c>
      <c r="F20" s="1536" t="s">
        <v>1531</v>
      </c>
      <c r="G20" s="1536">
        <v>1302</v>
      </c>
      <c r="H20" s="1536">
        <v>253</v>
      </c>
      <c r="I20" s="1536">
        <v>266</v>
      </c>
      <c r="J20" s="1582"/>
      <c r="K20" s="1585" t="str">
        <f t="shared" si="0"/>
        <v>D263:E263</v>
      </c>
      <c r="L20" s="1536" t="str">
        <f t="shared" si="1"/>
        <v>F265</v>
      </c>
      <c r="M20" s="1586" t="str">
        <f>'Incentives Worksheet'!T265</f>
        <v>No</v>
      </c>
      <c r="N20" s="1587">
        <f>'Incentives Worksheet'!F265</f>
        <v>0</v>
      </c>
      <c r="O20" s="1694"/>
    </row>
    <row r="21" spans="1:15" x14ac:dyDescent="0.25">
      <c r="A21" s="1538" t="s">
        <v>1094</v>
      </c>
      <c r="B21" s="1538">
        <v>2</v>
      </c>
      <c r="C21" s="1538">
        <v>205</v>
      </c>
      <c r="D21" s="1536">
        <v>215</v>
      </c>
      <c r="E21" s="1584" t="str">
        <f>J31</f>
        <v>No</v>
      </c>
      <c r="F21" s="1536" t="s">
        <v>1531</v>
      </c>
      <c r="G21" s="1536">
        <v>1303</v>
      </c>
      <c r="H21" s="1536">
        <v>267</v>
      </c>
      <c r="I21" s="1536">
        <v>280</v>
      </c>
      <c r="J21" s="1582"/>
      <c r="K21" s="1585" t="str">
        <f t="shared" si="0"/>
        <v>D277:E277</v>
      </c>
      <c r="L21" s="1536" t="str">
        <f t="shared" si="1"/>
        <v>F279</v>
      </c>
      <c r="M21" s="1586" t="str">
        <f>'Incentives Worksheet'!T279</f>
        <v>No</v>
      </c>
      <c r="N21" s="1587">
        <f>'Incentives Worksheet'!F279</f>
        <v>0</v>
      </c>
      <c r="O21" s="1694"/>
    </row>
    <row r="22" spans="1:15" x14ac:dyDescent="0.25">
      <c r="A22" s="1538" t="s">
        <v>1475</v>
      </c>
      <c r="B22" s="1538">
        <v>1</v>
      </c>
      <c r="C22" s="1538">
        <v>217</v>
      </c>
      <c r="D22" s="1536">
        <v>223</v>
      </c>
      <c r="E22" s="1584" t="str">
        <f>J37</f>
        <v>No</v>
      </c>
      <c r="F22" s="1536" t="s">
        <v>1531</v>
      </c>
      <c r="G22" s="1536">
        <v>1304</v>
      </c>
      <c r="H22" s="1536">
        <v>281</v>
      </c>
      <c r="I22" s="1536">
        <v>294</v>
      </c>
      <c r="J22" s="1582"/>
      <c r="K22" s="1585" t="str">
        <f t="shared" si="0"/>
        <v>D291:E291</v>
      </c>
      <c r="L22" s="1536" t="str">
        <f t="shared" si="1"/>
        <v>F293</v>
      </c>
      <c r="M22" s="1586" t="str">
        <f>'Incentives Worksheet'!T293</f>
        <v>No</v>
      </c>
      <c r="N22" s="1587">
        <f>'Incentives Worksheet'!F293</f>
        <v>0</v>
      </c>
      <c r="O22" s="1694"/>
    </row>
    <row r="23" spans="1:15" x14ac:dyDescent="0.25">
      <c r="A23" s="1538" t="s">
        <v>1767</v>
      </c>
      <c r="B23" s="1538">
        <v>1</v>
      </c>
      <c r="C23" s="1538">
        <v>225</v>
      </c>
      <c r="D23" s="1538">
        <v>234</v>
      </c>
      <c r="E23" s="1584" t="str">
        <f>J38</f>
        <v>No</v>
      </c>
      <c r="F23" s="1536" t="s">
        <v>1531</v>
      </c>
      <c r="G23" s="1536">
        <v>1305</v>
      </c>
      <c r="H23" s="1536">
        <v>295</v>
      </c>
      <c r="I23" s="1536">
        <v>308</v>
      </c>
      <c r="J23" s="1582"/>
      <c r="K23" s="1585" t="str">
        <f t="shared" si="0"/>
        <v>D305:E305</v>
      </c>
      <c r="L23" s="1536" t="str">
        <f t="shared" si="1"/>
        <v>F307</v>
      </c>
      <c r="M23" s="1586" t="str">
        <f>'Incentives Worksheet'!T307</f>
        <v>No</v>
      </c>
      <c r="N23" s="1587">
        <f>'Incentives Worksheet'!F307</f>
        <v>0</v>
      </c>
      <c r="O23" s="1694" t="str">
        <f>Incentives!E232</f>
        <v/>
      </c>
    </row>
    <row r="24" spans="1:15" x14ac:dyDescent="0.25">
      <c r="A24" s="1538" t="s">
        <v>1767</v>
      </c>
      <c r="B24" s="1538">
        <v>2</v>
      </c>
      <c r="C24" s="1538">
        <v>236</v>
      </c>
      <c r="D24" s="1538">
        <v>245</v>
      </c>
      <c r="E24" s="1584" t="str">
        <f t="shared" ref="E24:E31" si="2">J39</f>
        <v>No</v>
      </c>
      <c r="F24" s="1536" t="s">
        <v>1532</v>
      </c>
      <c r="G24" s="1536">
        <v>4001</v>
      </c>
      <c r="H24" s="1536">
        <v>309</v>
      </c>
      <c r="I24" s="1536">
        <v>322</v>
      </c>
      <c r="J24" s="1581" t="str">
        <f>'Incentives Worksheet'!T318</f>
        <v>Yes</v>
      </c>
      <c r="K24" s="1585" t="str">
        <f t="shared" si="0"/>
        <v>D319:E319</v>
      </c>
      <c r="L24" s="1536" t="str">
        <f t="shared" si="1"/>
        <v>F321</v>
      </c>
      <c r="M24" s="1586" t="str">
        <f>'Incentives Worksheet'!T321</f>
        <v>No</v>
      </c>
      <c r="N24" s="1587">
        <f>'Incentives Worksheet'!F321</f>
        <v>0</v>
      </c>
      <c r="O24" s="1694" t="str">
        <f>Incentives!E243</f>
        <v/>
      </c>
    </row>
    <row r="25" spans="1:15" x14ac:dyDescent="0.25">
      <c r="A25" s="1538" t="s">
        <v>1767</v>
      </c>
      <c r="B25" s="1538">
        <v>3</v>
      </c>
      <c r="C25" s="1538">
        <v>247</v>
      </c>
      <c r="D25" s="1538">
        <v>256</v>
      </c>
      <c r="E25" s="1584" t="str">
        <f t="shared" si="2"/>
        <v>No</v>
      </c>
      <c r="F25" s="1536" t="s">
        <v>1592</v>
      </c>
      <c r="G25" s="1536">
        <v>4601</v>
      </c>
      <c r="H25" s="1536">
        <v>323</v>
      </c>
      <c r="I25" s="1536">
        <v>336</v>
      </c>
      <c r="J25" s="1581" t="str">
        <f>'Incentives Worksheet'!T332</f>
        <v>No</v>
      </c>
      <c r="K25" s="1585" t="str">
        <f t="shared" si="0"/>
        <v>D333:E333</v>
      </c>
      <c r="L25" s="1536" t="str">
        <f t="shared" si="1"/>
        <v>F335</v>
      </c>
      <c r="M25" s="1586" t="str">
        <f>'Incentives Worksheet'!T335</f>
        <v>No</v>
      </c>
      <c r="N25" s="1587">
        <f>'Incentives Worksheet'!F335</f>
        <v>0</v>
      </c>
      <c r="O25" s="1694" t="str">
        <f>Incentives!E254</f>
        <v/>
      </c>
    </row>
    <row r="26" spans="1:15" x14ac:dyDescent="0.25">
      <c r="A26" s="1538" t="s">
        <v>1767</v>
      </c>
      <c r="B26" s="1538">
        <v>4</v>
      </c>
      <c r="C26" s="1538">
        <v>258</v>
      </c>
      <c r="D26" s="1538">
        <v>267</v>
      </c>
      <c r="E26" s="1584" t="str">
        <f t="shared" si="2"/>
        <v>No</v>
      </c>
      <c r="F26" s="1536" t="s">
        <v>1592</v>
      </c>
      <c r="G26" s="1536">
        <v>4602</v>
      </c>
      <c r="H26" s="1536">
        <v>337</v>
      </c>
      <c r="I26" s="1536">
        <v>350</v>
      </c>
      <c r="J26" s="1581" t="str">
        <f>'Incentives Worksheet'!T346</f>
        <v>No</v>
      </c>
      <c r="K26" s="1585" t="str">
        <f t="shared" si="0"/>
        <v>D347:E347</v>
      </c>
      <c r="L26" s="1536" t="str">
        <f t="shared" si="1"/>
        <v>F349</v>
      </c>
      <c r="M26" s="1586" t="str">
        <f>'Incentives Worksheet'!T349</f>
        <v>No</v>
      </c>
      <c r="N26" s="1587">
        <f>'Incentives Worksheet'!F349</f>
        <v>0</v>
      </c>
      <c r="O26" s="1694" t="str">
        <f>Incentives!E265</f>
        <v/>
      </c>
    </row>
    <row r="27" spans="1:15" x14ac:dyDescent="0.25">
      <c r="A27" s="1538" t="s">
        <v>1767</v>
      </c>
      <c r="B27" s="1538">
        <v>5</v>
      </c>
      <c r="C27" s="1538">
        <v>269</v>
      </c>
      <c r="D27" s="1538">
        <v>278</v>
      </c>
      <c r="E27" s="1584" t="str">
        <f t="shared" si="2"/>
        <v>No</v>
      </c>
      <c r="F27" s="1536" t="s">
        <v>1753</v>
      </c>
      <c r="G27" s="1536">
        <v>4901</v>
      </c>
      <c r="H27" s="1536">
        <v>351</v>
      </c>
      <c r="I27" s="1536">
        <v>364</v>
      </c>
      <c r="J27" s="1581" t="str">
        <f>'Incentives Worksheet'!T360</f>
        <v>No</v>
      </c>
      <c r="K27" s="1585" t="str">
        <f t="shared" si="0"/>
        <v>D361:E361</v>
      </c>
      <c r="L27" s="1536" t="str">
        <f t="shared" si="1"/>
        <v>F363</v>
      </c>
      <c r="M27" s="1586" t="str">
        <f>'Incentives Worksheet'!T363</f>
        <v>No</v>
      </c>
      <c r="N27" s="1587">
        <f>'Incentives Worksheet'!F363</f>
        <v>0</v>
      </c>
      <c r="O27" s="1694" t="str">
        <f>Incentives!E276</f>
        <v/>
      </c>
    </row>
    <row r="28" spans="1:15" x14ac:dyDescent="0.25">
      <c r="A28" s="1538" t="s">
        <v>1767</v>
      </c>
      <c r="B28" s="1538">
        <v>6</v>
      </c>
      <c r="C28" s="1538">
        <v>280</v>
      </c>
      <c r="D28" s="1538">
        <v>289</v>
      </c>
      <c r="E28" s="1584" t="str">
        <f t="shared" si="2"/>
        <v>No</v>
      </c>
      <c r="F28" s="1536" t="s">
        <v>1600</v>
      </c>
      <c r="G28" s="1536">
        <v>5001</v>
      </c>
      <c r="H28" s="1536">
        <v>365</v>
      </c>
      <c r="I28" s="1536">
        <v>378</v>
      </c>
      <c r="J28" s="1581" t="str">
        <f>'Incentives Worksheet'!T374</f>
        <v>No</v>
      </c>
      <c r="K28" s="1585" t="str">
        <f t="shared" si="0"/>
        <v>D375:E375</v>
      </c>
      <c r="L28" s="1536" t="str">
        <f t="shared" si="1"/>
        <v>F377</v>
      </c>
      <c r="M28" s="1586" t="str">
        <f>'Incentives Worksheet'!T377</f>
        <v>No</v>
      </c>
      <c r="N28" s="1587">
        <f>'Incentives Worksheet'!F377</f>
        <v>0</v>
      </c>
      <c r="O28" s="1694" t="str">
        <f>Incentives!E287</f>
        <v/>
      </c>
    </row>
    <row r="29" spans="1:15" x14ac:dyDescent="0.25">
      <c r="A29" s="1538" t="s">
        <v>1767</v>
      </c>
      <c r="B29" s="1538">
        <v>7</v>
      </c>
      <c r="C29" s="1538">
        <v>291</v>
      </c>
      <c r="D29" s="1538">
        <v>300</v>
      </c>
      <c r="E29" s="1584" t="str">
        <f t="shared" si="2"/>
        <v>No</v>
      </c>
      <c r="F29" s="1536" t="s">
        <v>1127</v>
      </c>
      <c r="G29" s="1536">
        <v>801</v>
      </c>
      <c r="H29" s="1536">
        <v>379</v>
      </c>
      <c r="I29" s="1536">
        <v>392</v>
      </c>
      <c r="J29" s="1581" t="str">
        <f>'Incentives Worksheet'!T388</f>
        <v>No</v>
      </c>
      <c r="K29" s="1585" t="str">
        <f t="shared" si="0"/>
        <v>D389:E389</v>
      </c>
      <c r="L29" s="1536" t="str">
        <f t="shared" si="1"/>
        <v>F391</v>
      </c>
      <c r="M29" s="1586" t="str">
        <f>'Incentives Worksheet'!T391</f>
        <v>No</v>
      </c>
      <c r="N29" s="1587">
        <f>'Incentives Worksheet'!F391</f>
        <v>0</v>
      </c>
      <c r="O29" s="1694" t="str">
        <f>Incentives!E298</f>
        <v/>
      </c>
    </row>
    <row r="30" spans="1:15" x14ac:dyDescent="0.25">
      <c r="A30" s="1538" t="s">
        <v>1767</v>
      </c>
      <c r="B30" s="1538">
        <v>8</v>
      </c>
      <c r="C30" s="1538">
        <v>302</v>
      </c>
      <c r="D30" s="1538">
        <v>311</v>
      </c>
      <c r="E30" s="1584" t="str">
        <f t="shared" si="2"/>
        <v>No</v>
      </c>
      <c r="F30" s="1536" t="s">
        <v>1604</v>
      </c>
      <c r="G30" s="1536">
        <v>901</v>
      </c>
      <c r="H30" s="1536">
        <v>393</v>
      </c>
      <c r="I30" s="1536">
        <v>406</v>
      </c>
      <c r="J30" s="1581" t="str">
        <f>'Incentives Worksheet'!T402</f>
        <v>No</v>
      </c>
      <c r="K30" s="1585" t="str">
        <f t="shared" si="0"/>
        <v>D403:E403</v>
      </c>
      <c r="L30" s="1536" t="str">
        <f t="shared" si="1"/>
        <v>F405</v>
      </c>
      <c r="M30" s="1586" t="str">
        <f>'Incentives Worksheet'!T405</f>
        <v>No</v>
      </c>
      <c r="N30" s="1587">
        <f>'Incentives Worksheet'!F405</f>
        <v>0</v>
      </c>
      <c r="O30" s="1694" t="str">
        <f>Incentives!E309</f>
        <v/>
      </c>
    </row>
    <row r="31" spans="1:15" x14ac:dyDescent="0.25">
      <c r="A31" s="1538" t="s">
        <v>1767</v>
      </c>
      <c r="B31" s="1538">
        <v>9</v>
      </c>
      <c r="C31" s="1538">
        <v>313</v>
      </c>
      <c r="D31" s="1538">
        <v>322</v>
      </c>
      <c r="E31" s="1584" t="str">
        <f t="shared" si="2"/>
        <v>No</v>
      </c>
      <c r="F31" s="1536" t="s">
        <v>1606</v>
      </c>
      <c r="G31" s="1536">
        <v>501</v>
      </c>
      <c r="H31" s="1536">
        <v>407</v>
      </c>
      <c r="I31" s="1536">
        <v>420</v>
      </c>
      <c r="J31" s="1581" t="str">
        <f>'Incentives Worksheet'!T416</f>
        <v>No</v>
      </c>
      <c r="K31" s="1585" t="str">
        <f t="shared" si="0"/>
        <v>D417:E417</v>
      </c>
      <c r="L31" s="1536" t="str">
        <f t="shared" si="1"/>
        <v>F419</v>
      </c>
      <c r="M31" s="1586" t="str">
        <f>'Incentives Worksheet'!T419</f>
        <v>No</v>
      </c>
      <c r="N31" s="1587">
        <f>'Incentives Worksheet'!F419</f>
        <v>0</v>
      </c>
      <c r="O31" s="1694" t="str">
        <f>Incentives!E320</f>
        <v/>
      </c>
    </row>
    <row r="32" spans="1:15" x14ac:dyDescent="0.25">
      <c r="A32" s="1538" t="s">
        <v>1767</v>
      </c>
      <c r="B32" s="1538">
        <v>10</v>
      </c>
      <c r="C32" s="1538">
        <v>324</v>
      </c>
      <c r="D32" s="1538">
        <v>333</v>
      </c>
      <c r="E32" s="1584" t="str">
        <f>J47</f>
        <v>No</v>
      </c>
      <c r="F32" s="1536" t="s">
        <v>1606</v>
      </c>
      <c r="G32" s="1536">
        <v>502</v>
      </c>
      <c r="H32" s="1536">
        <v>421</v>
      </c>
      <c r="I32" s="1536">
        <v>434</v>
      </c>
      <c r="J32" s="1581" t="str">
        <f>'Incentives Worksheet'!T430</f>
        <v>No</v>
      </c>
      <c r="K32" s="1585" t="str">
        <f t="shared" si="0"/>
        <v>D431:E431</v>
      </c>
      <c r="L32" s="1536" t="str">
        <f t="shared" si="1"/>
        <v>F433</v>
      </c>
      <c r="M32" s="1586" t="str">
        <f>'Incentives Worksheet'!T433</f>
        <v>No</v>
      </c>
      <c r="N32" s="1587">
        <f>'Incentives Worksheet'!F433</f>
        <v>0</v>
      </c>
      <c r="O32" s="1694" t="str">
        <f>Incentives!E331</f>
        <v/>
      </c>
    </row>
    <row r="33" spans="1:15" x14ac:dyDescent="0.25">
      <c r="A33" s="1538" t="s">
        <v>1767</v>
      </c>
      <c r="B33" s="1538">
        <v>11</v>
      </c>
      <c r="C33" s="1538">
        <v>335</v>
      </c>
      <c r="D33" s="1538">
        <v>344</v>
      </c>
      <c r="E33" s="1584" t="str">
        <f t="shared" ref="E33:E40" si="3">J48</f>
        <v>No</v>
      </c>
      <c r="F33" s="1536" t="s">
        <v>1609</v>
      </c>
      <c r="G33" s="1536">
        <v>5601</v>
      </c>
      <c r="H33" s="1536">
        <v>435</v>
      </c>
      <c r="I33" s="1536">
        <v>448</v>
      </c>
      <c r="J33" s="1581" t="str">
        <f>'Incentives Worksheet'!T444</f>
        <v>No</v>
      </c>
      <c r="K33" s="1585" t="str">
        <f t="shared" si="0"/>
        <v>D445:E445</v>
      </c>
      <c r="L33" s="1536" t="str">
        <f t="shared" si="1"/>
        <v>F447</v>
      </c>
      <c r="M33" s="1586" t="str">
        <f>'Incentives Worksheet'!T447</f>
        <v>No</v>
      </c>
      <c r="N33" s="1587">
        <f>'Incentives Worksheet'!F447</f>
        <v>0</v>
      </c>
      <c r="O33" s="1694" t="str">
        <f>Incentives!E342</f>
        <v/>
      </c>
    </row>
    <row r="34" spans="1:15" x14ac:dyDescent="0.25">
      <c r="A34" s="1538" t="s">
        <v>1767</v>
      </c>
      <c r="B34" s="1538">
        <v>12</v>
      </c>
      <c r="C34" s="1538">
        <v>346</v>
      </c>
      <c r="D34" s="1538">
        <v>355</v>
      </c>
      <c r="E34" s="1584" t="str">
        <f t="shared" si="3"/>
        <v>No</v>
      </c>
      <c r="F34" s="1536" t="s">
        <v>1609</v>
      </c>
      <c r="G34" s="1536">
        <v>5602</v>
      </c>
      <c r="H34" s="1536">
        <v>449</v>
      </c>
      <c r="I34" s="1536">
        <v>462</v>
      </c>
      <c r="J34" s="1581" t="str">
        <f>'Incentives Worksheet'!T458</f>
        <v>No</v>
      </c>
      <c r="K34" s="1585" t="str">
        <f t="shared" si="0"/>
        <v>D459:E459</v>
      </c>
      <c r="L34" s="1536" t="str">
        <f t="shared" si="1"/>
        <v>F461</v>
      </c>
      <c r="M34" s="1586" t="str">
        <f>'Incentives Worksheet'!T461</f>
        <v>No</v>
      </c>
      <c r="N34" s="1587">
        <f>'Incentives Worksheet'!F461</f>
        <v>0</v>
      </c>
      <c r="O34" s="1694" t="str">
        <f>Incentives!E353</f>
        <v/>
      </c>
    </row>
    <row r="35" spans="1:15" x14ac:dyDescent="0.25">
      <c r="A35" s="1538" t="s">
        <v>1767</v>
      </c>
      <c r="B35" s="1538">
        <v>13</v>
      </c>
      <c r="C35" s="1538">
        <v>357</v>
      </c>
      <c r="D35" s="1538">
        <v>366</v>
      </c>
      <c r="E35" s="1584" t="str">
        <f t="shared" si="3"/>
        <v>No</v>
      </c>
      <c r="F35" s="1536" t="s">
        <v>1612</v>
      </c>
      <c r="G35" s="1536">
        <v>601</v>
      </c>
      <c r="H35" s="1536">
        <v>463</v>
      </c>
      <c r="I35" s="1536">
        <v>476</v>
      </c>
      <c r="J35" s="1581" t="str">
        <f>'Incentives Worksheet'!T472</f>
        <v>No</v>
      </c>
      <c r="K35" s="1585" t="str">
        <f t="shared" si="0"/>
        <v>D473:E473</v>
      </c>
      <c r="L35" s="1536" t="str">
        <f t="shared" si="1"/>
        <v>F475</v>
      </c>
      <c r="M35" s="1586" t="str">
        <f>'Incentives Worksheet'!T475</f>
        <v>No</v>
      </c>
      <c r="N35" s="1587">
        <f>'Incentives Worksheet'!F475</f>
        <v>0</v>
      </c>
      <c r="O35" s="1694" t="str">
        <f>Incentives!E364</f>
        <v/>
      </c>
    </row>
    <row r="36" spans="1:15" x14ac:dyDescent="0.25">
      <c r="A36" s="1538" t="s">
        <v>1767</v>
      </c>
      <c r="B36" s="1538">
        <v>14</v>
      </c>
      <c r="C36" s="1538">
        <v>368</v>
      </c>
      <c r="D36" s="1538">
        <v>377</v>
      </c>
      <c r="E36" s="1584" t="str">
        <f t="shared" si="3"/>
        <v>No</v>
      </c>
      <c r="F36" s="1536" t="s">
        <v>1612</v>
      </c>
      <c r="G36" s="1536">
        <v>602</v>
      </c>
      <c r="H36" s="1536">
        <v>477</v>
      </c>
      <c r="I36" s="1536">
        <v>490</v>
      </c>
      <c r="J36" s="1581" t="str">
        <f>'Incentives Worksheet'!T486</f>
        <v>No</v>
      </c>
      <c r="K36" s="1585" t="str">
        <f t="shared" si="0"/>
        <v>D487:E487</v>
      </c>
      <c r="L36" s="1536" t="str">
        <f t="shared" si="1"/>
        <v>F489</v>
      </c>
      <c r="M36" s="1586" t="str">
        <f>'Incentives Worksheet'!T489</f>
        <v>No</v>
      </c>
      <c r="N36" s="1587">
        <f>'Incentives Worksheet'!F489</f>
        <v>0</v>
      </c>
      <c r="O36" s="1694" t="str">
        <f>Incentives!E375</f>
        <v/>
      </c>
    </row>
    <row r="37" spans="1:15" x14ac:dyDescent="0.25">
      <c r="A37" s="1538" t="s">
        <v>1767</v>
      </c>
      <c r="B37" s="1538">
        <v>15</v>
      </c>
      <c r="C37" s="1538">
        <v>379</v>
      </c>
      <c r="D37" s="1538">
        <v>388</v>
      </c>
      <c r="E37" s="1584" t="str">
        <f t="shared" si="3"/>
        <v>No</v>
      </c>
      <c r="F37" s="1536" t="s">
        <v>1621</v>
      </c>
      <c r="G37" s="1536">
        <v>1001</v>
      </c>
      <c r="H37" s="1536">
        <v>491</v>
      </c>
      <c r="I37" s="1536">
        <v>502</v>
      </c>
      <c r="J37" s="1581" t="str">
        <f>'Incentives Worksheet'!T497</f>
        <v>No</v>
      </c>
      <c r="K37" s="1585" t="str">
        <f t="shared" si="0"/>
        <v>D501:E501</v>
      </c>
      <c r="L37" s="1536" t="str">
        <f t="shared" si="1"/>
        <v>F501</v>
      </c>
      <c r="M37" s="1586" t="str">
        <f>'Incentives Worksheet'!T501</f>
        <v>No</v>
      </c>
      <c r="N37" s="1587">
        <f>'Incentives Worksheet'!F501</f>
        <v>0</v>
      </c>
      <c r="O37" s="1694" t="str">
        <f>Incentives!E386</f>
        <v/>
      </c>
    </row>
    <row r="38" spans="1:15" x14ac:dyDescent="0.25">
      <c r="A38" s="1538" t="s">
        <v>1767</v>
      </c>
      <c r="B38" s="1538">
        <v>16</v>
      </c>
      <c r="C38" s="1538">
        <v>390</v>
      </c>
      <c r="D38" s="1538">
        <v>399</v>
      </c>
      <c r="E38" s="1584" t="str">
        <f t="shared" si="3"/>
        <v>No</v>
      </c>
      <c r="F38" s="1536" t="s">
        <v>1767</v>
      </c>
      <c r="G38" s="1536">
        <v>5301</v>
      </c>
      <c r="H38" s="1536">
        <v>503</v>
      </c>
      <c r="I38" s="1536">
        <v>516</v>
      </c>
      <c r="J38" s="1581" t="str">
        <f>'Incentives Worksheet'!T512</f>
        <v>No</v>
      </c>
      <c r="K38" s="1585" t="str">
        <f t="shared" si="0"/>
        <v>D513:E513</v>
      </c>
      <c r="L38" s="1536" t="str">
        <f t="shared" si="1"/>
        <v>F515</v>
      </c>
      <c r="M38" s="1586" t="str">
        <f>'Incentives Worksheet'!T515</f>
        <v>No</v>
      </c>
      <c r="N38" s="1587">
        <f>'Incentives Worksheet'!F515</f>
        <v>0</v>
      </c>
      <c r="O38" s="1694" t="str">
        <f>Incentives!E397</f>
        <v/>
      </c>
    </row>
    <row r="39" spans="1:15" x14ac:dyDescent="0.25">
      <c r="A39" s="1538" t="s">
        <v>1767</v>
      </c>
      <c r="B39" s="1538">
        <v>17</v>
      </c>
      <c r="C39" s="1538">
        <v>401</v>
      </c>
      <c r="D39" s="1538">
        <v>410</v>
      </c>
      <c r="E39" s="1584" t="str">
        <f t="shared" si="3"/>
        <v>No</v>
      </c>
      <c r="F39" s="1536" t="s">
        <v>1767</v>
      </c>
      <c r="G39" s="1536">
        <v>5302</v>
      </c>
      <c r="H39" s="1536">
        <v>517</v>
      </c>
      <c r="I39" s="1536">
        <v>530</v>
      </c>
      <c r="J39" s="1581" t="str">
        <f>'Incentives Worksheet'!T526</f>
        <v>No</v>
      </c>
      <c r="K39" s="1585" t="str">
        <f t="shared" si="0"/>
        <v>D527:E527</v>
      </c>
      <c r="L39" s="1536" t="str">
        <f t="shared" si="1"/>
        <v>F529</v>
      </c>
      <c r="M39" s="1586" t="str">
        <f>'Incentives Worksheet'!T529</f>
        <v>No</v>
      </c>
      <c r="N39" s="1587">
        <f>'Incentives Worksheet'!F529</f>
        <v>0</v>
      </c>
      <c r="O39" s="1694" t="str">
        <f>Incentives!E408</f>
        <v/>
      </c>
    </row>
    <row r="40" spans="1:15" x14ac:dyDescent="0.25">
      <c r="A40" s="1538" t="s">
        <v>1767</v>
      </c>
      <c r="B40" s="1538">
        <v>18</v>
      </c>
      <c r="C40" s="1538">
        <v>412</v>
      </c>
      <c r="D40" s="1538">
        <v>421</v>
      </c>
      <c r="E40" s="1584" t="str">
        <f t="shared" si="3"/>
        <v>No</v>
      </c>
      <c r="F40" s="1536" t="s">
        <v>1767</v>
      </c>
      <c r="G40" s="1536">
        <v>5303</v>
      </c>
      <c r="H40" s="1536">
        <v>531</v>
      </c>
      <c r="I40" s="1536">
        <v>544</v>
      </c>
      <c r="J40" s="1581" t="str">
        <f>'Incentives Worksheet'!T540</f>
        <v>No</v>
      </c>
      <c r="K40" s="1585" t="str">
        <f t="shared" si="0"/>
        <v>D541:E541</v>
      </c>
      <c r="L40" s="1536" t="str">
        <f t="shared" si="1"/>
        <v>F543</v>
      </c>
      <c r="M40" s="1586" t="str">
        <f>'Incentives Worksheet'!T543</f>
        <v>No</v>
      </c>
      <c r="N40" s="1587">
        <f>'Incentives Worksheet'!F543</f>
        <v>0</v>
      </c>
      <c r="O40" s="1694" t="str">
        <f>Incentives!E419</f>
        <v/>
      </c>
    </row>
    <row r="41" spans="1:15" x14ac:dyDescent="0.25">
      <c r="A41" s="1538" t="s">
        <v>1767</v>
      </c>
      <c r="B41" s="1538">
        <v>19</v>
      </c>
      <c r="C41" s="1538">
        <v>423</v>
      </c>
      <c r="D41" s="1538">
        <v>432</v>
      </c>
      <c r="E41" s="1584" t="str">
        <f t="shared" ref="E41:E46" si="4">J56</f>
        <v>No</v>
      </c>
      <c r="F41" s="1536" t="s">
        <v>1767</v>
      </c>
      <c r="G41" s="1536">
        <v>5304</v>
      </c>
      <c r="H41" s="1536">
        <v>545</v>
      </c>
      <c r="I41" s="1536">
        <v>558</v>
      </c>
      <c r="J41" s="1581" t="str">
        <f>'Incentives Worksheet'!T554</f>
        <v>No</v>
      </c>
      <c r="K41" s="1585" t="str">
        <f t="shared" si="0"/>
        <v>D555:E555</v>
      </c>
      <c r="L41" s="1536" t="str">
        <f t="shared" si="1"/>
        <v>F557</v>
      </c>
      <c r="M41" s="1586" t="str">
        <f>'Incentives Worksheet'!T557</f>
        <v>No</v>
      </c>
      <c r="N41" s="1587">
        <f>'Incentives Worksheet'!F557</f>
        <v>0</v>
      </c>
      <c r="O41" s="1694" t="str">
        <f>Incentives!E430</f>
        <v/>
      </c>
    </row>
    <row r="42" spans="1:15" x14ac:dyDescent="0.25">
      <c r="A42" s="1538" t="s">
        <v>2132</v>
      </c>
      <c r="B42" s="1538">
        <v>1</v>
      </c>
      <c r="C42" s="1538">
        <v>434</v>
      </c>
      <c r="D42" s="1538">
        <v>440</v>
      </c>
      <c r="E42" s="1584" t="str">
        <f t="shared" si="4"/>
        <v>Yes</v>
      </c>
      <c r="F42" s="1536" t="s">
        <v>1767</v>
      </c>
      <c r="G42" s="1536">
        <v>5305</v>
      </c>
      <c r="H42" s="1536">
        <v>559</v>
      </c>
      <c r="I42" s="1536">
        <v>572</v>
      </c>
      <c r="J42" s="1581" t="str">
        <f>'Incentives Worksheet'!T568</f>
        <v>No</v>
      </c>
      <c r="K42" s="1585" t="str">
        <f t="shared" si="0"/>
        <v>D569:E569</v>
      </c>
      <c r="L42" s="1536" t="str">
        <f t="shared" si="1"/>
        <v>F571</v>
      </c>
      <c r="M42" s="1586" t="str">
        <f>'Incentives Worksheet'!T571</f>
        <v>No</v>
      </c>
      <c r="N42" s="1587">
        <f>'Incentives Worksheet'!F571</f>
        <v>0</v>
      </c>
      <c r="O42" s="1694"/>
    </row>
    <row r="43" spans="1:15" x14ac:dyDescent="0.25">
      <c r="A43" s="1538" t="s">
        <v>2132</v>
      </c>
      <c r="B43" s="1538">
        <v>2</v>
      </c>
      <c r="C43" s="1538">
        <v>442</v>
      </c>
      <c r="D43" s="1538">
        <v>448</v>
      </c>
      <c r="E43" s="1584" t="str">
        <f t="shared" si="4"/>
        <v>Yes</v>
      </c>
      <c r="F43" s="1536" t="s">
        <v>1767</v>
      </c>
      <c r="G43" s="1536">
        <v>5306</v>
      </c>
      <c r="H43" s="1536">
        <v>573</v>
      </c>
      <c r="I43" s="1536">
        <v>586</v>
      </c>
      <c r="J43" s="1581" t="str">
        <f>'Incentives Worksheet'!T582</f>
        <v>No</v>
      </c>
      <c r="K43" s="1585" t="str">
        <f t="shared" si="0"/>
        <v>D583:E583</v>
      </c>
      <c r="L43" s="1536" t="str">
        <f t="shared" si="1"/>
        <v>F585</v>
      </c>
      <c r="M43" s="1586" t="str">
        <f>'Incentives Worksheet'!T585</f>
        <v>No</v>
      </c>
      <c r="N43" s="1587">
        <f>'Incentives Worksheet'!F585</f>
        <v>0</v>
      </c>
      <c r="O43" s="1694"/>
    </row>
    <row r="44" spans="1:15" x14ac:dyDescent="0.25">
      <c r="A44" s="1538" t="s">
        <v>2132</v>
      </c>
      <c r="B44" s="1538">
        <v>3</v>
      </c>
      <c r="C44" s="1538">
        <v>450</v>
      </c>
      <c r="D44" s="1538">
        <v>456</v>
      </c>
      <c r="E44" s="1584" t="str">
        <f t="shared" si="4"/>
        <v>Yes</v>
      </c>
      <c r="F44" s="1536" t="s">
        <v>1767</v>
      </c>
      <c r="G44" s="1536">
        <v>5307</v>
      </c>
      <c r="H44" s="1536">
        <v>587</v>
      </c>
      <c r="I44" s="1536">
        <v>600</v>
      </c>
      <c r="J44" s="1581" t="str">
        <f>'Incentives Worksheet'!T596</f>
        <v>No</v>
      </c>
      <c r="K44" s="1585" t="str">
        <f t="shared" si="0"/>
        <v>D597:E597</v>
      </c>
      <c r="L44" s="1536" t="str">
        <f t="shared" si="1"/>
        <v>F599</v>
      </c>
      <c r="M44" s="1586" t="str">
        <f>'Incentives Worksheet'!T599</f>
        <v>No</v>
      </c>
      <c r="N44" s="1587">
        <f>'Incentives Worksheet'!F599</f>
        <v>0</v>
      </c>
      <c r="O44" s="1694"/>
    </row>
    <row r="45" spans="1:15" x14ac:dyDescent="0.25">
      <c r="A45" s="1538" t="s">
        <v>2132</v>
      </c>
      <c r="B45" s="1538">
        <v>4</v>
      </c>
      <c r="C45" s="1538">
        <v>458</v>
      </c>
      <c r="D45" s="1538">
        <v>464</v>
      </c>
      <c r="E45" s="1584" t="str">
        <f t="shared" si="4"/>
        <v>Yes</v>
      </c>
      <c r="F45" s="1536" t="s">
        <v>1767</v>
      </c>
      <c r="G45" s="1536">
        <v>5308</v>
      </c>
      <c r="H45" s="1536">
        <v>601</v>
      </c>
      <c r="I45" s="1536">
        <v>614</v>
      </c>
      <c r="J45" s="1581" t="str">
        <f>'Incentives Worksheet'!T610</f>
        <v>No</v>
      </c>
      <c r="K45" s="1585" t="str">
        <f t="shared" si="0"/>
        <v>D611:E611</v>
      </c>
      <c r="L45" s="1536" t="str">
        <f t="shared" si="1"/>
        <v>F613</v>
      </c>
      <c r="M45" s="1586" t="str">
        <f>'Incentives Worksheet'!T613</f>
        <v>No</v>
      </c>
      <c r="N45" s="1587">
        <f>'Incentives Worksheet'!F613</f>
        <v>0</v>
      </c>
      <c r="O45" s="1694"/>
    </row>
    <row r="46" spans="1:15" x14ac:dyDescent="0.25">
      <c r="A46" s="1538" t="s">
        <v>2132</v>
      </c>
      <c r="B46" s="1538">
        <v>5</v>
      </c>
      <c r="C46" s="1538">
        <v>466</v>
      </c>
      <c r="D46" s="1538">
        <v>472</v>
      </c>
      <c r="E46" s="1584" t="str">
        <f t="shared" si="4"/>
        <v>Yes</v>
      </c>
      <c r="F46" s="1536" t="s">
        <v>1767</v>
      </c>
      <c r="G46" s="1536">
        <v>5309</v>
      </c>
      <c r="H46" s="1536">
        <v>615</v>
      </c>
      <c r="I46" s="1536">
        <v>628</v>
      </c>
      <c r="J46" s="1581" t="str">
        <f>'Incentives Worksheet'!T624</f>
        <v>No</v>
      </c>
      <c r="K46" s="1585" t="str">
        <f t="shared" si="0"/>
        <v>D625:E625</v>
      </c>
      <c r="L46" s="1536" t="str">
        <f t="shared" si="1"/>
        <v>F627</v>
      </c>
      <c r="M46" s="1586" t="str">
        <f>'Incentives Worksheet'!T627</f>
        <v>No</v>
      </c>
      <c r="N46" s="1587">
        <f>'Incentives Worksheet'!F627</f>
        <v>0</v>
      </c>
      <c r="O46" s="1694"/>
    </row>
    <row r="47" spans="1:15" x14ac:dyDescent="0.25">
      <c r="F47" s="1536" t="s">
        <v>1767</v>
      </c>
      <c r="G47" s="1536">
        <v>5310</v>
      </c>
      <c r="H47" s="1580">
        <v>629</v>
      </c>
      <c r="I47" s="1580">
        <v>642</v>
      </c>
      <c r="J47" s="1581" t="str">
        <f>'Incentives Worksheet'!T638</f>
        <v>No</v>
      </c>
      <c r="K47" s="1585" t="str">
        <f t="shared" si="0"/>
        <v>D639:E639</v>
      </c>
      <c r="L47" s="1536" t="str">
        <f t="shared" si="1"/>
        <v>F641</v>
      </c>
      <c r="M47" s="1617" t="str">
        <f>'Incentives Worksheet'!T641</f>
        <v>No</v>
      </c>
      <c r="N47" s="1618">
        <f>'Incentives Worksheet'!F641</f>
        <v>0</v>
      </c>
    </row>
    <row r="48" spans="1:15" x14ac:dyDescent="0.25">
      <c r="F48" s="1536" t="s">
        <v>1767</v>
      </c>
      <c r="G48" s="1536">
        <v>5311</v>
      </c>
      <c r="H48" s="1536">
        <v>643</v>
      </c>
      <c r="I48" s="1536">
        <v>656</v>
      </c>
      <c r="J48" s="1581" t="str">
        <f>'Incentives Worksheet'!T652</f>
        <v>No</v>
      </c>
      <c r="K48" s="1585" t="str">
        <f t="shared" ref="K48:K56" si="5">_xlfn.CONCAT(_xlfn.CONCAT("D",H48+10), _xlfn.CONCAT(":E",H48+10))</f>
        <v>D653:E653</v>
      </c>
      <c r="L48" s="1536" t="str">
        <f t="shared" ref="L48:L56" si="6">_xlfn.CONCAT("F",I48-1)</f>
        <v>F655</v>
      </c>
      <c r="M48" s="1617" t="str">
        <f>'Incentives Worksheet'!T655</f>
        <v>No</v>
      </c>
      <c r="N48" s="1618">
        <f>'Incentives Worksheet'!F655</f>
        <v>0</v>
      </c>
    </row>
    <row r="49" spans="1:15" s="1608" customFormat="1" x14ac:dyDescent="0.25">
      <c r="A49" s="686"/>
      <c r="B49" s="686"/>
      <c r="C49" s="686"/>
      <c r="D49" s="686"/>
      <c r="E49" s="1539"/>
      <c r="F49" s="1536" t="s">
        <v>1767</v>
      </c>
      <c r="G49" s="1536">
        <v>5312</v>
      </c>
      <c r="H49" s="1580">
        <v>657</v>
      </c>
      <c r="I49" s="1580">
        <v>670</v>
      </c>
      <c r="J49" s="1581" t="str">
        <f>'Incentives Worksheet'!T666</f>
        <v>No</v>
      </c>
      <c r="K49" s="1585" t="str">
        <f t="shared" si="5"/>
        <v>D667:E667</v>
      </c>
      <c r="L49" s="1536" t="str">
        <f t="shared" si="6"/>
        <v>F669</v>
      </c>
      <c r="M49" s="1617" t="str">
        <f>'Incentives Worksheet'!T669</f>
        <v>No</v>
      </c>
      <c r="N49" s="1618">
        <f>'Incentives Worksheet'!F669</f>
        <v>0</v>
      </c>
      <c r="O49" s="1695"/>
    </row>
    <row r="50" spans="1:15" s="1608" customFormat="1" x14ac:dyDescent="0.25">
      <c r="A50" s="686"/>
      <c r="B50" s="686"/>
      <c r="C50" s="686"/>
      <c r="D50" s="686"/>
      <c r="E50" s="1539"/>
      <c r="F50" s="1536" t="s">
        <v>1767</v>
      </c>
      <c r="G50" s="1536">
        <v>5313</v>
      </c>
      <c r="H50" s="1580">
        <v>671</v>
      </c>
      <c r="I50" s="1580">
        <v>684</v>
      </c>
      <c r="J50" s="1581" t="str">
        <f>'Incentives Worksheet'!T680</f>
        <v>No</v>
      </c>
      <c r="K50" s="1585" t="str">
        <f t="shared" si="5"/>
        <v>D681:E681</v>
      </c>
      <c r="L50" s="1536" t="str">
        <f t="shared" si="6"/>
        <v>F683</v>
      </c>
      <c r="M50" s="1617" t="str">
        <f>'Incentives Worksheet'!T683</f>
        <v>No</v>
      </c>
      <c r="N50" s="1618">
        <f>'Incentives Worksheet'!F683</f>
        <v>0</v>
      </c>
      <c r="O50" s="1695"/>
    </row>
    <row r="51" spans="1:15" s="1608" customFormat="1" x14ac:dyDescent="0.25">
      <c r="A51" s="686"/>
      <c r="B51" s="686"/>
      <c r="C51" s="686"/>
      <c r="D51" s="686"/>
      <c r="E51" s="1539"/>
      <c r="F51" s="1536" t="s">
        <v>1767</v>
      </c>
      <c r="G51" s="1536">
        <v>5314</v>
      </c>
      <c r="H51" s="1580">
        <v>685</v>
      </c>
      <c r="I51" s="1580">
        <v>698</v>
      </c>
      <c r="J51" s="1581" t="str">
        <f>'Incentives Worksheet'!T694</f>
        <v>No</v>
      </c>
      <c r="K51" s="1585" t="str">
        <f t="shared" si="5"/>
        <v>D695:E695</v>
      </c>
      <c r="L51" s="1536" t="str">
        <f t="shared" si="6"/>
        <v>F697</v>
      </c>
      <c r="M51" s="1617" t="str">
        <f>'Incentives Worksheet'!T697</f>
        <v>No</v>
      </c>
      <c r="N51" s="1618">
        <f>'Incentives Worksheet'!F697</f>
        <v>0</v>
      </c>
      <c r="O51" s="1695"/>
    </row>
    <row r="52" spans="1:15" x14ac:dyDescent="0.25">
      <c r="F52" s="1536" t="s">
        <v>1767</v>
      </c>
      <c r="G52" s="1536">
        <v>5315</v>
      </c>
      <c r="H52" s="1580">
        <v>699</v>
      </c>
      <c r="I52" s="1580">
        <v>712</v>
      </c>
      <c r="J52" s="1581" t="str">
        <f>'Incentives Worksheet'!T708</f>
        <v>No</v>
      </c>
      <c r="K52" s="1585" t="str">
        <f t="shared" si="5"/>
        <v>D709:E709</v>
      </c>
      <c r="L52" s="1580" t="str">
        <f t="shared" si="6"/>
        <v>F711</v>
      </c>
      <c r="M52" s="1617" t="str">
        <f>'Incentives Worksheet'!T711</f>
        <v>No</v>
      </c>
      <c r="N52" s="1618">
        <f>'Incentives Worksheet'!F711</f>
        <v>0</v>
      </c>
    </row>
    <row r="53" spans="1:15" x14ac:dyDescent="0.25">
      <c r="F53" s="1536" t="s">
        <v>1767</v>
      </c>
      <c r="G53" s="1536">
        <v>5316</v>
      </c>
      <c r="H53" s="1580">
        <v>713</v>
      </c>
      <c r="I53" s="1580">
        <v>726</v>
      </c>
      <c r="J53" s="1581" t="str">
        <f>'Incentives Worksheet'!T722</f>
        <v>No</v>
      </c>
      <c r="K53" s="1585" t="str">
        <f t="shared" si="5"/>
        <v>D723:E723</v>
      </c>
      <c r="L53" s="1580" t="str">
        <f t="shared" si="6"/>
        <v>F725</v>
      </c>
      <c r="M53" s="1617" t="str">
        <f>'Incentives Worksheet'!T725</f>
        <v>No</v>
      </c>
      <c r="N53" s="1618">
        <f>'Incentives Worksheet'!F725</f>
        <v>0</v>
      </c>
    </row>
    <row r="54" spans="1:15" x14ac:dyDescent="0.25">
      <c r="F54" s="1536" t="s">
        <v>1767</v>
      </c>
      <c r="G54" s="1536">
        <v>5317</v>
      </c>
      <c r="H54" s="1580">
        <v>727</v>
      </c>
      <c r="I54" s="1580">
        <v>740</v>
      </c>
      <c r="J54" s="1581" t="str">
        <f>'Incentives Worksheet'!T736</f>
        <v>No</v>
      </c>
      <c r="K54" s="1585" t="str">
        <f t="shared" si="5"/>
        <v>D737:E737</v>
      </c>
      <c r="L54" s="1580" t="str">
        <f t="shared" si="6"/>
        <v>F739</v>
      </c>
      <c r="M54" s="1617" t="str">
        <f>'Incentives Worksheet'!T739</f>
        <v>No</v>
      </c>
      <c r="N54" s="1618">
        <f>'Incentives Worksheet'!F739</f>
        <v>0</v>
      </c>
    </row>
    <row r="55" spans="1:15" x14ac:dyDescent="0.25">
      <c r="F55" s="1536" t="s">
        <v>1767</v>
      </c>
      <c r="G55" s="1536">
        <v>5318</v>
      </c>
      <c r="H55" s="1580">
        <v>741</v>
      </c>
      <c r="I55" s="1580">
        <v>754</v>
      </c>
      <c r="J55" s="1581" t="str">
        <f>'Incentives Worksheet'!T750</f>
        <v>No</v>
      </c>
      <c r="K55" s="1585" t="str">
        <f t="shared" si="5"/>
        <v>D751:E751</v>
      </c>
      <c r="L55" s="1580" t="str">
        <f t="shared" si="6"/>
        <v>F753</v>
      </c>
      <c r="M55" s="1617" t="str">
        <f>'Incentives Worksheet'!T753</f>
        <v>No</v>
      </c>
      <c r="N55" s="1618">
        <f>'Incentives Worksheet'!F753</f>
        <v>0</v>
      </c>
    </row>
    <row r="56" spans="1:15" x14ac:dyDescent="0.25">
      <c r="F56" s="1536" t="s">
        <v>1767</v>
      </c>
      <c r="G56" s="1536">
        <v>5319</v>
      </c>
      <c r="H56" s="1580">
        <v>755</v>
      </c>
      <c r="I56" s="1580">
        <v>768</v>
      </c>
      <c r="J56" s="1581" t="str">
        <f>'Incentives Worksheet'!T764</f>
        <v>No</v>
      </c>
      <c r="K56" s="1585" t="str">
        <f t="shared" si="5"/>
        <v>D765:E765</v>
      </c>
      <c r="L56" s="1580" t="str">
        <f t="shared" si="6"/>
        <v>F767</v>
      </c>
      <c r="M56" s="1617" t="str">
        <f>'Incentives Worksheet'!T767</f>
        <v>No</v>
      </c>
      <c r="N56" s="1618">
        <f>'Incentives Worksheet'!F767</f>
        <v>0</v>
      </c>
    </row>
    <row r="57" spans="1:15" x14ac:dyDescent="0.25">
      <c r="F57" s="1580" t="s">
        <v>2132</v>
      </c>
      <c r="G57" s="1580">
        <v>5201</v>
      </c>
      <c r="H57" s="1580">
        <v>769</v>
      </c>
      <c r="I57" s="1580">
        <v>782</v>
      </c>
      <c r="J57" s="1581" t="str">
        <f>'Incentives Worksheet'!T778</f>
        <v>Yes</v>
      </c>
      <c r="K57" s="1585" t="str">
        <f>_xlfn.CONCAT(_xlfn.CONCAT("D",H57+10), _xlfn.CONCAT(":E",H57+10))</f>
        <v>D779:E779</v>
      </c>
      <c r="L57" s="1536" t="str">
        <f>_xlfn.CONCAT("F",I57-1)</f>
        <v>F781</v>
      </c>
      <c r="M57" s="1617" t="str">
        <f>'Incentives Worksheet'!T781</f>
        <v>No</v>
      </c>
      <c r="N57" s="1587">
        <f>'Incentives Worksheet'!F781</f>
        <v>0</v>
      </c>
    </row>
    <row r="58" spans="1:15" x14ac:dyDescent="0.25">
      <c r="F58" s="1536" t="s">
        <v>2132</v>
      </c>
      <c r="G58" s="1536">
        <v>5202</v>
      </c>
      <c r="H58" s="1536">
        <v>783</v>
      </c>
      <c r="I58" s="1536">
        <v>796</v>
      </c>
      <c r="J58" s="1582" t="str">
        <f>'Incentives Worksheet'!T792</f>
        <v>Yes</v>
      </c>
      <c r="K58" s="1585" t="str">
        <f>_xlfn.CONCAT(_xlfn.CONCAT("D",H58+10), _xlfn.CONCAT(":E",H58+10))</f>
        <v>D793:E793</v>
      </c>
      <c r="L58" s="1536" t="str">
        <f>_xlfn.CONCAT("F",I58-1)</f>
        <v>F795</v>
      </c>
      <c r="M58" s="1585" t="str">
        <f>'Incentives Worksheet'!T795</f>
        <v>No</v>
      </c>
      <c r="N58" s="1618">
        <f>'Incentives Worksheet'!F795</f>
        <v>0</v>
      </c>
    </row>
    <row r="59" spans="1:15" x14ac:dyDescent="0.25">
      <c r="F59" s="1580" t="s">
        <v>2132</v>
      </c>
      <c r="G59" s="1580">
        <v>5203</v>
      </c>
      <c r="H59" s="1580">
        <v>797</v>
      </c>
      <c r="I59" s="1580">
        <v>810</v>
      </c>
      <c r="J59" s="1581" t="str">
        <f>'Incentives Worksheet'!T806</f>
        <v>Yes</v>
      </c>
      <c r="K59" s="1585" t="str">
        <f>_xlfn.CONCAT(_xlfn.CONCAT("D",H59+10), _xlfn.CONCAT(":E",H59+10))</f>
        <v>D807:E807</v>
      </c>
      <c r="L59" s="1536" t="str">
        <f>_xlfn.CONCAT("F",I59-1)</f>
        <v>F809</v>
      </c>
      <c r="M59" s="1617" t="str">
        <f>'Incentives Worksheet'!T809</f>
        <v>No</v>
      </c>
      <c r="N59" s="1618">
        <f>'Incentives Worksheet'!F809</f>
        <v>0</v>
      </c>
    </row>
    <row r="60" spans="1:15" x14ac:dyDescent="0.25">
      <c r="F60" s="1580" t="s">
        <v>2132</v>
      </c>
      <c r="G60" s="1580">
        <v>5204</v>
      </c>
      <c r="H60" s="1580">
        <v>811</v>
      </c>
      <c r="I60" s="1580">
        <v>824</v>
      </c>
      <c r="J60" s="1581" t="str">
        <f>'Incentives Worksheet'!T820</f>
        <v>Yes</v>
      </c>
      <c r="K60" s="1585" t="str">
        <f>_xlfn.CONCAT(_xlfn.CONCAT("D",H60+10), _xlfn.CONCAT(":E",H60+10))</f>
        <v>D821:E821</v>
      </c>
      <c r="L60" s="1536" t="str">
        <f>_xlfn.CONCAT("F",I60-1)</f>
        <v>F823</v>
      </c>
      <c r="M60" s="1617" t="str">
        <f>'Incentives Worksheet'!T823</f>
        <v>No</v>
      </c>
      <c r="N60" s="1618">
        <f>'Incentives Worksheet'!F823</f>
        <v>0</v>
      </c>
    </row>
    <row r="61" spans="1:15" x14ac:dyDescent="0.25">
      <c r="F61" s="1580" t="s">
        <v>2132</v>
      </c>
      <c r="G61" s="1580">
        <v>5205</v>
      </c>
      <c r="H61" s="1580">
        <v>825</v>
      </c>
      <c r="I61" s="1580">
        <v>838</v>
      </c>
      <c r="J61" s="1581" t="str">
        <f>'Incentives Worksheet'!T834</f>
        <v>Yes</v>
      </c>
      <c r="K61" s="1585" t="str">
        <f>_xlfn.CONCAT(_xlfn.CONCAT("D",H61+10), _xlfn.CONCAT(":E",H61+10))</f>
        <v>D835:E835</v>
      </c>
      <c r="L61" s="1536" t="str">
        <f>_xlfn.CONCAT("F",I61-1)</f>
        <v>F837</v>
      </c>
      <c r="M61" s="1617" t="str">
        <f>'Incentives Worksheet'!T837</f>
        <v>No</v>
      </c>
      <c r="N61" s="1618">
        <f>'Incentives Worksheet'!F837</f>
        <v>0</v>
      </c>
    </row>
  </sheetData>
  <sheetProtection algorithmName="SHA-512" hashValue="Jyrvke9DJQN2IySMUNhUs8SXEinA1i5BYmvG1rdWZeQ6Dw7MNgWFuQobv8ja5tmQP/psuj77UAE/pvBE11N2eQ==" saltValue="h1CtwvEFN6Onn+ZN2uCXs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2023-07-04T16:32:53Z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4e981010-e907-4f0f-9d8a-c233dd077a7c</vt:lpwstr>
  </property>
  <property fmtid="{D5CDD505-2E9C-101B-9397-08002B2CF9AE}" pid="4" name="Classification">
    <vt:lpwstr>LV_R3STR1CT3D</vt:lpwstr>
  </property>
  <property fmtid="{D5CDD505-2E9C-101B-9397-08002B2CF9AE}" pid="5" name="ContainsPII">
    <vt:lpwstr>No</vt:lpwstr>
  </property>
</Properties>
</file>