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updateLinks="never" codeName="ThisWorkbook"/>
  <mc:AlternateContent xmlns:mc="http://schemas.openxmlformats.org/markup-compatibility/2006">
    <mc:Choice Requires="x15">
      <x15ac:absPath xmlns:x15ac="http://schemas.microsoft.com/office/spreadsheetml/2010/11/ac" url="E:\USF-GIT\ALC\"/>
    </mc:Choice>
  </mc:AlternateContent>
  <xr:revisionPtr revIDLastSave="0" documentId="13_ncr:1_{14D97734-40BC-4AB4-B7F4-6F89DB317F2A}" xr6:coauthVersionLast="46" xr6:coauthVersionMax="46" xr10:uidLastSave="{00000000-0000-0000-0000-000000000000}"/>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5"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Modellable Customers" sheetId="78" r:id="rId26"/>
    <sheet name="Configurable Tab" sheetId="98" state="hidden"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 r:id="rId43"/>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Sheet'!$A$2:$R$1553</definedName>
    <definedName name="_xlnm._FilterDatabase" localSheetId="37" hidden="1">'Margin Quartiles'!$B$1:$C$111</definedName>
    <definedName name="_xlnm._FilterDatabase" localSheetId="25"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8">'Existing Customers'!$A$1:$AC$12740</definedName>
    <definedName name="ExternalData_1" localSheetId="27">'HOS_Modellable Customers'!$A$1:$B$1053</definedName>
    <definedName name="ExternalData_1" localSheetId="25">'Modellable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16">'Incentive Setup'!$I$1:$V$53</definedName>
    <definedName name="_xlnm.Print_Area" localSheetId="4">Incentives!$B$2:$Q$230</definedName>
    <definedName name="_xlnm.Print_Area" localSheetId="17">'MDA Worksheet'!$B$1:$BF$132</definedName>
    <definedName name="_xlnm.Print_Area" localSheetId="25">'Modellable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Welcome!$B$2:$I$35</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P1" i="92" l="1"/>
  <c r="Z38" i="72"/>
  <c r="AB38" i="72"/>
  <c r="C1285" i="92"/>
  <c r="B1285" i="92"/>
  <c r="C1284" i="92"/>
  <c r="B1284" i="92"/>
  <c r="C1283" i="92"/>
  <c r="B1283" i="92"/>
  <c r="C1553" i="92"/>
  <c r="B1553" i="92"/>
  <c r="C1552" i="92"/>
  <c r="B1552" i="92"/>
  <c r="C1551" i="92"/>
  <c r="B1551" i="92"/>
  <c r="C1550" i="92"/>
  <c r="B1550" i="92"/>
  <c r="C1549" i="92"/>
  <c r="B1549" i="92"/>
  <c r="C1548" i="92"/>
  <c r="B1548" i="92"/>
  <c r="C1547" i="92"/>
  <c r="B1547" i="92"/>
  <c r="C1546" i="92"/>
  <c r="B1546" i="92"/>
  <c r="C1545" i="92"/>
  <c r="B1545" i="92"/>
  <c r="C1544" i="92"/>
  <c r="B1544" i="92"/>
  <c r="C1543" i="92"/>
  <c r="B1543" i="92"/>
  <c r="C1542" i="92"/>
  <c r="B1542" i="92"/>
  <c r="C1541" i="92"/>
  <c r="B1541" i="92"/>
  <c r="C1540" i="92"/>
  <c r="B1540" i="92"/>
  <c r="C1539" i="92"/>
  <c r="B1539" i="92"/>
  <c r="C1538" i="92"/>
  <c r="B1538" i="92"/>
  <c r="C1537" i="92"/>
  <c r="B1537" i="92"/>
  <c r="C1536" i="92"/>
  <c r="B1536" i="92"/>
  <c r="C1535" i="92"/>
  <c r="B1535" i="92"/>
  <c r="C1534" i="92"/>
  <c r="B1534" i="92"/>
  <c r="C1533" i="92"/>
  <c r="B1533" i="92"/>
  <c r="C1532" i="92"/>
  <c r="B1532" i="92"/>
  <c r="C1531" i="92"/>
  <c r="B1531" i="92"/>
  <c r="C1530" i="92"/>
  <c r="B1530" i="92"/>
  <c r="C1529" i="92"/>
  <c r="B1529" i="92"/>
  <c r="C1528" i="92"/>
  <c r="B1528" i="92"/>
  <c r="C1527" i="92"/>
  <c r="B1527" i="92"/>
  <c r="C1526" i="92"/>
  <c r="B1526" i="92"/>
  <c r="C1525" i="92"/>
  <c r="B1525" i="92"/>
  <c r="C1524" i="92"/>
  <c r="B1524" i="92"/>
  <c r="C1523" i="92"/>
  <c r="B1523" i="92"/>
  <c r="C1522" i="92"/>
  <c r="B1522" i="92"/>
  <c r="C1521" i="92"/>
  <c r="B1521" i="92"/>
  <c r="C1520" i="92"/>
  <c r="B1520" i="92"/>
  <c r="C1519" i="92"/>
  <c r="B1519" i="92"/>
  <c r="C1518" i="92"/>
  <c r="B1518" i="92"/>
  <c r="C1517" i="92"/>
  <c r="B1517" i="92"/>
  <c r="C1516" i="92"/>
  <c r="B1516" i="92"/>
  <c r="C1515" i="92"/>
  <c r="B1515" i="92"/>
  <c r="C1514" i="92"/>
  <c r="B1514" i="92"/>
  <c r="C1513" i="92"/>
  <c r="B1513" i="92"/>
  <c r="C1512" i="92"/>
  <c r="B1512" i="92"/>
  <c r="C1511" i="92"/>
  <c r="B1511" i="92"/>
  <c r="C1510" i="92"/>
  <c r="B1510" i="92"/>
  <c r="C1509" i="92"/>
  <c r="B1509" i="92"/>
  <c r="C1508" i="92"/>
  <c r="B1508" i="92"/>
  <c r="C1507" i="92"/>
  <c r="B1507" i="92"/>
  <c r="C1506" i="92"/>
  <c r="B1506" i="92"/>
  <c r="C1505" i="92"/>
  <c r="B1505" i="92"/>
  <c r="C1504" i="92"/>
  <c r="B1504" i="92"/>
  <c r="C1503" i="92"/>
  <c r="B1503" i="92"/>
  <c r="C1502" i="92"/>
  <c r="B1502" i="92"/>
  <c r="C1501" i="92"/>
  <c r="B1501" i="92"/>
  <c r="C1500" i="92"/>
  <c r="B1500" i="92"/>
  <c r="C1499" i="92"/>
  <c r="B1499" i="92"/>
  <c r="C1498" i="92"/>
  <c r="B1498" i="92"/>
  <c r="C1497" i="92"/>
  <c r="B1497" i="92"/>
  <c r="C1496" i="92"/>
  <c r="B1496" i="92"/>
  <c r="C1495" i="92"/>
  <c r="B1495" i="92"/>
  <c r="C1494" i="92"/>
  <c r="B1494" i="92"/>
  <c r="C1493" i="92"/>
  <c r="B1493" i="92"/>
  <c r="C1492" i="92"/>
  <c r="B1492" i="92"/>
  <c r="C1491" i="92"/>
  <c r="B1491" i="92"/>
  <c r="C1490" i="92"/>
  <c r="B1490" i="92"/>
  <c r="C1489" i="92"/>
  <c r="B1489" i="92"/>
  <c r="C1488" i="92"/>
  <c r="B1488" i="92"/>
  <c r="C1487" i="92"/>
  <c r="B1487" i="92"/>
  <c r="C1486" i="92"/>
  <c r="B1486" i="92"/>
  <c r="C1485" i="92"/>
  <c r="B1485" i="92"/>
  <c r="C1484" i="92"/>
  <c r="B1484" i="92"/>
  <c r="C1483" i="92"/>
  <c r="B1483" i="92"/>
  <c r="C1482" i="92"/>
  <c r="B1482" i="92"/>
  <c r="C1481" i="92"/>
  <c r="B1481" i="92"/>
  <c r="C1480" i="92"/>
  <c r="B1480" i="92"/>
  <c r="C1479" i="92"/>
  <c r="B1479" i="92"/>
  <c r="C1478" i="92"/>
  <c r="B1478" i="92"/>
  <c r="C1477" i="92"/>
  <c r="B1477" i="92"/>
  <c r="C1476" i="92"/>
  <c r="B1476" i="92"/>
  <c r="C1475" i="92"/>
  <c r="B1475" i="92"/>
  <c r="C1474" i="92"/>
  <c r="B1474" i="92"/>
  <c r="C1473" i="92"/>
  <c r="B1473" i="92"/>
  <c r="C1472" i="92"/>
  <c r="B1472" i="92"/>
  <c r="C1471" i="92"/>
  <c r="B1471" i="92"/>
  <c r="C1470" i="92"/>
  <c r="B1470" i="92"/>
  <c r="C1469" i="92"/>
  <c r="B1469" i="92"/>
  <c r="C1468" i="92"/>
  <c r="B1468" i="92"/>
  <c r="C1467" i="92"/>
  <c r="B1467" i="92"/>
  <c r="C1466" i="92"/>
  <c r="B1466" i="92"/>
  <c r="C1465" i="92"/>
  <c r="B1465" i="92"/>
  <c r="C1464" i="92"/>
  <c r="B1464" i="92"/>
  <c r="C1463" i="92"/>
  <c r="B1463" i="92"/>
  <c r="C1462" i="92"/>
  <c r="B1462" i="92"/>
  <c r="C1461" i="92"/>
  <c r="B1461" i="92"/>
  <c r="C1460" i="92"/>
  <c r="B1460" i="92"/>
  <c r="C1459" i="92"/>
  <c r="B1459" i="92"/>
  <c r="C1458" i="92"/>
  <c r="B1458" i="92"/>
  <c r="C1457" i="92"/>
  <c r="B1457" i="92"/>
  <c r="C1456" i="92"/>
  <c r="B1456" i="92"/>
  <c r="C1455" i="92"/>
  <c r="B1455" i="92"/>
  <c r="C1454" i="92"/>
  <c r="B1454" i="92"/>
  <c r="C1453" i="92"/>
  <c r="B1453" i="92"/>
  <c r="C1452" i="92"/>
  <c r="B1452" i="92"/>
  <c r="C1451" i="92"/>
  <c r="B1451" i="92"/>
  <c r="C1450" i="92"/>
  <c r="B1450" i="92"/>
  <c r="C1449" i="92"/>
  <c r="B1449" i="92"/>
  <c r="C1448" i="92"/>
  <c r="B1448" i="92"/>
  <c r="C1447" i="92"/>
  <c r="B1447" i="92"/>
  <c r="C1446" i="92"/>
  <c r="B1446" i="92"/>
  <c r="C1445" i="92"/>
  <c r="B1445" i="92"/>
  <c r="C1444" i="92"/>
  <c r="B1444" i="92"/>
  <c r="C1443" i="92"/>
  <c r="B1443" i="92"/>
  <c r="C1442" i="92"/>
  <c r="B1442" i="92"/>
  <c r="C1441" i="92"/>
  <c r="B1441" i="92"/>
  <c r="C1440" i="92"/>
  <c r="B1440" i="92"/>
  <c r="C1439" i="92"/>
  <c r="B1439" i="92"/>
  <c r="C1438" i="92"/>
  <c r="B1438" i="92"/>
  <c r="C1437" i="92"/>
  <c r="B1437" i="92"/>
  <c r="C1436" i="92"/>
  <c r="B1436" i="92"/>
  <c r="C1435" i="92"/>
  <c r="B1435" i="92"/>
  <c r="C1434" i="92"/>
  <c r="B1434" i="92"/>
  <c r="C1433" i="92"/>
  <c r="B1433" i="92"/>
  <c r="C1432" i="92"/>
  <c r="B1432" i="92"/>
  <c r="C1431" i="92"/>
  <c r="B1431" i="92"/>
  <c r="C1430" i="92"/>
  <c r="B1430" i="92"/>
  <c r="C1429" i="92"/>
  <c r="B1429" i="92"/>
  <c r="C1428" i="92"/>
  <c r="B1428" i="92"/>
  <c r="C1427" i="92"/>
  <c r="B1427" i="92"/>
  <c r="C1426" i="92"/>
  <c r="B1426" i="92"/>
  <c r="C1425" i="92"/>
  <c r="B1425" i="92"/>
  <c r="C1424" i="92"/>
  <c r="B1424" i="92"/>
  <c r="C1423" i="92"/>
  <c r="B1423" i="92"/>
  <c r="C1422" i="92"/>
  <c r="B1422" i="92"/>
  <c r="C1421" i="92"/>
  <c r="B1421" i="92"/>
  <c r="C1420" i="92"/>
  <c r="B1420" i="92"/>
  <c r="C1419" i="92"/>
  <c r="B1419" i="92"/>
  <c r="C1418" i="92"/>
  <c r="B1418" i="92"/>
  <c r="C1417" i="92"/>
  <c r="B1417" i="92"/>
  <c r="C1416" i="92"/>
  <c r="B1416" i="92"/>
  <c r="C1415" i="92"/>
  <c r="B1415" i="92"/>
  <c r="C1414" i="92"/>
  <c r="B1414" i="92"/>
  <c r="C1413" i="92"/>
  <c r="B1413" i="92"/>
  <c r="C1412" i="92"/>
  <c r="B1412" i="92"/>
  <c r="C1411" i="92"/>
  <c r="B1411" i="92"/>
  <c r="C1410" i="92"/>
  <c r="B1410" i="92"/>
  <c r="C1409" i="92"/>
  <c r="B1409" i="92"/>
  <c r="C1408" i="92"/>
  <c r="B1408" i="92"/>
  <c r="C1407" i="92"/>
  <c r="B1407" i="92"/>
  <c r="C1406" i="92"/>
  <c r="B1406" i="92"/>
  <c r="C1405" i="92"/>
  <c r="B1405" i="92"/>
  <c r="C1404" i="92"/>
  <c r="B1404" i="92"/>
  <c r="C1403" i="92"/>
  <c r="B1403" i="92"/>
  <c r="C1402" i="92"/>
  <c r="B1402" i="92"/>
  <c r="C1401" i="92"/>
  <c r="B1401" i="92"/>
  <c r="C1400" i="92"/>
  <c r="B1400" i="92"/>
  <c r="C1399" i="92"/>
  <c r="B1399" i="92"/>
  <c r="C1398" i="92"/>
  <c r="B1398" i="92"/>
  <c r="C1397" i="92"/>
  <c r="B1397" i="92"/>
  <c r="C1396" i="92"/>
  <c r="B1396" i="92"/>
  <c r="C1395" i="92"/>
  <c r="B1395" i="92"/>
  <c r="C1394" i="92"/>
  <c r="B1394" i="92"/>
  <c r="C1393" i="92"/>
  <c r="B1393" i="92"/>
  <c r="C1392" i="92"/>
  <c r="B1392" i="92"/>
  <c r="C1391" i="92"/>
  <c r="B1391" i="92"/>
  <c r="C1390" i="92"/>
  <c r="B1390" i="92"/>
  <c r="C1389" i="92"/>
  <c r="B1389" i="92"/>
  <c r="C1388" i="92"/>
  <c r="B1388" i="92"/>
  <c r="C1387" i="92"/>
  <c r="B1387" i="92"/>
  <c r="C1386" i="92"/>
  <c r="B1386" i="92"/>
  <c r="C1385" i="92"/>
  <c r="B1385" i="92"/>
  <c r="C1384" i="92"/>
  <c r="B1384" i="92"/>
  <c r="C1383" i="92"/>
  <c r="B1383" i="92"/>
  <c r="C1382" i="92"/>
  <c r="B1382" i="92"/>
  <c r="C1381" i="92"/>
  <c r="B1381" i="92"/>
  <c r="C1380" i="92"/>
  <c r="B1380" i="92"/>
  <c r="C1379" i="92"/>
  <c r="B1379" i="92"/>
  <c r="C1378" i="92"/>
  <c r="B1378" i="92"/>
  <c r="C1377" i="92"/>
  <c r="B1377" i="92"/>
  <c r="C1376" i="92"/>
  <c r="B1376" i="92"/>
  <c r="C1375" i="92"/>
  <c r="B1375" i="92"/>
  <c r="C1374" i="92"/>
  <c r="B1374" i="92"/>
  <c r="C1373" i="92"/>
  <c r="B1373" i="92"/>
  <c r="C1372" i="92"/>
  <c r="B1372" i="92"/>
  <c r="C1371" i="92"/>
  <c r="B1371" i="92"/>
  <c r="C1370" i="92"/>
  <c r="B1370" i="92"/>
  <c r="C1369" i="92"/>
  <c r="B1369" i="92"/>
  <c r="C1368" i="92"/>
  <c r="B1368" i="92"/>
  <c r="C1367" i="92"/>
  <c r="B1367" i="92"/>
  <c r="C1366" i="92"/>
  <c r="B1366" i="92"/>
  <c r="C1365" i="92"/>
  <c r="B1365" i="92"/>
  <c r="C1364" i="92"/>
  <c r="B1364" i="92"/>
  <c r="C1363" i="92"/>
  <c r="B1363" i="92"/>
  <c r="C1362" i="92"/>
  <c r="B1362" i="92"/>
  <c r="C1361" i="92"/>
  <c r="B1361" i="92"/>
  <c r="C1360" i="92"/>
  <c r="B1360" i="92"/>
  <c r="C1359" i="92"/>
  <c r="B1359" i="92"/>
  <c r="C1358" i="92"/>
  <c r="B1358" i="92"/>
  <c r="C1357" i="92"/>
  <c r="B1357" i="92"/>
  <c r="C1356" i="92"/>
  <c r="B1356" i="92"/>
  <c r="C1355" i="92"/>
  <c r="B1355" i="92"/>
  <c r="C1354" i="92"/>
  <c r="B1354" i="92"/>
  <c r="C1353" i="92"/>
  <c r="B1353" i="92"/>
  <c r="C1352" i="92"/>
  <c r="B1352" i="92"/>
  <c r="C1351" i="92"/>
  <c r="B1351" i="92"/>
  <c r="C1350" i="92"/>
  <c r="B1350" i="92"/>
  <c r="C1349" i="92"/>
  <c r="B1349" i="92"/>
  <c r="C1348" i="92"/>
  <c r="B1348" i="92"/>
  <c r="C1347" i="92"/>
  <c r="B1347" i="92"/>
  <c r="C1346" i="92"/>
  <c r="B1346" i="92"/>
  <c r="C1345" i="92"/>
  <c r="B1345" i="92"/>
  <c r="C1344" i="92"/>
  <c r="B1344" i="92"/>
  <c r="C1343" i="92"/>
  <c r="B1343" i="92"/>
  <c r="C1342" i="92"/>
  <c r="B1342" i="92"/>
  <c r="C1341" i="92"/>
  <c r="B1341" i="92"/>
  <c r="C1340" i="92"/>
  <c r="B1340" i="92"/>
  <c r="C1339" i="92"/>
  <c r="B1339" i="92"/>
  <c r="C1338" i="92"/>
  <c r="B1338" i="92"/>
  <c r="C1337" i="92"/>
  <c r="B1337" i="92"/>
  <c r="C1336" i="92"/>
  <c r="B1336" i="92"/>
  <c r="C1335" i="92"/>
  <c r="B1335" i="92"/>
  <c r="C1334" i="92"/>
  <c r="B1334" i="92"/>
  <c r="C1333" i="92"/>
  <c r="B1333" i="92"/>
  <c r="C1332" i="92"/>
  <c r="B1332" i="92"/>
  <c r="C1331" i="92"/>
  <c r="B1331" i="92"/>
  <c r="C1330" i="92"/>
  <c r="B1330" i="92"/>
  <c r="C1329" i="92"/>
  <c r="B1329" i="92"/>
  <c r="C1328" i="92"/>
  <c r="B1328" i="92"/>
  <c r="C1327" i="92"/>
  <c r="B1327" i="92"/>
  <c r="C1326" i="92"/>
  <c r="B1326" i="92"/>
  <c r="C1325" i="92"/>
  <c r="B1325" i="92"/>
  <c r="C1324" i="92"/>
  <c r="B1324" i="92"/>
  <c r="C1323" i="92"/>
  <c r="B1323" i="92"/>
  <c r="C1322" i="92"/>
  <c r="B1322" i="92"/>
  <c r="C1321" i="92"/>
  <c r="B1321" i="92"/>
  <c r="C1320" i="92"/>
  <c r="B1320" i="92"/>
  <c r="C1319" i="92"/>
  <c r="B1319" i="92"/>
  <c r="C1318" i="92"/>
  <c r="B1318" i="92"/>
  <c r="C1317" i="92"/>
  <c r="B1317" i="92"/>
  <c r="C1316" i="92"/>
  <c r="B1316" i="92"/>
  <c r="C1315" i="92"/>
  <c r="B1315" i="92"/>
  <c r="C1314" i="92"/>
  <c r="B1314" i="92"/>
  <c r="C1313" i="92"/>
  <c r="B1313" i="92"/>
  <c r="C1312" i="92"/>
  <c r="B1312" i="92"/>
  <c r="C1311" i="92"/>
  <c r="B1311" i="92"/>
  <c r="C1310" i="92"/>
  <c r="B1310" i="92"/>
  <c r="C1309" i="92"/>
  <c r="B1309" i="92"/>
  <c r="C1308" i="92"/>
  <c r="B1308" i="92"/>
  <c r="C1307" i="92"/>
  <c r="B1307" i="92"/>
  <c r="C1306" i="92"/>
  <c r="B1306" i="92"/>
  <c r="C1305" i="92"/>
  <c r="B1305" i="92"/>
  <c r="C1304" i="92"/>
  <c r="B1304" i="92"/>
  <c r="C1303" i="92"/>
  <c r="B1303" i="92"/>
  <c r="C1302" i="92"/>
  <c r="B1302" i="92"/>
  <c r="C1301" i="92"/>
  <c r="B1301" i="92"/>
  <c r="C1300" i="92"/>
  <c r="B1300" i="92"/>
  <c r="C1299" i="92"/>
  <c r="B1299" i="92"/>
  <c r="C1298" i="92"/>
  <c r="B1298" i="92"/>
  <c r="C1297" i="92"/>
  <c r="B1297" i="92"/>
  <c r="C1296" i="92"/>
  <c r="B1296" i="92"/>
  <c r="C1295" i="92"/>
  <c r="B1295" i="92"/>
  <c r="C1294" i="92"/>
  <c r="B1294" i="92"/>
  <c r="C1293" i="92"/>
  <c r="B1293" i="92"/>
  <c r="C1292" i="92"/>
  <c r="B1292" i="92"/>
  <c r="C1291" i="92"/>
  <c r="B1291" i="92"/>
  <c r="C1290" i="92"/>
  <c r="B1290" i="92"/>
  <c r="C1289" i="92"/>
  <c r="B1289" i="92"/>
  <c r="C1288" i="92"/>
  <c r="B1288" i="92"/>
  <c r="C1287" i="92"/>
  <c r="B1287" i="92"/>
  <c r="C1286" i="92"/>
  <c r="B1286" i="92"/>
  <c r="O1215" i="92"/>
  <c r="O1213" i="92"/>
  <c r="O1190" i="92"/>
  <c r="O1188" i="92"/>
  <c r="O1165" i="92"/>
  <c r="O1163" i="92"/>
  <c r="O1136" i="92"/>
  <c r="O1134" i="92"/>
  <c r="O1107" i="92"/>
  <c r="O1105" i="92"/>
  <c r="O1097" i="92"/>
  <c r="O1095" i="92"/>
  <c r="O1087" i="92"/>
  <c r="O1085" i="92"/>
  <c r="O1071" i="92"/>
  <c r="O1069" i="92"/>
  <c r="O1054" i="92"/>
  <c r="O1052" i="92"/>
  <c r="O1040" i="92"/>
  <c r="O1038" i="92"/>
  <c r="O1029" i="92"/>
  <c r="O1027" i="92"/>
  <c r="O1018" i="92"/>
  <c r="O1016" i="92"/>
  <c r="O1007" i="92"/>
  <c r="O1005" i="92"/>
  <c r="O989" i="92"/>
  <c r="O987" i="92"/>
  <c r="O970" i="92"/>
  <c r="O968" i="92"/>
  <c r="O951" i="92"/>
  <c r="O949" i="92"/>
  <c r="O932" i="92"/>
  <c r="O930" i="92"/>
  <c r="O913" i="92"/>
  <c r="O911" i="92"/>
  <c r="O894" i="92"/>
  <c r="O892" i="92"/>
  <c r="O864" i="92"/>
  <c r="O862" i="92"/>
  <c r="O834" i="92"/>
  <c r="O832" i="92"/>
  <c r="O816" i="92"/>
  <c r="O814" i="92"/>
  <c r="O798" i="92"/>
  <c r="O796" i="92"/>
  <c r="O783" i="92"/>
  <c r="O781" i="92"/>
  <c r="O768" i="92"/>
  <c r="O766" i="92"/>
  <c r="O738" i="92"/>
  <c r="O736" i="92"/>
  <c r="O708" i="92"/>
  <c r="O706" i="92"/>
  <c r="O690" i="92"/>
  <c r="O688" i="92"/>
  <c r="O672" i="92"/>
  <c r="O670" i="92"/>
  <c r="O641" i="92"/>
  <c r="O639" i="92"/>
  <c r="O610" i="92"/>
  <c r="O608" i="92"/>
  <c r="O591" i="92"/>
  <c r="O589" i="92"/>
  <c r="O572" i="92"/>
  <c r="O570" i="92"/>
  <c r="O557" i="92"/>
  <c r="O555" i="92"/>
  <c r="O541" i="92"/>
  <c r="O539" i="92"/>
  <c r="T1553" i="92" l="1"/>
  <c r="T1552" i="92"/>
  <c r="T1551" i="92"/>
  <c r="T1550" i="92"/>
  <c r="T1549" i="92"/>
  <c r="T1548" i="92"/>
  <c r="V1542" i="92"/>
  <c r="U1542" i="92"/>
  <c r="V1541" i="92"/>
  <c r="U1541" i="92"/>
  <c r="V1540" i="92"/>
  <c r="U1540" i="92"/>
  <c r="V1539" i="92"/>
  <c r="U1539" i="92"/>
  <c r="V1538" i="92"/>
  <c r="U1538" i="92"/>
  <c r="V1536" i="92"/>
  <c r="U1536" i="92"/>
  <c r="V1535" i="92"/>
  <c r="U1535" i="92"/>
  <c r="V1534" i="92"/>
  <c r="U1534" i="92"/>
  <c r="V1532" i="92"/>
  <c r="U1532" i="92"/>
  <c r="V1531" i="92"/>
  <c r="U1531" i="92"/>
  <c r="V1530" i="92"/>
  <c r="U1530" i="92"/>
  <c r="V1529" i="92"/>
  <c r="U1529" i="92"/>
  <c r="T1529" i="92"/>
  <c r="Z1528" i="92"/>
  <c r="Y1528" i="92"/>
  <c r="Z1527" i="92"/>
  <c r="Y1527" i="92"/>
  <c r="Z1526" i="92"/>
  <c r="Y1526" i="92"/>
  <c r="Z1525" i="92"/>
  <c r="Y1525" i="92"/>
  <c r="Z1524" i="92"/>
  <c r="Y1524" i="92"/>
  <c r="Z1523" i="92"/>
  <c r="Y1523" i="92"/>
  <c r="Z1522" i="92"/>
  <c r="Y1522" i="92"/>
  <c r="Z1521" i="92"/>
  <c r="Y1521" i="92"/>
  <c r="Z1520" i="92"/>
  <c r="Y1520" i="92"/>
  <c r="Z1519" i="92"/>
  <c r="Y1519" i="92"/>
  <c r="Z1518" i="92"/>
  <c r="Y1518" i="92"/>
  <c r="Z1517" i="92"/>
  <c r="Y1517" i="92"/>
  <c r="V1517" i="92"/>
  <c r="U1517" i="92"/>
  <c r="Z1516" i="92"/>
  <c r="Y1516" i="92"/>
  <c r="V1516" i="92"/>
  <c r="U1516" i="92"/>
  <c r="Z1515" i="92"/>
  <c r="Y1515" i="92"/>
  <c r="V1515" i="92"/>
  <c r="U1515" i="92"/>
  <c r="Z1514" i="92"/>
  <c r="Y1514" i="92"/>
  <c r="Z1513" i="92"/>
  <c r="Y1513" i="92"/>
  <c r="V1513" i="92"/>
  <c r="U1513" i="92"/>
  <c r="Z1512" i="92"/>
  <c r="Y1512" i="92"/>
  <c r="V1512" i="92"/>
  <c r="U1512" i="92"/>
  <c r="Z1511" i="92"/>
  <c r="Y1511" i="92"/>
  <c r="V1511" i="92"/>
  <c r="U1511" i="92"/>
  <c r="Z1510" i="92"/>
  <c r="Y1510" i="92"/>
  <c r="X1510" i="92"/>
  <c r="V1510" i="92"/>
  <c r="U1510" i="92"/>
  <c r="T1510" i="92"/>
  <c r="V1509" i="92"/>
  <c r="T1509" i="92"/>
  <c r="K1509" i="92"/>
  <c r="I1509" i="92"/>
  <c r="V1508" i="92"/>
  <c r="T1508" i="92"/>
  <c r="K1508" i="92"/>
  <c r="I1508" i="92"/>
  <c r="V1507" i="92"/>
  <c r="T1507" i="92"/>
  <c r="K1507" i="92"/>
  <c r="I1507" i="92"/>
  <c r="V1506" i="92"/>
  <c r="T1506" i="92"/>
  <c r="K1506" i="92"/>
  <c r="I1506" i="92"/>
  <c r="K1505" i="92"/>
  <c r="I1505" i="92"/>
  <c r="V1504" i="92"/>
  <c r="T1504" i="92"/>
  <c r="K1504" i="92"/>
  <c r="I1504" i="92"/>
  <c r="T1503" i="92"/>
  <c r="K1503" i="92"/>
  <c r="I1503" i="92"/>
  <c r="V1502" i="92"/>
  <c r="T1502" i="92"/>
  <c r="K1502" i="92"/>
  <c r="I1502" i="92"/>
  <c r="V1501" i="92"/>
  <c r="T1501" i="92"/>
  <c r="K1501" i="92"/>
  <c r="I1501" i="92"/>
  <c r="V1500" i="92"/>
  <c r="T1500" i="92"/>
  <c r="K1500" i="92"/>
  <c r="I1500" i="92"/>
  <c r="V1499" i="92"/>
  <c r="T1499" i="92"/>
  <c r="K1499" i="92"/>
  <c r="I1499" i="92"/>
  <c r="V1498" i="92"/>
  <c r="T1498" i="92"/>
  <c r="K1498" i="92"/>
  <c r="I1498" i="92"/>
  <c r="V1497" i="92"/>
  <c r="T1497" i="92"/>
  <c r="K1497" i="92"/>
  <c r="I1497" i="92"/>
  <c r="V1496" i="92"/>
  <c r="T1496" i="92"/>
  <c r="K1496" i="92"/>
  <c r="I1496" i="92"/>
  <c r="V1495" i="92"/>
  <c r="T1495" i="92"/>
  <c r="K1495" i="92"/>
  <c r="I1495" i="92"/>
  <c r="T1494" i="92"/>
  <c r="T1493" i="92"/>
  <c r="T1492" i="92"/>
  <c r="T1491" i="92"/>
  <c r="T1489" i="92"/>
  <c r="T1488" i="92"/>
  <c r="T1487" i="92"/>
  <c r="T1486" i="92"/>
  <c r="U1485" i="92"/>
  <c r="U1484" i="92"/>
  <c r="U1483" i="92"/>
  <c r="U1482" i="92"/>
  <c r="U1481" i="92"/>
  <c r="U1480" i="92"/>
  <c r="U1479" i="92"/>
  <c r="T1479" i="92"/>
  <c r="V1478" i="92"/>
  <c r="U1478" i="92"/>
  <c r="V1477" i="92"/>
  <c r="U1477" i="92"/>
  <c r="V1476" i="92"/>
  <c r="U1476" i="92"/>
  <c r="V1475" i="92"/>
  <c r="U1475" i="92"/>
  <c r="V1474" i="92"/>
  <c r="U1474" i="92"/>
  <c r="V1473" i="92"/>
  <c r="U1473" i="92"/>
  <c r="V1472" i="92"/>
  <c r="U1472" i="92"/>
  <c r="T1472" i="92"/>
  <c r="T1471" i="92"/>
  <c r="T1470" i="92"/>
  <c r="T1469" i="92"/>
  <c r="T1468" i="92"/>
  <c r="T1467" i="92"/>
  <c r="T1466" i="92"/>
  <c r="T1465" i="92"/>
  <c r="T1464" i="92"/>
  <c r="T1463" i="92"/>
  <c r="T1462" i="92"/>
  <c r="T1461" i="92"/>
  <c r="T1460" i="92"/>
  <c r="T1459" i="92"/>
  <c r="T1458" i="92"/>
  <c r="T1457" i="92"/>
  <c r="T1456" i="92"/>
  <c r="T1455" i="92"/>
  <c r="T1454" i="92"/>
  <c r="T1453" i="92"/>
  <c r="T1452" i="92"/>
  <c r="T1451" i="92"/>
  <c r="T1450" i="92"/>
  <c r="T1449" i="92"/>
  <c r="T1448" i="92"/>
  <c r="T1447" i="92"/>
  <c r="T1446" i="92"/>
  <c r="T1445" i="92"/>
  <c r="T1444" i="92"/>
  <c r="T1443" i="92"/>
  <c r="T1442" i="92"/>
  <c r="T1441" i="92"/>
  <c r="T1440" i="92"/>
  <c r="T1439" i="92"/>
  <c r="T1438" i="92"/>
  <c r="T1437" i="92"/>
  <c r="T1436" i="92"/>
  <c r="T1435" i="92"/>
  <c r="T1434" i="92"/>
  <c r="T1433" i="92"/>
  <c r="T1432" i="92"/>
  <c r="T1431" i="92"/>
  <c r="T1430" i="92"/>
  <c r="T1429" i="92"/>
  <c r="T1428" i="92"/>
  <c r="T1427" i="92"/>
  <c r="T1426" i="92"/>
  <c r="T1425" i="92"/>
  <c r="T1424" i="92"/>
  <c r="T1423" i="92"/>
  <c r="T1422" i="92"/>
  <c r="T1421" i="92"/>
  <c r="T1420" i="92"/>
  <c r="T1419" i="92"/>
  <c r="T1418" i="92"/>
  <c r="T1417" i="92"/>
  <c r="T1416" i="92"/>
  <c r="T1415" i="92"/>
  <c r="T1414" i="92"/>
  <c r="T1413" i="92"/>
  <c r="T1412" i="92"/>
  <c r="Z1411" i="92"/>
  <c r="Y1411" i="92"/>
  <c r="Z1410" i="92"/>
  <c r="Y1410" i="92"/>
  <c r="Z1409" i="92"/>
  <c r="Y1409" i="92"/>
  <c r="Z1408" i="92"/>
  <c r="Y1408" i="92"/>
  <c r="Z1407" i="92"/>
  <c r="Y1407" i="92"/>
  <c r="V1407" i="92"/>
  <c r="U1407" i="92"/>
  <c r="Z1406" i="92"/>
  <c r="Y1406" i="92"/>
  <c r="Z1405" i="92"/>
  <c r="Y1405" i="92"/>
  <c r="Z1404" i="92"/>
  <c r="Y1404" i="92"/>
  <c r="Z1403" i="92"/>
  <c r="Y1403" i="92"/>
  <c r="Z1402" i="92"/>
  <c r="Y1402" i="92"/>
  <c r="V1402" i="92"/>
  <c r="U1402" i="92"/>
  <c r="Z1401" i="92"/>
  <c r="Y1401" i="92"/>
  <c r="V1401" i="92"/>
  <c r="U1401" i="92"/>
  <c r="Z1400" i="92"/>
  <c r="Y1400" i="92"/>
  <c r="V1400" i="92"/>
  <c r="U1400" i="92"/>
  <c r="Z1399" i="92"/>
  <c r="Y1399" i="92"/>
  <c r="V1399" i="92"/>
  <c r="U1399" i="92"/>
  <c r="Z1398" i="92"/>
  <c r="Y1398" i="92"/>
  <c r="V1398" i="92"/>
  <c r="U1398" i="92"/>
  <c r="Z1397" i="92"/>
  <c r="Y1397" i="92"/>
  <c r="V1397" i="92"/>
  <c r="U1397" i="92"/>
  <c r="Z1396" i="92"/>
  <c r="Y1396" i="92"/>
  <c r="V1396" i="92"/>
  <c r="U1396" i="92"/>
  <c r="Z1395" i="92"/>
  <c r="Y1395" i="92"/>
  <c r="V1395" i="92"/>
  <c r="U1395" i="92"/>
  <c r="Z1394" i="92"/>
  <c r="Y1394" i="92"/>
  <c r="X1394" i="92"/>
  <c r="V1394" i="92"/>
  <c r="U1394" i="92"/>
  <c r="T1394" i="92"/>
  <c r="V1383" i="92"/>
  <c r="U1383" i="92"/>
  <c r="V1382" i="92"/>
  <c r="U1382" i="92"/>
  <c r="V1381" i="92"/>
  <c r="U1381" i="92"/>
  <c r="V1380" i="92"/>
  <c r="U1380" i="92"/>
  <c r="V1379" i="92"/>
  <c r="U1379" i="92"/>
  <c r="V1378" i="92"/>
  <c r="U1378" i="92"/>
  <c r="V1377" i="92"/>
  <c r="U1377" i="92"/>
  <c r="V1376" i="92"/>
  <c r="U1376" i="92"/>
  <c r="T1376" i="92"/>
  <c r="V1375" i="92"/>
  <c r="U1375" i="92"/>
  <c r="V1374" i="92"/>
  <c r="U1374" i="92"/>
  <c r="V1373" i="92"/>
  <c r="U1373" i="92"/>
  <c r="V1372" i="92"/>
  <c r="U1372" i="92"/>
  <c r="V1371" i="92"/>
  <c r="U1371" i="92"/>
  <c r="V1370" i="92"/>
  <c r="U1370" i="92"/>
  <c r="V1369" i="92"/>
  <c r="U1369" i="92"/>
  <c r="V1368" i="92"/>
  <c r="U1368" i="92"/>
  <c r="V1367" i="92"/>
  <c r="U1367" i="92"/>
  <c r="V1366" i="92"/>
  <c r="U1366" i="92"/>
  <c r="V1365" i="92"/>
  <c r="U1365" i="92"/>
  <c r="V1364" i="92"/>
  <c r="U1364" i="92"/>
  <c r="V1363" i="92"/>
  <c r="U1363" i="92"/>
  <c r="V1362" i="92"/>
  <c r="U1362" i="92"/>
  <c r="V1361" i="92"/>
  <c r="U1361" i="92"/>
  <c r="V1360" i="92"/>
  <c r="U1360" i="92"/>
  <c r="V1359" i="92"/>
  <c r="U1359" i="92"/>
  <c r="V1358" i="92"/>
  <c r="U1358" i="92"/>
  <c r="T1358" i="92"/>
  <c r="V1353" i="92"/>
  <c r="U1353" i="92"/>
  <c r="V1348" i="92"/>
  <c r="U1348" i="92"/>
  <c r="V1347" i="92"/>
  <c r="U1347" i="92"/>
  <c r="V1346" i="92"/>
  <c r="U1346" i="92"/>
  <c r="V1345" i="92"/>
  <c r="U1345" i="92"/>
  <c r="V1344" i="92"/>
  <c r="U1344" i="92"/>
  <c r="V1343" i="92"/>
  <c r="U1343" i="92"/>
  <c r="V1342" i="92"/>
  <c r="U1342" i="92"/>
  <c r="V1341" i="92"/>
  <c r="U1341" i="92"/>
  <c r="V1340" i="92"/>
  <c r="U1340" i="92"/>
  <c r="T1340" i="92"/>
  <c r="V1339" i="92"/>
  <c r="U1339" i="92"/>
  <c r="V1338" i="92"/>
  <c r="U1338" i="92"/>
  <c r="V1337" i="92"/>
  <c r="U1337" i="92"/>
  <c r="V1336" i="92"/>
  <c r="U1336" i="92"/>
  <c r="V1335" i="92"/>
  <c r="U1335" i="92"/>
  <c r="V1334" i="92"/>
  <c r="U1334" i="92"/>
  <c r="V1333" i="92"/>
  <c r="U1333" i="92"/>
  <c r="V1332" i="92"/>
  <c r="U1332" i="92"/>
  <c r="V1331" i="92"/>
  <c r="U1331" i="92"/>
  <c r="V1330" i="92"/>
  <c r="U1330" i="92"/>
  <c r="V1329" i="92"/>
  <c r="U1329" i="92"/>
  <c r="V1328" i="92"/>
  <c r="U1328" i="92"/>
  <c r="V1327" i="92"/>
  <c r="U1327" i="92"/>
  <c r="V1326" i="92"/>
  <c r="U1326" i="92"/>
  <c r="V1325" i="92"/>
  <c r="U1325" i="92"/>
  <c r="V1324" i="92"/>
  <c r="U1324" i="92"/>
  <c r="V1323" i="92"/>
  <c r="U1323" i="92"/>
  <c r="V1322" i="92"/>
  <c r="U1322" i="92"/>
  <c r="T1322" i="92"/>
  <c r="V1317" i="92"/>
  <c r="U1317" i="92"/>
  <c r="V1312" i="92"/>
  <c r="U1312" i="92"/>
  <c r="V1311" i="92"/>
  <c r="U1311" i="92"/>
  <c r="V1310" i="92"/>
  <c r="U1310" i="92"/>
  <c r="V1309" i="92"/>
  <c r="U1309" i="92"/>
  <c r="V1308" i="92"/>
  <c r="U1308" i="92"/>
  <c r="V1307" i="92"/>
  <c r="U1307" i="92"/>
  <c r="V1306" i="92"/>
  <c r="U1306" i="92"/>
  <c r="V1305" i="92"/>
  <c r="U1305" i="92"/>
  <c r="V1304" i="92"/>
  <c r="U1304" i="92"/>
  <c r="T1304" i="92"/>
  <c r="V1293" i="92"/>
  <c r="U1293" i="92"/>
  <c r="V1292" i="92"/>
  <c r="U1292" i="92"/>
  <c r="V1291" i="92"/>
  <c r="U1291" i="92"/>
  <c r="V1290" i="92"/>
  <c r="U1290" i="92"/>
  <c r="V1289" i="92"/>
  <c r="U1289" i="92"/>
  <c r="V1288" i="92"/>
  <c r="U1288" i="92"/>
  <c r="V1287" i="92"/>
  <c r="U1287" i="92"/>
  <c r="V1286" i="92"/>
  <c r="U1286" i="92"/>
  <c r="T1286" i="92"/>
  <c r="J1220" i="92"/>
  <c r="I1220" i="92" s="1"/>
  <c r="C1220" i="92"/>
  <c r="B1220" i="92"/>
  <c r="K1219" i="92"/>
  <c r="I1219" i="92"/>
  <c r="K1217" i="92"/>
  <c r="I1217" i="92"/>
  <c r="K1216" i="92"/>
  <c r="I1216" i="92"/>
  <c r="K1215" i="92"/>
  <c r="I1215" i="92"/>
  <c r="K1214" i="92"/>
  <c r="I1214" i="92"/>
  <c r="K1213" i="92"/>
  <c r="I1213" i="92"/>
  <c r="K1212" i="92"/>
  <c r="I1212" i="92"/>
  <c r="K1211" i="92"/>
  <c r="I1211" i="92"/>
  <c r="K1210" i="92"/>
  <c r="I1210" i="92"/>
  <c r="K1209" i="92"/>
  <c r="I1209" i="92"/>
  <c r="K1208" i="92"/>
  <c r="I1208" i="92"/>
  <c r="K1207" i="92"/>
  <c r="I1207" i="92"/>
  <c r="K1206" i="92"/>
  <c r="I1206" i="92"/>
  <c r="K1205" i="92"/>
  <c r="I1205" i="92"/>
  <c r="K1204" i="92"/>
  <c r="I1204" i="92"/>
  <c r="K1203" i="92"/>
  <c r="I1203" i="92"/>
  <c r="K1202" i="92"/>
  <c r="I1202" i="92"/>
  <c r="K1201" i="92"/>
  <c r="I1201" i="92"/>
  <c r="K1200" i="92"/>
  <c r="I1200" i="92"/>
  <c r="K1199" i="92"/>
  <c r="I1199" i="92"/>
  <c r="K1198" i="92"/>
  <c r="I1198" i="92"/>
  <c r="K1197" i="92"/>
  <c r="I1197" i="92"/>
  <c r="K1196" i="92"/>
  <c r="I1196" i="92"/>
  <c r="K1193" i="92"/>
  <c r="I1193" i="92"/>
  <c r="K1192" i="92"/>
  <c r="I1192" i="92"/>
  <c r="K1191" i="92"/>
  <c r="I1191" i="92"/>
  <c r="K1190" i="92"/>
  <c r="I1190" i="92"/>
  <c r="K1189" i="92"/>
  <c r="I1189" i="92"/>
  <c r="K1188" i="92"/>
  <c r="I1188" i="92"/>
  <c r="K1187" i="92"/>
  <c r="I1187" i="92"/>
  <c r="K1186" i="92"/>
  <c r="I1186" i="92"/>
  <c r="K1185" i="92"/>
  <c r="I1185" i="92"/>
  <c r="K1184" i="92"/>
  <c r="I1184" i="92"/>
  <c r="K1183" i="92"/>
  <c r="I1183" i="92"/>
  <c r="K1182" i="92"/>
  <c r="I1182" i="92"/>
  <c r="K1181" i="92"/>
  <c r="I1181" i="92"/>
  <c r="K1180" i="92"/>
  <c r="I1180" i="92"/>
  <c r="K1179" i="92"/>
  <c r="I1179" i="92"/>
  <c r="K1178" i="92"/>
  <c r="I1178" i="92"/>
  <c r="K1177" i="92"/>
  <c r="I1177" i="92"/>
  <c r="K1176" i="92"/>
  <c r="I1176" i="92"/>
  <c r="K1175" i="92"/>
  <c r="I1175" i="92"/>
  <c r="K1174" i="92"/>
  <c r="I1174" i="92"/>
  <c r="K1173" i="92"/>
  <c r="I1173" i="92"/>
  <c r="K1172" i="92"/>
  <c r="I1172" i="92"/>
  <c r="K1171" i="92"/>
  <c r="I1171" i="92"/>
  <c r="K1168" i="92"/>
  <c r="I1168" i="92"/>
  <c r="K1167" i="92"/>
  <c r="I1167" i="92"/>
  <c r="K1166" i="92"/>
  <c r="I1166" i="92"/>
  <c r="K1165" i="92"/>
  <c r="I1165" i="92"/>
  <c r="K1164" i="92"/>
  <c r="I1164" i="92"/>
  <c r="K1163" i="92"/>
  <c r="I1163" i="92"/>
  <c r="K1162" i="92"/>
  <c r="I1162" i="92"/>
  <c r="K1161" i="92"/>
  <c r="I1161" i="92"/>
  <c r="K1160" i="92"/>
  <c r="I1160" i="92"/>
  <c r="K1159" i="92"/>
  <c r="I1159" i="92"/>
  <c r="K1158" i="92"/>
  <c r="I1158" i="92"/>
  <c r="K1157" i="92"/>
  <c r="I1157" i="92"/>
  <c r="K1156" i="92"/>
  <c r="I1156" i="92"/>
  <c r="K1155" i="92"/>
  <c r="I1155" i="92"/>
  <c r="K1154" i="92"/>
  <c r="I1154" i="92"/>
  <c r="K1153" i="92"/>
  <c r="I1153" i="92"/>
  <c r="K1152" i="92"/>
  <c r="I1152" i="92"/>
  <c r="K1151" i="92"/>
  <c r="I1151" i="92"/>
  <c r="K1150" i="92"/>
  <c r="I1150" i="92"/>
  <c r="K1149" i="92"/>
  <c r="I1149" i="92"/>
  <c r="K1148" i="92"/>
  <c r="I1148" i="92"/>
  <c r="K1147" i="92"/>
  <c r="I1147" i="92"/>
  <c r="K1146" i="92"/>
  <c r="I1146" i="92"/>
  <c r="K1145" i="92"/>
  <c r="I1145" i="92"/>
  <c r="K1142" i="92"/>
  <c r="I1142" i="92"/>
  <c r="K1141" i="92"/>
  <c r="I1141" i="92"/>
  <c r="K1138" i="92"/>
  <c r="I1138" i="92"/>
  <c r="K1137" i="92"/>
  <c r="I1137" i="92"/>
  <c r="K1136" i="92"/>
  <c r="I1136" i="92"/>
  <c r="K1135" i="92"/>
  <c r="I1135" i="92"/>
  <c r="K1134" i="92"/>
  <c r="I1134" i="92"/>
  <c r="K1133" i="92"/>
  <c r="I1133" i="92"/>
  <c r="K1132" i="92"/>
  <c r="I1132" i="92"/>
  <c r="K1131" i="92"/>
  <c r="I1131" i="92"/>
  <c r="K1130" i="92"/>
  <c r="I1130" i="92"/>
  <c r="K1129" i="92"/>
  <c r="I1129" i="92"/>
  <c r="K1128" i="92"/>
  <c r="I1128" i="92"/>
  <c r="K1127" i="92"/>
  <c r="I1127" i="92"/>
  <c r="K1126" i="92"/>
  <c r="I1126" i="92"/>
  <c r="K1125" i="92"/>
  <c r="I1125" i="92"/>
  <c r="K1124" i="92"/>
  <c r="I1124" i="92"/>
  <c r="K1123" i="92"/>
  <c r="I1123" i="92"/>
  <c r="K1122" i="92"/>
  <c r="I1122" i="92"/>
  <c r="K1121" i="92"/>
  <c r="I1121" i="92"/>
  <c r="K1120" i="92"/>
  <c r="I1120" i="92"/>
  <c r="K1119" i="92"/>
  <c r="I1119" i="92"/>
  <c r="K1118" i="92"/>
  <c r="I1118" i="92"/>
  <c r="K1117" i="92"/>
  <c r="I1117" i="92"/>
  <c r="K1116" i="92"/>
  <c r="I1116" i="92"/>
  <c r="K1113" i="92"/>
  <c r="I1113" i="92"/>
  <c r="K1112" i="92"/>
  <c r="I1112" i="92"/>
  <c r="K1109" i="92"/>
  <c r="I1109" i="92"/>
  <c r="K1108" i="92"/>
  <c r="I1108" i="92"/>
  <c r="K1107" i="92"/>
  <c r="I1107" i="92"/>
  <c r="K1106" i="92"/>
  <c r="I1106" i="92"/>
  <c r="K1105" i="92"/>
  <c r="I1105" i="92"/>
  <c r="K1104" i="92"/>
  <c r="I1104" i="92"/>
  <c r="K1103" i="92"/>
  <c r="I1103" i="92"/>
  <c r="K1100" i="92"/>
  <c r="I1100" i="92"/>
  <c r="K1099" i="92"/>
  <c r="I1099" i="92"/>
  <c r="K1098" i="92"/>
  <c r="I1098" i="92"/>
  <c r="K1097" i="92"/>
  <c r="I1097" i="92"/>
  <c r="K1096" i="92"/>
  <c r="I1096" i="92"/>
  <c r="K1095" i="92"/>
  <c r="I1095" i="92"/>
  <c r="K1094" i="92"/>
  <c r="I1094" i="92"/>
  <c r="K1093" i="92"/>
  <c r="I1093" i="92"/>
  <c r="K1090" i="92"/>
  <c r="I1090" i="92"/>
  <c r="K1089" i="92"/>
  <c r="I1089" i="92"/>
  <c r="K1088" i="92"/>
  <c r="I1088" i="92"/>
  <c r="K1087" i="92"/>
  <c r="I1087" i="92"/>
  <c r="K1086" i="92"/>
  <c r="I1086" i="92"/>
  <c r="K1085" i="92"/>
  <c r="I1085" i="92"/>
  <c r="K1084" i="92"/>
  <c r="I1084" i="92"/>
  <c r="K1083" i="92"/>
  <c r="I1083" i="92"/>
  <c r="K1082" i="92"/>
  <c r="I1082" i="92"/>
  <c r="K1081" i="92"/>
  <c r="I1081" i="92"/>
  <c r="K1080" i="92"/>
  <c r="I1080" i="92"/>
  <c r="K1079" i="92"/>
  <c r="I1079" i="92"/>
  <c r="K1078" i="92"/>
  <c r="I1078" i="92"/>
  <c r="K1077" i="92"/>
  <c r="I1077" i="92"/>
  <c r="K1074" i="92"/>
  <c r="I1074" i="92"/>
  <c r="K1073" i="92"/>
  <c r="I1073" i="92"/>
  <c r="K1072" i="92"/>
  <c r="I1072" i="92"/>
  <c r="K1071" i="92"/>
  <c r="I1071" i="92"/>
  <c r="K1070" i="92"/>
  <c r="I1070" i="92"/>
  <c r="K1069" i="92"/>
  <c r="I1069" i="92"/>
  <c r="K1068" i="92"/>
  <c r="I1068" i="92"/>
  <c r="K1067" i="92"/>
  <c r="I1067" i="92"/>
  <c r="K1066" i="92"/>
  <c r="I1066" i="92"/>
  <c r="K1065" i="92"/>
  <c r="I1065" i="92"/>
  <c r="K1064" i="92"/>
  <c r="I1064" i="92"/>
  <c r="K1063" i="92"/>
  <c r="I1063" i="92"/>
  <c r="K1062" i="92"/>
  <c r="I1062" i="92"/>
  <c r="K1061" i="92"/>
  <c r="I1061" i="92"/>
  <c r="K1060" i="92"/>
  <c r="I1060" i="92"/>
  <c r="K1057" i="92"/>
  <c r="I1057" i="92"/>
  <c r="K1056" i="92"/>
  <c r="I1056" i="92"/>
  <c r="K1055" i="92"/>
  <c r="I1055" i="92"/>
  <c r="K1054" i="92"/>
  <c r="I1054" i="92"/>
  <c r="K1053" i="92"/>
  <c r="I1053" i="92"/>
  <c r="K1052" i="92"/>
  <c r="I1052" i="92"/>
  <c r="K1051" i="92"/>
  <c r="I1051" i="92"/>
  <c r="K1050" i="92"/>
  <c r="I1050" i="92"/>
  <c r="K1047" i="92"/>
  <c r="I1047" i="92"/>
  <c r="K1046" i="92"/>
  <c r="I1046" i="92"/>
  <c r="K1042" i="92"/>
  <c r="I1042" i="92"/>
  <c r="K1041" i="92"/>
  <c r="I1041" i="92"/>
  <c r="K1040" i="92"/>
  <c r="I1040" i="92"/>
  <c r="K1039" i="92"/>
  <c r="I1039" i="92"/>
  <c r="K1038" i="92"/>
  <c r="I1038" i="92"/>
  <c r="K1037" i="92"/>
  <c r="I1037" i="92"/>
  <c r="K1036" i="92"/>
  <c r="I1036" i="92"/>
  <c r="K1033" i="92"/>
  <c r="I1033" i="92"/>
  <c r="K1032" i="92"/>
  <c r="I1032" i="92"/>
  <c r="K1031" i="92"/>
  <c r="I1031" i="92"/>
  <c r="K1030" i="92"/>
  <c r="I1030" i="92"/>
  <c r="K1029" i="92"/>
  <c r="I1029" i="92"/>
  <c r="K1028" i="92"/>
  <c r="I1028" i="92"/>
  <c r="K1027" i="92"/>
  <c r="I1027" i="92"/>
  <c r="K1026" i="92"/>
  <c r="I1026" i="92"/>
  <c r="K1025" i="92"/>
  <c r="I1025" i="92"/>
  <c r="K1022" i="92"/>
  <c r="I1022" i="92"/>
  <c r="K1021" i="92"/>
  <c r="I1021" i="92"/>
  <c r="K1020" i="92"/>
  <c r="I1020" i="92"/>
  <c r="K1019" i="92"/>
  <c r="I1019" i="92"/>
  <c r="K1018" i="92"/>
  <c r="I1018" i="92"/>
  <c r="K1017" i="92"/>
  <c r="I1017" i="92"/>
  <c r="K1016" i="92"/>
  <c r="I1016" i="92"/>
  <c r="K1015" i="92"/>
  <c r="I1015" i="92"/>
  <c r="K1014" i="92"/>
  <c r="I1014" i="92"/>
  <c r="K1011" i="92"/>
  <c r="I1011" i="92"/>
  <c r="K1010" i="92"/>
  <c r="I1010" i="92"/>
  <c r="K1009" i="92"/>
  <c r="I1009" i="92"/>
  <c r="K1008" i="92"/>
  <c r="I1008" i="92"/>
  <c r="K1007" i="92"/>
  <c r="I1007" i="92"/>
  <c r="K1006" i="92"/>
  <c r="I1006" i="92"/>
  <c r="K1005" i="92"/>
  <c r="I1005" i="92"/>
  <c r="K1004" i="92"/>
  <c r="I1004" i="92"/>
  <c r="K1003" i="92"/>
  <c r="I1003" i="92"/>
  <c r="K1002" i="92"/>
  <c r="I1002" i="92"/>
  <c r="K1001" i="92"/>
  <c r="I1001" i="92"/>
  <c r="K997" i="92"/>
  <c r="I997" i="92"/>
  <c r="K996" i="92"/>
  <c r="I996" i="92"/>
  <c r="K992" i="92"/>
  <c r="I992" i="92"/>
  <c r="K991" i="92"/>
  <c r="I991" i="92"/>
  <c r="K990" i="92"/>
  <c r="I990" i="92"/>
  <c r="K989" i="92"/>
  <c r="I989" i="92"/>
  <c r="K988" i="92"/>
  <c r="I988" i="92"/>
  <c r="K987" i="92"/>
  <c r="I987" i="92"/>
  <c r="K986" i="92"/>
  <c r="I986" i="92"/>
  <c r="K984" i="92"/>
  <c r="I984" i="92"/>
  <c r="K983" i="92"/>
  <c r="I983" i="92"/>
  <c r="K982" i="92"/>
  <c r="I982" i="92"/>
  <c r="K978" i="92"/>
  <c r="I978" i="92"/>
  <c r="K977" i="92"/>
  <c r="I977" i="92"/>
  <c r="K973" i="92"/>
  <c r="I973" i="92"/>
  <c r="K972" i="92"/>
  <c r="I972" i="92"/>
  <c r="K971" i="92"/>
  <c r="I971" i="92"/>
  <c r="K970" i="92"/>
  <c r="I970" i="92"/>
  <c r="K969" i="92"/>
  <c r="I969" i="92"/>
  <c r="K968" i="92"/>
  <c r="I968" i="92"/>
  <c r="K967" i="92"/>
  <c r="I967" i="92"/>
  <c r="K965" i="92"/>
  <c r="I965" i="92"/>
  <c r="K964" i="92"/>
  <c r="I964" i="92"/>
  <c r="K963" i="92"/>
  <c r="I963" i="92"/>
  <c r="K959" i="92"/>
  <c r="I959" i="92"/>
  <c r="K958" i="92"/>
  <c r="I958" i="92"/>
  <c r="K954" i="92"/>
  <c r="I954" i="92"/>
  <c r="K953" i="92"/>
  <c r="I953" i="92"/>
  <c r="K952" i="92"/>
  <c r="I952" i="92"/>
  <c r="K951" i="92"/>
  <c r="I951" i="92"/>
  <c r="K950" i="92"/>
  <c r="I950" i="92"/>
  <c r="K949" i="92"/>
  <c r="I949" i="92"/>
  <c r="K948" i="92"/>
  <c r="I948" i="92"/>
  <c r="K946" i="92"/>
  <c r="I946" i="92"/>
  <c r="K945" i="92"/>
  <c r="I945" i="92"/>
  <c r="K944" i="92"/>
  <c r="I944" i="92"/>
  <c r="K940" i="92"/>
  <c r="I940" i="92"/>
  <c r="K939" i="92"/>
  <c r="I939" i="92"/>
  <c r="K935" i="92"/>
  <c r="I935" i="92"/>
  <c r="K934" i="92"/>
  <c r="I934" i="92"/>
  <c r="K933" i="92"/>
  <c r="I933" i="92"/>
  <c r="K932" i="92"/>
  <c r="I932" i="92"/>
  <c r="K931" i="92"/>
  <c r="I931" i="92"/>
  <c r="K930" i="92"/>
  <c r="I930" i="92"/>
  <c r="K929" i="92"/>
  <c r="I929" i="92"/>
  <c r="K927" i="92"/>
  <c r="I927" i="92"/>
  <c r="K926" i="92"/>
  <c r="I926" i="92"/>
  <c r="K925" i="92"/>
  <c r="I925" i="92"/>
  <c r="K921" i="92"/>
  <c r="I921" i="92"/>
  <c r="K920" i="92"/>
  <c r="I920" i="92"/>
  <c r="K916" i="92"/>
  <c r="I916" i="92"/>
  <c r="K915" i="92"/>
  <c r="I915" i="92"/>
  <c r="K914" i="92"/>
  <c r="I914" i="92"/>
  <c r="K913" i="92"/>
  <c r="I913" i="92"/>
  <c r="K912" i="92"/>
  <c r="I912" i="92"/>
  <c r="K911" i="92"/>
  <c r="I911" i="92"/>
  <c r="K910" i="92"/>
  <c r="I910" i="92"/>
  <c r="K908" i="92"/>
  <c r="I908" i="92"/>
  <c r="K907" i="92"/>
  <c r="I907" i="92"/>
  <c r="K906" i="92"/>
  <c r="I906" i="92"/>
  <c r="K902" i="92"/>
  <c r="I902" i="92"/>
  <c r="K901" i="92"/>
  <c r="I901" i="92"/>
  <c r="K897" i="92"/>
  <c r="I897" i="92"/>
  <c r="K896" i="92"/>
  <c r="I896" i="92"/>
  <c r="K895" i="92"/>
  <c r="I895" i="92"/>
  <c r="K894" i="92"/>
  <c r="I894" i="92"/>
  <c r="K893" i="92"/>
  <c r="I893" i="92"/>
  <c r="U892" i="92"/>
  <c r="T892" i="92"/>
  <c r="K892" i="92"/>
  <c r="I892" i="92"/>
  <c r="K891" i="92"/>
  <c r="I891" i="92"/>
  <c r="K890" i="92"/>
  <c r="I890" i="92"/>
  <c r="K889" i="92"/>
  <c r="I889" i="92"/>
  <c r="K888" i="92"/>
  <c r="I888" i="92"/>
  <c r="K887" i="92"/>
  <c r="I887" i="92"/>
  <c r="K886" i="92"/>
  <c r="I886" i="92"/>
  <c r="K885" i="92"/>
  <c r="I885" i="92"/>
  <c r="K884" i="92"/>
  <c r="I884" i="92"/>
  <c r="K883" i="92"/>
  <c r="I883" i="92"/>
  <c r="K882" i="92"/>
  <c r="I882" i="92"/>
  <c r="K881" i="92"/>
  <c r="I881" i="92"/>
  <c r="K880" i="92"/>
  <c r="I880" i="92"/>
  <c r="K879" i="92"/>
  <c r="I879" i="92"/>
  <c r="K878" i="92"/>
  <c r="I878" i="92"/>
  <c r="K877" i="92"/>
  <c r="I877" i="92"/>
  <c r="K876" i="92"/>
  <c r="I876" i="92"/>
  <c r="K872" i="92"/>
  <c r="I872" i="92"/>
  <c r="K871" i="92"/>
  <c r="I871" i="92"/>
  <c r="K867" i="92"/>
  <c r="I867" i="92"/>
  <c r="K866" i="92"/>
  <c r="I866" i="92"/>
  <c r="K865" i="92"/>
  <c r="I865" i="92"/>
  <c r="K864" i="92"/>
  <c r="I864" i="92"/>
  <c r="K863" i="92"/>
  <c r="I863" i="92"/>
  <c r="K862" i="92"/>
  <c r="I862" i="92"/>
  <c r="K861" i="92"/>
  <c r="I861" i="92"/>
  <c r="K860" i="92"/>
  <c r="I860" i="92"/>
  <c r="K859" i="92"/>
  <c r="I859" i="92"/>
  <c r="K858" i="92"/>
  <c r="I858" i="92"/>
  <c r="K857" i="92"/>
  <c r="I857" i="92"/>
  <c r="K856" i="92"/>
  <c r="I856" i="92"/>
  <c r="K855" i="92"/>
  <c r="I855" i="92"/>
  <c r="K854" i="92"/>
  <c r="I854" i="92"/>
  <c r="K853" i="92"/>
  <c r="I853" i="92"/>
  <c r="K852" i="92"/>
  <c r="I852" i="92"/>
  <c r="K851" i="92"/>
  <c r="I851" i="92"/>
  <c r="K850" i="92"/>
  <c r="I850" i="92"/>
  <c r="K849" i="92"/>
  <c r="I849" i="92"/>
  <c r="K848" i="92"/>
  <c r="I848" i="92"/>
  <c r="K847" i="92"/>
  <c r="I847" i="92"/>
  <c r="K846" i="92"/>
  <c r="I846" i="92"/>
  <c r="K842" i="92"/>
  <c r="I842" i="92"/>
  <c r="K841" i="92"/>
  <c r="I841" i="92"/>
  <c r="K837" i="92"/>
  <c r="I837" i="92"/>
  <c r="K836" i="92"/>
  <c r="I836" i="92"/>
  <c r="K835" i="92"/>
  <c r="I835" i="92"/>
  <c r="K834" i="92"/>
  <c r="I834" i="92"/>
  <c r="K833" i="92"/>
  <c r="I833" i="92"/>
  <c r="K832" i="92"/>
  <c r="I832" i="92"/>
  <c r="K831" i="92"/>
  <c r="I831" i="92"/>
  <c r="K830" i="92"/>
  <c r="I830" i="92"/>
  <c r="K829" i="92"/>
  <c r="I829" i="92"/>
  <c r="K828" i="92"/>
  <c r="I828" i="92"/>
  <c r="K824" i="92"/>
  <c r="I824" i="92"/>
  <c r="K823" i="92"/>
  <c r="I823" i="92"/>
  <c r="K819" i="92"/>
  <c r="I819" i="92"/>
  <c r="K818" i="92"/>
  <c r="I818" i="92"/>
  <c r="K817" i="92"/>
  <c r="I817" i="92"/>
  <c r="K816" i="92"/>
  <c r="I816" i="92"/>
  <c r="K815" i="92"/>
  <c r="I815" i="92"/>
  <c r="K814" i="92"/>
  <c r="I814" i="92"/>
  <c r="K813" i="92"/>
  <c r="I813" i="92"/>
  <c r="K812" i="92"/>
  <c r="I812" i="92"/>
  <c r="K811" i="92"/>
  <c r="I811" i="92"/>
  <c r="K810" i="92"/>
  <c r="I810" i="92"/>
  <c r="K806" i="92"/>
  <c r="I806" i="92"/>
  <c r="K805" i="92"/>
  <c r="I805" i="92"/>
  <c r="K801" i="92"/>
  <c r="I801" i="92"/>
  <c r="K800" i="92"/>
  <c r="I800" i="92"/>
  <c r="K799" i="92"/>
  <c r="I799" i="92"/>
  <c r="K798" i="92"/>
  <c r="I798" i="92"/>
  <c r="K797" i="92"/>
  <c r="I797" i="92"/>
  <c r="K796" i="92"/>
  <c r="I796" i="92"/>
  <c r="K795" i="92"/>
  <c r="I795" i="92"/>
  <c r="K794" i="92"/>
  <c r="I794" i="92"/>
  <c r="K791" i="92"/>
  <c r="I791" i="92"/>
  <c r="K790" i="92"/>
  <c r="I790" i="92"/>
  <c r="K786" i="92"/>
  <c r="I786" i="92"/>
  <c r="K785" i="92"/>
  <c r="I785" i="92"/>
  <c r="K784" i="92"/>
  <c r="I784" i="92"/>
  <c r="K783" i="92"/>
  <c r="I783" i="92"/>
  <c r="K782" i="92"/>
  <c r="I782" i="92"/>
  <c r="K781" i="92"/>
  <c r="I781" i="92"/>
  <c r="K780" i="92"/>
  <c r="I780" i="92"/>
  <c r="K779" i="92"/>
  <c r="I779" i="92"/>
  <c r="K776" i="92"/>
  <c r="I776" i="92"/>
  <c r="K775" i="92"/>
  <c r="I775" i="92"/>
  <c r="K771" i="92"/>
  <c r="I771" i="92"/>
  <c r="K770" i="92"/>
  <c r="I770" i="92"/>
  <c r="K769" i="92"/>
  <c r="I769" i="92"/>
  <c r="K768" i="92"/>
  <c r="I768" i="92"/>
  <c r="K767" i="92"/>
  <c r="I767" i="92"/>
  <c r="K766" i="92"/>
  <c r="I766" i="92"/>
  <c r="K765" i="92"/>
  <c r="I765" i="92"/>
  <c r="K764" i="92"/>
  <c r="I764" i="92"/>
  <c r="K763" i="92"/>
  <c r="I763" i="92"/>
  <c r="K762" i="92"/>
  <c r="I762" i="92"/>
  <c r="K761" i="92"/>
  <c r="I761" i="92"/>
  <c r="K760" i="92"/>
  <c r="I760" i="92"/>
  <c r="K759" i="92"/>
  <c r="I759" i="92"/>
  <c r="K758" i="92"/>
  <c r="I758" i="92"/>
  <c r="K757" i="92"/>
  <c r="I757" i="92"/>
  <c r="K756" i="92"/>
  <c r="I756" i="92"/>
  <c r="K755" i="92"/>
  <c r="I755" i="92"/>
  <c r="K754" i="92"/>
  <c r="I754" i="92"/>
  <c r="K753" i="92"/>
  <c r="I753" i="92"/>
  <c r="K752" i="92"/>
  <c r="I752" i="92"/>
  <c r="K751" i="92"/>
  <c r="I751" i="92"/>
  <c r="K750" i="92"/>
  <c r="I750" i="92"/>
  <c r="K746" i="92"/>
  <c r="I746" i="92"/>
  <c r="K745" i="92"/>
  <c r="I745" i="92"/>
  <c r="K741" i="92"/>
  <c r="I741" i="92"/>
  <c r="K740" i="92"/>
  <c r="I740" i="92"/>
  <c r="K739" i="92"/>
  <c r="I739" i="92"/>
  <c r="K738" i="92"/>
  <c r="I738" i="92"/>
  <c r="K737" i="92"/>
  <c r="I737" i="92"/>
  <c r="K736" i="92"/>
  <c r="I736" i="92"/>
  <c r="K735" i="92"/>
  <c r="I735" i="92"/>
  <c r="K734" i="92"/>
  <c r="I734" i="92"/>
  <c r="K733" i="92"/>
  <c r="I733" i="92"/>
  <c r="K732" i="92"/>
  <c r="I732" i="92"/>
  <c r="K731" i="92"/>
  <c r="I731" i="92"/>
  <c r="K730" i="92"/>
  <c r="I730" i="92"/>
  <c r="K729" i="92"/>
  <c r="I729" i="92"/>
  <c r="K728" i="92"/>
  <c r="I728" i="92"/>
  <c r="K727" i="92"/>
  <c r="I727" i="92"/>
  <c r="K726" i="92"/>
  <c r="I726" i="92"/>
  <c r="K725" i="92"/>
  <c r="I725" i="92"/>
  <c r="K724" i="92"/>
  <c r="I724" i="92"/>
  <c r="K723" i="92"/>
  <c r="I723" i="92"/>
  <c r="K722" i="92"/>
  <c r="I722" i="92"/>
  <c r="K721" i="92"/>
  <c r="I721" i="92"/>
  <c r="K720" i="92"/>
  <c r="I720" i="92"/>
  <c r="K716" i="92"/>
  <c r="I716" i="92"/>
  <c r="K715" i="92"/>
  <c r="I715" i="92"/>
  <c r="K711" i="92"/>
  <c r="I711" i="92"/>
  <c r="K710" i="92"/>
  <c r="I710" i="92"/>
  <c r="K709" i="92"/>
  <c r="I709" i="92"/>
  <c r="K708" i="92"/>
  <c r="I708" i="92"/>
  <c r="K707" i="92"/>
  <c r="I707" i="92"/>
  <c r="K706" i="92"/>
  <c r="I706" i="92"/>
  <c r="K705" i="92"/>
  <c r="I705" i="92"/>
  <c r="K704" i="92"/>
  <c r="I704" i="92"/>
  <c r="K703" i="92"/>
  <c r="I703" i="92"/>
  <c r="K702" i="92"/>
  <c r="I702" i="92"/>
  <c r="K698" i="92"/>
  <c r="I698" i="92"/>
  <c r="K697" i="92"/>
  <c r="I697" i="92"/>
  <c r="K693" i="92"/>
  <c r="I693" i="92"/>
  <c r="K692" i="92"/>
  <c r="I692" i="92"/>
  <c r="K691" i="92"/>
  <c r="I691" i="92"/>
  <c r="K690" i="92"/>
  <c r="I690" i="92"/>
  <c r="K689" i="92"/>
  <c r="I689" i="92"/>
  <c r="K688" i="92"/>
  <c r="I688" i="92"/>
  <c r="K687" i="92"/>
  <c r="I687" i="92"/>
  <c r="K686" i="92"/>
  <c r="I686" i="92"/>
  <c r="K685" i="92"/>
  <c r="I685" i="92"/>
  <c r="K684" i="92"/>
  <c r="I684" i="92"/>
  <c r="K680" i="92"/>
  <c r="I680" i="92"/>
  <c r="K679" i="92"/>
  <c r="I679" i="92"/>
  <c r="K675" i="92"/>
  <c r="I675" i="92"/>
  <c r="K674" i="92"/>
  <c r="I674" i="92"/>
  <c r="K673" i="92"/>
  <c r="I673" i="92"/>
  <c r="K672" i="92"/>
  <c r="I672" i="92"/>
  <c r="K671" i="92"/>
  <c r="I671" i="92"/>
  <c r="K670" i="92"/>
  <c r="I670" i="92"/>
  <c r="K669" i="92"/>
  <c r="I669" i="92"/>
  <c r="K667" i="92"/>
  <c r="I667" i="92"/>
  <c r="K666" i="92"/>
  <c r="I666" i="92"/>
  <c r="K665" i="92"/>
  <c r="I665" i="92"/>
  <c r="K664" i="92"/>
  <c r="I664" i="92"/>
  <c r="K663" i="92"/>
  <c r="I663" i="92"/>
  <c r="K662" i="92"/>
  <c r="I662" i="92"/>
  <c r="K661" i="92"/>
  <c r="I661" i="92"/>
  <c r="K660" i="92"/>
  <c r="I660" i="92"/>
  <c r="K659" i="92"/>
  <c r="I659" i="92"/>
  <c r="K658" i="92"/>
  <c r="I658" i="92"/>
  <c r="K657" i="92"/>
  <c r="I657" i="92"/>
  <c r="K656" i="92"/>
  <c r="I656" i="92"/>
  <c r="K655" i="92"/>
  <c r="I655" i="92"/>
  <c r="K654" i="92"/>
  <c r="I654" i="92"/>
  <c r="K653" i="92"/>
  <c r="I653" i="92"/>
  <c r="K649" i="92"/>
  <c r="I649" i="92"/>
  <c r="K648" i="92"/>
  <c r="I648" i="92"/>
  <c r="K644" i="92"/>
  <c r="I644" i="92"/>
  <c r="K643" i="92"/>
  <c r="I643" i="92"/>
  <c r="K642" i="92"/>
  <c r="I642" i="92"/>
  <c r="K641" i="92"/>
  <c r="I641" i="92"/>
  <c r="K640" i="92"/>
  <c r="I640" i="92"/>
  <c r="K639" i="92"/>
  <c r="I639" i="92"/>
  <c r="K638" i="92"/>
  <c r="I638" i="92"/>
  <c r="K636" i="92"/>
  <c r="I636" i="92"/>
  <c r="K635" i="92"/>
  <c r="I635" i="92"/>
  <c r="K634" i="92"/>
  <c r="I634" i="92"/>
  <c r="K633" i="92"/>
  <c r="I633" i="92"/>
  <c r="K632" i="92"/>
  <c r="I632" i="92"/>
  <c r="K631" i="92"/>
  <c r="I631" i="92"/>
  <c r="K630" i="92"/>
  <c r="I630" i="92"/>
  <c r="K629" i="92"/>
  <c r="I629" i="92"/>
  <c r="K628" i="92"/>
  <c r="I628" i="92"/>
  <c r="K627" i="92"/>
  <c r="I627" i="92"/>
  <c r="K626" i="92"/>
  <c r="I626" i="92"/>
  <c r="K625" i="92"/>
  <c r="I625" i="92"/>
  <c r="K624" i="92"/>
  <c r="I624" i="92"/>
  <c r="K623" i="92"/>
  <c r="I623" i="92"/>
  <c r="K622" i="92"/>
  <c r="I622" i="92"/>
  <c r="K618" i="92"/>
  <c r="I618" i="92"/>
  <c r="K617" i="92"/>
  <c r="I617" i="92"/>
  <c r="K613" i="92"/>
  <c r="I613" i="92"/>
  <c r="K612" i="92"/>
  <c r="I612" i="92"/>
  <c r="K611" i="92"/>
  <c r="I611" i="92"/>
  <c r="K610" i="92"/>
  <c r="I610" i="92"/>
  <c r="K609" i="92"/>
  <c r="I609" i="92"/>
  <c r="K608" i="92"/>
  <c r="I608" i="92"/>
  <c r="K607" i="92"/>
  <c r="I607" i="92"/>
  <c r="K606" i="92"/>
  <c r="I606" i="92"/>
  <c r="K605" i="92"/>
  <c r="I605" i="92"/>
  <c r="K604" i="92"/>
  <c r="I604" i="92"/>
  <c r="K597" i="92"/>
  <c r="I597" i="92"/>
  <c r="K596" i="92"/>
  <c r="I596" i="92"/>
  <c r="K595" i="92"/>
  <c r="I595" i="92"/>
  <c r="K594" i="92"/>
  <c r="I594" i="92"/>
  <c r="K592" i="92"/>
  <c r="I592" i="92"/>
  <c r="K591" i="92"/>
  <c r="I591" i="92"/>
  <c r="K590" i="92"/>
  <c r="I590" i="92"/>
  <c r="K589" i="92"/>
  <c r="I589" i="92"/>
  <c r="K588" i="92"/>
  <c r="I588" i="92"/>
  <c r="K587" i="92"/>
  <c r="I587" i="92"/>
  <c r="K586" i="92"/>
  <c r="I586" i="92"/>
  <c r="K585" i="92"/>
  <c r="I585" i="92"/>
  <c r="K578" i="92"/>
  <c r="I578" i="92"/>
  <c r="K577" i="92"/>
  <c r="I577" i="92"/>
  <c r="K576" i="92"/>
  <c r="I576" i="92"/>
  <c r="K575" i="92"/>
  <c r="I575" i="92"/>
  <c r="K573" i="92"/>
  <c r="I573" i="92"/>
  <c r="K572" i="92"/>
  <c r="I572" i="92"/>
  <c r="K571" i="92"/>
  <c r="I571" i="92"/>
  <c r="K570" i="92"/>
  <c r="I570" i="92"/>
  <c r="K569" i="92"/>
  <c r="I569" i="92"/>
  <c r="K567" i="92"/>
  <c r="I567" i="92"/>
  <c r="K563" i="92"/>
  <c r="I563" i="92"/>
  <c r="K562" i="92"/>
  <c r="I562" i="92"/>
  <c r="K561" i="92"/>
  <c r="I561" i="92"/>
  <c r="K560" i="92"/>
  <c r="I560" i="92"/>
  <c r="K558" i="92"/>
  <c r="I558" i="92"/>
  <c r="K557" i="92"/>
  <c r="I557" i="92"/>
  <c r="K556" i="92"/>
  <c r="I556" i="92"/>
  <c r="K555" i="92"/>
  <c r="I555" i="92"/>
  <c r="K554" i="92"/>
  <c r="I554" i="92"/>
  <c r="K552" i="92"/>
  <c r="I552" i="92"/>
  <c r="K548" i="92"/>
  <c r="I548" i="92"/>
  <c r="K547" i="92"/>
  <c r="I547" i="92"/>
  <c r="K546" i="92"/>
  <c r="I546" i="92"/>
  <c r="K545" i="92"/>
  <c r="I545" i="92"/>
  <c r="K543" i="92"/>
  <c r="I543" i="92"/>
  <c r="K542" i="92"/>
  <c r="I542" i="92"/>
  <c r="K541" i="92"/>
  <c r="I541" i="92"/>
  <c r="K540" i="92"/>
  <c r="I540" i="92"/>
  <c r="K539" i="92"/>
  <c r="I539" i="92"/>
  <c r="K521" i="92"/>
  <c r="I521" i="92"/>
  <c r="K520" i="92"/>
  <c r="I520" i="92"/>
  <c r="K519" i="92"/>
  <c r="I519" i="92"/>
  <c r="K518" i="92"/>
  <c r="I518" i="92"/>
  <c r="K509" i="92"/>
  <c r="I509" i="92"/>
  <c r="K508" i="92"/>
  <c r="I508" i="92"/>
  <c r="K507" i="92"/>
  <c r="I507" i="92"/>
  <c r="K506" i="92"/>
  <c r="I506" i="92"/>
  <c r="K497" i="92"/>
  <c r="I497" i="92"/>
  <c r="K496" i="92"/>
  <c r="I496" i="92"/>
  <c r="K495" i="92"/>
  <c r="I495" i="92"/>
  <c r="K494" i="92"/>
  <c r="I494" i="92"/>
  <c r="K485" i="92"/>
  <c r="I485" i="92"/>
  <c r="K484" i="92"/>
  <c r="I484" i="92"/>
  <c r="K483" i="92"/>
  <c r="I483" i="92"/>
  <c r="K482" i="92"/>
  <c r="I482" i="92"/>
  <c r="K473" i="92"/>
  <c r="I473" i="92"/>
  <c r="K472" i="92"/>
  <c r="I472" i="92"/>
  <c r="K471" i="92"/>
  <c r="I471" i="92"/>
  <c r="K470" i="92"/>
  <c r="I470" i="92"/>
  <c r="K461" i="92"/>
  <c r="I461" i="92"/>
  <c r="K460" i="92"/>
  <c r="I460" i="92"/>
  <c r="K459" i="92"/>
  <c r="I459" i="92"/>
  <c r="K458" i="92"/>
  <c r="I458" i="92"/>
  <c r="K449" i="92"/>
  <c r="I449" i="92"/>
  <c r="K448" i="92"/>
  <c r="I448" i="92"/>
  <c r="K447" i="92"/>
  <c r="I447" i="92"/>
  <c r="K446" i="92"/>
  <c r="I446" i="92"/>
  <c r="K437" i="92"/>
  <c r="I437" i="92"/>
  <c r="K436" i="92"/>
  <c r="I436" i="92"/>
  <c r="K435" i="92"/>
  <c r="I435" i="92"/>
  <c r="K434" i="92"/>
  <c r="I434" i="92"/>
  <c r="K425" i="92"/>
  <c r="I425" i="92"/>
  <c r="K424" i="92"/>
  <c r="I424" i="92"/>
  <c r="K423" i="92"/>
  <c r="I423" i="92"/>
  <c r="K422" i="92"/>
  <c r="I422" i="92"/>
  <c r="K413" i="92"/>
  <c r="I413" i="92"/>
  <c r="K412" i="92"/>
  <c r="I412" i="92"/>
  <c r="K411" i="92"/>
  <c r="I411" i="92"/>
  <c r="K410" i="92"/>
  <c r="I410" i="92"/>
  <c r="K401" i="92"/>
  <c r="I401" i="92"/>
  <c r="K400" i="92"/>
  <c r="I400" i="92"/>
  <c r="K399" i="92"/>
  <c r="I399" i="92"/>
  <c r="K398" i="92"/>
  <c r="I398" i="92"/>
  <c r="K389" i="92"/>
  <c r="I389" i="92"/>
  <c r="K388" i="92"/>
  <c r="I388" i="92"/>
  <c r="K387" i="92"/>
  <c r="I387" i="92"/>
  <c r="K386" i="92"/>
  <c r="I386" i="92"/>
  <c r="K377" i="92"/>
  <c r="I377" i="92"/>
  <c r="K376" i="92"/>
  <c r="I376" i="92"/>
  <c r="K375" i="92"/>
  <c r="I375" i="92"/>
  <c r="K374" i="92"/>
  <c r="I374" i="92"/>
  <c r="K365" i="92"/>
  <c r="I365" i="92"/>
  <c r="K364" i="92"/>
  <c r="I364" i="92"/>
  <c r="K363" i="92"/>
  <c r="I363" i="92"/>
  <c r="K362" i="92"/>
  <c r="I362" i="92"/>
  <c r="K353" i="92"/>
  <c r="I353" i="92"/>
  <c r="K352" i="92"/>
  <c r="I352" i="92"/>
  <c r="K351" i="92"/>
  <c r="I351" i="92"/>
  <c r="K350" i="92"/>
  <c r="I350" i="92"/>
  <c r="K341" i="92"/>
  <c r="I341" i="92"/>
  <c r="K340" i="92"/>
  <c r="I340" i="92"/>
  <c r="K339" i="92"/>
  <c r="I339" i="92"/>
  <c r="K338" i="92"/>
  <c r="I338" i="92"/>
  <c r="K329" i="92"/>
  <c r="I329" i="92"/>
  <c r="K328" i="92"/>
  <c r="I328" i="92"/>
  <c r="K327" i="92"/>
  <c r="I327" i="92"/>
  <c r="K326" i="92"/>
  <c r="I326" i="92"/>
  <c r="K317" i="92"/>
  <c r="I317" i="92"/>
  <c r="K316" i="92"/>
  <c r="I316" i="92"/>
  <c r="K315" i="92"/>
  <c r="I315" i="92"/>
  <c r="K314" i="92"/>
  <c r="I314" i="92"/>
  <c r="K305" i="92"/>
  <c r="I305" i="92"/>
  <c r="K304" i="92"/>
  <c r="I304" i="92"/>
  <c r="K303" i="92"/>
  <c r="I303" i="92"/>
  <c r="K302" i="92"/>
  <c r="I302" i="92"/>
  <c r="K293" i="92"/>
  <c r="I293" i="92"/>
  <c r="K292" i="92"/>
  <c r="I292" i="92"/>
  <c r="K291" i="92"/>
  <c r="I291" i="92"/>
  <c r="K290" i="92"/>
  <c r="I290" i="92"/>
  <c r="K281" i="92"/>
  <c r="I281" i="92"/>
  <c r="K280" i="92"/>
  <c r="I280" i="92"/>
  <c r="K279" i="92"/>
  <c r="I279" i="92"/>
  <c r="K278" i="92"/>
  <c r="I278" i="92"/>
  <c r="C277" i="92"/>
  <c r="B277" i="92"/>
  <c r="K272" i="92"/>
  <c r="I272" i="92"/>
  <c r="K271" i="92"/>
  <c r="I271" i="92"/>
  <c r="K270" i="92"/>
  <c r="I270" i="92"/>
  <c r="K266" i="92"/>
  <c r="I266" i="92"/>
  <c r="K261" i="92"/>
  <c r="I261" i="92"/>
  <c r="K260" i="92"/>
  <c r="I260" i="92"/>
  <c r="K259" i="92"/>
  <c r="I259" i="92"/>
  <c r="K255" i="92"/>
  <c r="I255" i="92"/>
  <c r="K250" i="92"/>
  <c r="I250" i="92"/>
  <c r="K249" i="92"/>
  <c r="I249" i="92"/>
  <c r="K248" i="92"/>
  <c r="I248" i="92"/>
  <c r="K244" i="92"/>
  <c r="I244" i="92"/>
  <c r="K239" i="92"/>
  <c r="I239" i="92"/>
  <c r="K238" i="92"/>
  <c r="I238" i="92"/>
  <c r="K237" i="92"/>
  <c r="I237" i="92"/>
  <c r="K233" i="92"/>
  <c r="I233" i="92"/>
  <c r="K228" i="92"/>
  <c r="I228" i="92"/>
  <c r="K227" i="92"/>
  <c r="I227" i="92"/>
  <c r="K226" i="92"/>
  <c r="I226" i="92"/>
  <c r="K222" i="92"/>
  <c r="I222" i="92"/>
  <c r="K217" i="92"/>
  <c r="I217" i="92"/>
  <c r="K216" i="92"/>
  <c r="I216" i="92"/>
  <c r="K215" i="92"/>
  <c r="I215" i="92"/>
  <c r="K211" i="92"/>
  <c r="I211" i="92"/>
  <c r="K206" i="92"/>
  <c r="I206" i="92"/>
  <c r="K205" i="92"/>
  <c r="I205" i="92"/>
  <c r="K204" i="92"/>
  <c r="I204" i="92"/>
  <c r="K200" i="92"/>
  <c r="I200" i="92"/>
  <c r="K195" i="92"/>
  <c r="I195" i="92"/>
  <c r="K194" i="92"/>
  <c r="I194" i="92"/>
  <c r="K193" i="92"/>
  <c r="I193" i="92"/>
  <c r="K189" i="92"/>
  <c r="I189" i="92"/>
  <c r="K184" i="92"/>
  <c r="I184" i="92"/>
  <c r="K183" i="92"/>
  <c r="I183" i="92"/>
  <c r="K182" i="92"/>
  <c r="I182" i="92"/>
  <c r="K178" i="92"/>
  <c r="I178" i="92"/>
  <c r="K173" i="92"/>
  <c r="I173" i="92"/>
  <c r="K172" i="92"/>
  <c r="I172" i="92"/>
  <c r="K171" i="92"/>
  <c r="I171" i="92"/>
  <c r="K167" i="92"/>
  <c r="I167" i="92"/>
  <c r="C166" i="92"/>
  <c r="B166" i="92"/>
  <c r="C165" i="92"/>
  <c r="B165" i="92"/>
  <c r="C164" i="92"/>
  <c r="B164" i="92"/>
  <c r="C163" i="92"/>
  <c r="B163" i="92"/>
  <c r="C162" i="92"/>
  <c r="B162" i="92"/>
  <c r="C161" i="92"/>
  <c r="B161" i="92"/>
  <c r="C160" i="92"/>
  <c r="B160" i="92"/>
  <c r="C159" i="92"/>
  <c r="B159" i="92"/>
  <c r="C158" i="92"/>
  <c r="B158" i="92"/>
  <c r="J142" i="92"/>
  <c r="I142" i="92" s="1"/>
  <c r="K141" i="92"/>
  <c r="I141" i="92"/>
  <c r="K140" i="92"/>
  <c r="I140" i="92"/>
  <c r="K139" i="92"/>
  <c r="I139" i="92"/>
  <c r="K138" i="92"/>
  <c r="I138" i="92"/>
  <c r="K137" i="92"/>
  <c r="I137" i="92"/>
  <c r="K136" i="92"/>
  <c r="I136" i="92"/>
  <c r="J132" i="92"/>
  <c r="K132" i="92" s="1"/>
  <c r="K131" i="92"/>
  <c r="I131" i="92"/>
  <c r="K130" i="92"/>
  <c r="I130" i="92"/>
  <c r="K129" i="92"/>
  <c r="I129" i="92"/>
  <c r="K128" i="92"/>
  <c r="I128" i="92"/>
  <c r="K127" i="92"/>
  <c r="I127" i="92"/>
  <c r="K126" i="92"/>
  <c r="I126" i="92"/>
  <c r="J122" i="92"/>
  <c r="K122" i="92" s="1"/>
  <c r="K121" i="92"/>
  <c r="I121" i="92"/>
  <c r="K120" i="92"/>
  <c r="I120" i="92"/>
  <c r="K119" i="92"/>
  <c r="I119" i="92"/>
  <c r="K118" i="92"/>
  <c r="I118" i="92"/>
  <c r="K117" i="92"/>
  <c r="I117" i="92"/>
  <c r="K116" i="92"/>
  <c r="I116" i="92"/>
  <c r="J112" i="92"/>
  <c r="K112" i="92" s="1"/>
  <c r="K111" i="92"/>
  <c r="I111" i="92"/>
  <c r="K110" i="92"/>
  <c r="I110" i="92"/>
  <c r="K109" i="92"/>
  <c r="I109" i="92"/>
  <c r="K108" i="92"/>
  <c r="I108" i="92"/>
  <c r="K107" i="92"/>
  <c r="I107" i="92"/>
  <c r="K106" i="92"/>
  <c r="I106" i="92"/>
  <c r="J102" i="92"/>
  <c r="I102" i="92" s="1"/>
  <c r="K101" i="92"/>
  <c r="I101" i="92"/>
  <c r="K100" i="92"/>
  <c r="I100" i="92"/>
  <c r="K99" i="92"/>
  <c r="I99" i="92"/>
  <c r="K98" i="92"/>
  <c r="I98" i="92"/>
  <c r="K97" i="92"/>
  <c r="I97" i="92"/>
  <c r="K96" i="92"/>
  <c r="I96" i="92"/>
  <c r="J92" i="92"/>
  <c r="K92" i="92" s="1"/>
  <c r="K91" i="92"/>
  <c r="I91" i="92"/>
  <c r="K90" i="92"/>
  <c r="I90" i="92"/>
  <c r="K89" i="92"/>
  <c r="I89" i="92"/>
  <c r="K88" i="92"/>
  <c r="I88" i="92"/>
  <c r="K87" i="92"/>
  <c r="I87" i="92"/>
  <c r="K86" i="92"/>
  <c r="I86" i="92"/>
  <c r="J82" i="92"/>
  <c r="K82" i="92" s="1"/>
  <c r="K81" i="92"/>
  <c r="I81" i="92"/>
  <c r="K80" i="92"/>
  <c r="I80" i="92"/>
  <c r="K79" i="92"/>
  <c r="I79" i="92"/>
  <c r="K78" i="92"/>
  <c r="I78" i="92"/>
  <c r="K77" i="92"/>
  <c r="I77" i="92"/>
  <c r="K76" i="92"/>
  <c r="I76" i="92"/>
  <c r="J72" i="92"/>
  <c r="K72" i="92" s="1"/>
  <c r="K71" i="92"/>
  <c r="I71" i="92"/>
  <c r="K70" i="92"/>
  <c r="I70" i="92"/>
  <c r="K69" i="92"/>
  <c r="I69" i="92"/>
  <c r="K68" i="92"/>
  <c r="I68" i="92"/>
  <c r="K67" i="92"/>
  <c r="I67" i="92"/>
  <c r="K66" i="92"/>
  <c r="I66" i="92"/>
  <c r="J62" i="92"/>
  <c r="I62" i="92" s="1"/>
  <c r="K61" i="92"/>
  <c r="I61" i="92"/>
  <c r="K60" i="92"/>
  <c r="I60" i="92"/>
  <c r="K59" i="92"/>
  <c r="I59" i="92"/>
  <c r="K58" i="92"/>
  <c r="I58" i="92"/>
  <c r="K57" i="92"/>
  <c r="I57" i="92"/>
  <c r="K56" i="92"/>
  <c r="I56" i="92"/>
  <c r="J52" i="92"/>
  <c r="K52" i="92" s="1"/>
  <c r="K51" i="92"/>
  <c r="I51" i="92"/>
  <c r="K50" i="92"/>
  <c r="I50" i="92"/>
  <c r="K49" i="92"/>
  <c r="I49" i="92"/>
  <c r="K48" i="92"/>
  <c r="I48" i="92"/>
  <c r="K47" i="92"/>
  <c r="I47" i="92"/>
  <c r="K46" i="92"/>
  <c r="I46" i="92"/>
  <c r="C42" i="92"/>
  <c r="B42" i="92"/>
  <c r="C41" i="92"/>
  <c r="B41" i="92"/>
  <c r="C40" i="92"/>
  <c r="B40" i="92"/>
  <c r="C39" i="92"/>
  <c r="B39" i="92"/>
  <c r="C38" i="92"/>
  <c r="B38" i="92"/>
  <c r="J33" i="92"/>
  <c r="K33" i="92" s="1"/>
  <c r="J32" i="92"/>
  <c r="I32" i="92" s="1"/>
  <c r="C31" i="92"/>
  <c r="B31" i="92"/>
  <c r="J27" i="92"/>
  <c r="I27" i="92" s="1"/>
  <c r="J20" i="92"/>
  <c r="K20" i="92" s="1"/>
  <c r="J19" i="92"/>
  <c r="I19" i="92" s="1"/>
  <c r="J17" i="92"/>
  <c r="K17" i="92" s="1"/>
  <c r="C17" i="92"/>
  <c r="B17" i="92"/>
  <c r="K16" i="92"/>
  <c r="I16" i="92"/>
  <c r="J15" i="92"/>
  <c r="I15" i="92" s="1"/>
  <c r="J14" i="92"/>
  <c r="I14" i="92" s="1"/>
  <c r="J13" i="92"/>
  <c r="I13" i="92" s="1"/>
  <c r="C13" i="92"/>
  <c r="B13" i="92"/>
  <c r="K11" i="92"/>
  <c r="I11" i="92"/>
  <c r="K10" i="92"/>
  <c r="I10" i="92"/>
  <c r="K9" i="92"/>
  <c r="I9" i="92"/>
  <c r="K8" i="92"/>
  <c r="I8" i="92"/>
  <c r="K5" i="92"/>
  <c r="I5" i="92"/>
  <c r="J4" i="92"/>
  <c r="K4" i="92" s="1"/>
  <c r="Q3" i="92"/>
  <c r="K3" i="92"/>
  <c r="I3" i="92"/>
  <c r="Q2" i="92"/>
  <c r="Q1" i="92"/>
  <c r="J1285" i="92" l="1"/>
  <c r="K1285" i="92" s="1"/>
  <c r="J1284" i="92"/>
  <c r="K1284" i="92" s="1"/>
  <c r="J1283" i="92"/>
  <c r="K1283" i="92" s="1"/>
  <c r="I4" i="92"/>
  <c r="I20" i="92"/>
  <c r="K32" i="92"/>
  <c r="I52" i="92"/>
  <c r="I72" i="92"/>
  <c r="I92" i="92"/>
  <c r="I112" i="92"/>
  <c r="I132" i="92"/>
  <c r="K142" i="92"/>
  <c r="K1220" i="92"/>
  <c r="K13" i="92"/>
  <c r="K15" i="92"/>
  <c r="K62" i="92"/>
  <c r="I82" i="92"/>
  <c r="K102" i="92"/>
  <c r="I122" i="92"/>
  <c r="J1552" i="92"/>
  <c r="J1550" i="92"/>
  <c r="J1548" i="92"/>
  <c r="J1544" i="92"/>
  <c r="J1542" i="92"/>
  <c r="J1538" i="92"/>
  <c r="J1536" i="92"/>
  <c r="J1530" i="92"/>
  <c r="J1529" i="92"/>
  <c r="J1525" i="92"/>
  <c r="J1521" i="92"/>
  <c r="J1515" i="92"/>
  <c r="J1513" i="92"/>
  <c r="J1493" i="92"/>
  <c r="J1491" i="92"/>
  <c r="J1479" i="92"/>
  <c r="J1475" i="92"/>
  <c r="J1471" i="92"/>
  <c r="J1469" i="92"/>
  <c r="J1467" i="92"/>
  <c r="J1465" i="92"/>
  <c r="J1463" i="92"/>
  <c r="J1461" i="92"/>
  <c r="J1459" i="92"/>
  <c r="J1457" i="92"/>
  <c r="J1455" i="92"/>
  <c r="J1453" i="92"/>
  <c r="J1451" i="92"/>
  <c r="J1449" i="92"/>
  <c r="J1447" i="92"/>
  <c r="J1445" i="92"/>
  <c r="J1443" i="92"/>
  <c r="J1441" i="92"/>
  <c r="J1439" i="92"/>
  <c r="J1547" i="92"/>
  <c r="J1543" i="92"/>
  <c r="J1539" i="92"/>
  <c r="J1537" i="92"/>
  <c r="J1531" i="92"/>
  <c r="J1526" i="92"/>
  <c r="J1522" i="92"/>
  <c r="J1518" i="92"/>
  <c r="J1512" i="92"/>
  <c r="J1510" i="92"/>
  <c r="J1490" i="92"/>
  <c r="J1488" i="92"/>
  <c r="J1486" i="92"/>
  <c r="J1484" i="92"/>
  <c r="J1482" i="92"/>
  <c r="J1480" i="92"/>
  <c r="J1476" i="92"/>
  <c r="J1553" i="92"/>
  <c r="J1551" i="92"/>
  <c r="J1549" i="92"/>
  <c r="J1546" i="92"/>
  <c r="J1540" i="92"/>
  <c r="J1534" i="92"/>
  <c r="J1532" i="92"/>
  <c r="J1527" i="92"/>
  <c r="J1523" i="92"/>
  <c r="J1519" i="92"/>
  <c r="J1517" i="92"/>
  <c r="J1511" i="92"/>
  <c r="J1494" i="92"/>
  <c r="J1492" i="92"/>
  <c r="J1477" i="92"/>
  <c r="J1473" i="92"/>
  <c r="J1472" i="92"/>
  <c r="J1470" i="92"/>
  <c r="J1468" i="92"/>
  <c r="J1466" i="92"/>
  <c r="J1464" i="92"/>
  <c r="J1462" i="92"/>
  <c r="J1460" i="92"/>
  <c r="J1458" i="92"/>
  <c r="J1456" i="92"/>
  <c r="J1454" i="92"/>
  <c r="J1452" i="92"/>
  <c r="J1450" i="92"/>
  <c r="J1448" i="92"/>
  <c r="J1446" i="92"/>
  <c r="J1444" i="92"/>
  <c r="J1442" i="92"/>
  <c r="J1440" i="92"/>
  <c r="J1541" i="92"/>
  <c r="J1516" i="92"/>
  <c r="J1514" i="92"/>
  <c r="J1487" i="92"/>
  <c r="J1438" i="92"/>
  <c r="J1436" i="92"/>
  <c r="J1434" i="92"/>
  <c r="J1432" i="92"/>
  <c r="J1430" i="92"/>
  <c r="J1428" i="92"/>
  <c r="J1426" i="92"/>
  <c r="J1424" i="92"/>
  <c r="J1422" i="92"/>
  <c r="J1420" i="92"/>
  <c r="J1418" i="92"/>
  <c r="J1416" i="92"/>
  <c r="J1414" i="92"/>
  <c r="J1412" i="92"/>
  <c r="J1408" i="92"/>
  <c r="J1406" i="92"/>
  <c r="J1400" i="92"/>
  <c r="J1396" i="92"/>
  <c r="J1394" i="92"/>
  <c r="J1390" i="92"/>
  <c r="J1386" i="92"/>
  <c r="J1382" i="92"/>
  <c r="J1378" i="92"/>
  <c r="J1545" i="92"/>
  <c r="J1520" i="92"/>
  <c r="J1489" i="92"/>
  <c r="J1481" i="92"/>
  <c r="J1474" i="92"/>
  <c r="J1409" i="92"/>
  <c r="J1407" i="92"/>
  <c r="J1403" i="92"/>
  <c r="J1399" i="92"/>
  <c r="J1395" i="92"/>
  <c r="J1393" i="92"/>
  <c r="J1389" i="92"/>
  <c r="J1385" i="92"/>
  <c r="J1383" i="92"/>
  <c r="J1379" i="92"/>
  <c r="J1535" i="92"/>
  <c r="J1533" i="92"/>
  <c r="J1524" i="92"/>
  <c r="J1483" i="92"/>
  <c r="J1478" i="92"/>
  <c r="J1437" i="92"/>
  <c r="J1435" i="92"/>
  <c r="J1433" i="92"/>
  <c r="J1431" i="92"/>
  <c r="J1429" i="92"/>
  <c r="J1427" i="92"/>
  <c r="J1425" i="92"/>
  <c r="J1423" i="92"/>
  <c r="J1421" i="92"/>
  <c r="J1419" i="92"/>
  <c r="J1417" i="92"/>
  <c r="J1415" i="92"/>
  <c r="J1413" i="92"/>
  <c r="J1410" i="92"/>
  <c r="J1404" i="92"/>
  <c r="J1402" i="92"/>
  <c r="J1398" i="92"/>
  <c r="J1392" i="92"/>
  <c r="J1388" i="92"/>
  <c r="J1384" i="92"/>
  <c r="J1380" i="92"/>
  <c r="J1405" i="92"/>
  <c r="J1391" i="92"/>
  <c r="J1377" i="92"/>
  <c r="J1374" i="92"/>
  <c r="J1370" i="92"/>
  <c r="J1366" i="92"/>
  <c r="J1362" i="92"/>
  <c r="J1355" i="92"/>
  <c r="J1353" i="92"/>
  <c r="J1349" i="92"/>
  <c r="J1345" i="92"/>
  <c r="J1341" i="92"/>
  <c r="J1340" i="92"/>
  <c r="J1336" i="92"/>
  <c r="J1332" i="92"/>
  <c r="J1328" i="92"/>
  <c r="J1324" i="92"/>
  <c r="J1321" i="92"/>
  <c r="J1315" i="92"/>
  <c r="J1311" i="92"/>
  <c r="J1307" i="92"/>
  <c r="J1302" i="92"/>
  <c r="J1298" i="92"/>
  <c r="J1294" i="92"/>
  <c r="J1290" i="92"/>
  <c r="J1280" i="92"/>
  <c r="J1276" i="92"/>
  <c r="J1272" i="92"/>
  <c r="J1268" i="92"/>
  <c r="J1264" i="92"/>
  <c r="J1260" i="92"/>
  <c r="J1256" i="92"/>
  <c r="J1252" i="92"/>
  <c r="J1248" i="92"/>
  <c r="J1244" i="92"/>
  <c r="J1240" i="92"/>
  <c r="J1236" i="92"/>
  <c r="J1232" i="92"/>
  <c r="J1228" i="92"/>
  <c r="J1224" i="92"/>
  <c r="J1195" i="92"/>
  <c r="J1170" i="92"/>
  <c r="J1144" i="92"/>
  <c r="J1381" i="92"/>
  <c r="J1375" i="92"/>
  <c r="J1371" i="92"/>
  <c r="J1367" i="92"/>
  <c r="J1363" i="92"/>
  <c r="J1359" i="92"/>
  <c r="J1358" i="92"/>
  <c r="J1354" i="92"/>
  <c r="J1352" i="92"/>
  <c r="J1346" i="92"/>
  <c r="J1342" i="92"/>
  <c r="J1337" i="92"/>
  <c r="J1333" i="92"/>
  <c r="J1329" i="92"/>
  <c r="J1325" i="92"/>
  <c r="J1320" i="92"/>
  <c r="J1314" i="92"/>
  <c r="J1312" i="92"/>
  <c r="J1308" i="92"/>
  <c r="J1301" i="92"/>
  <c r="J1297" i="92"/>
  <c r="J1291" i="92"/>
  <c r="J1287" i="92"/>
  <c r="J1286" i="92"/>
  <c r="J1279" i="92"/>
  <c r="J1275" i="92"/>
  <c r="J1271" i="92"/>
  <c r="J1267" i="92"/>
  <c r="J1263" i="92"/>
  <c r="J1259" i="92"/>
  <c r="J1255" i="92"/>
  <c r="J1251" i="92"/>
  <c r="J1247" i="92"/>
  <c r="J1243" i="92"/>
  <c r="J1239" i="92"/>
  <c r="J1235" i="92"/>
  <c r="J1231" i="92"/>
  <c r="J1227" i="92"/>
  <c r="J1223" i="92"/>
  <c r="J1218" i="92"/>
  <c r="J1528" i="92"/>
  <c r="J1485" i="92"/>
  <c r="J1411" i="92"/>
  <c r="J1397" i="92"/>
  <c r="J1401" i="92"/>
  <c r="J1369" i="92"/>
  <c r="J1361" i="92"/>
  <c r="J1357" i="92"/>
  <c r="J1348" i="92"/>
  <c r="J1335" i="92"/>
  <c r="J1327" i="92"/>
  <c r="J1317" i="92"/>
  <c r="J1309" i="92"/>
  <c r="J1299" i="92"/>
  <c r="J1292" i="92"/>
  <c r="J1281" i="92"/>
  <c r="J1273" i="92"/>
  <c r="J1265" i="92"/>
  <c r="J1257" i="92"/>
  <c r="J1249" i="92"/>
  <c r="J1241" i="92"/>
  <c r="J1233" i="92"/>
  <c r="J1225" i="92"/>
  <c r="J1140" i="92"/>
  <c r="J1115" i="92"/>
  <c r="J1045" i="92"/>
  <c r="J995" i="92"/>
  <c r="J979" i="92"/>
  <c r="J961" i="92"/>
  <c r="J955" i="92"/>
  <c r="J943" i="92"/>
  <c r="J937" i="92"/>
  <c r="J928" i="92"/>
  <c r="J919" i="92"/>
  <c r="J903" i="92"/>
  <c r="J1387" i="92"/>
  <c r="J1368" i="92"/>
  <c r="J1360" i="92"/>
  <c r="J1356" i="92"/>
  <c r="J1347" i="92"/>
  <c r="J1334" i="92"/>
  <c r="J1326" i="92"/>
  <c r="J1322" i="92"/>
  <c r="J1316" i="92"/>
  <c r="J1306" i="92"/>
  <c r="J1304" i="92"/>
  <c r="J1296" i="92"/>
  <c r="J1289" i="92"/>
  <c r="J1282" i="92"/>
  <c r="J1274" i="92"/>
  <c r="J1266" i="92"/>
  <c r="J1258" i="92"/>
  <c r="J1250" i="92"/>
  <c r="J1242" i="92"/>
  <c r="J1234" i="92"/>
  <c r="J1226" i="92"/>
  <c r="J1139" i="92"/>
  <c r="J1114" i="92"/>
  <c r="J1373" i="92"/>
  <c r="J1365" i="92"/>
  <c r="J1351" i="92"/>
  <c r="J1344" i="92"/>
  <c r="J1339" i="92"/>
  <c r="J1331" i="92"/>
  <c r="J1323" i="92"/>
  <c r="J1319" i="92"/>
  <c r="J1313" i="92"/>
  <c r="J1305" i="92"/>
  <c r="J1303" i="92"/>
  <c r="J1295" i="92"/>
  <c r="J1288" i="92"/>
  <c r="J1277" i="92"/>
  <c r="J1269" i="92"/>
  <c r="J1261" i="92"/>
  <c r="J1253" i="92"/>
  <c r="J1245" i="92"/>
  <c r="J1237" i="92"/>
  <c r="J1330" i="92"/>
  <c r="J1293" i="92"/>
  <c r="J1278" i="92"/>
  <c r="J1246" i="92"/>
  <c r="J1222" i="92"/>
  <c r="J1194" i="92"/>
  <c r="J1111" i="92"/>
  <c r="J1044" i="92"/>
  <c r="J1043" i="92"/>
  <c r="J1024" i="92"/>
  <c r="J1023" i="92"/>
  <c r="J1376" i="92"/>
  <c r="J1364" i="92"/>
  <c r="J1338" i="92"/>
  <c r="J1310" i="92"/>
  <c r="J1300" i="92"/>
  <c r="J1270" i="92"/>
  <c r="J1238" i="92"/>
  <c r="J1221" i="92"/>
  <c r="J1101" i="92"/>
  <c r="J1049" i="92"/>
  <c r="J1048" i="92"/>
  <c r="J1372" i="92"/>
  <c r="J1350" i="92"/>
  <c r="J1318" i="92"/>
  <c r="J1262" i="92"/>
  <c r="J1230" i="92"/>
  <c r="J1169" i="92"/>
  <c r="J1102" i="92"/>
  <c r="J1091" i="92"/>
  <c r="J1076" i="92"/>
  <c r="J1075" i="92"/>
  <c r="J1059" i="92"/>
  <c r="J1058" i="92"/>
  <c r="J1000" i="92"/>
  <c r="J999" i="92"/>
  <c r="J998" i="92"/>
  <c r="J1143" i="92"/>
  <c r="J942" i="92"/>
  <c r="J941" i="92"/>
  <c r="J918" i="92"/>
  <c r="J917" i="92"/>
  <c r="J873" i="92"/>
  <c r="J843" i="92"/>
  <c r="J825" i="92"/>
  <c r="J807" i="92"/>
  <c r="J789" i="92"/>
  <c r="J773" i="92"/>
  <c r="J1035" i="92"/>
  <c r="J1013" i="92"/>
  <c r="J993" i="92"/>
  <c r="J976" i="92"/>
  <c r="J975" i="92"/>
  <c r="J974" i="92"/>
  <c r="J966" i="92"/>
  <c r="J960" i="92"/>
  <c r="J1254" i="92"/>
  <c r="J1229" i="92"/>
  <c r="J1110" i="92"/>
  <c r="J1092" i="92"/>
  <c r="J1034" i="92"/>
  <c r="J994" i="92"/>
  <c r="J980" i="92"/>
  <c r="J962" i="92"/>
  <c r="J938" i="92"/>
  <c r="J909" i="92"/>
  <c r="J900" i="92"/>
  <c r="J899" i="92"/>
  <c r="J898" i="92"/>
  <c r="J875" i="92"/>
  <c r="J869" i="92"/>
  <c r="J845" i="92"/>
  <c r="J839" i="92"/>
  <c r="J827" i="92"/>
  <c r="J821" i="92"/>
  <c r="J809" i="92"/>
  <c r="J803" i="92"/>
  <c r="J793" i="92"/>
  <c r="J787" i="92"/>
  <c r="J777" i="92"/>
  <c r="J1012" i="92"/>
  <c r="J870" i="92"/>
  <c r="J808" i="92"/>
  <c r="J802" i="92"/>
  <c r="J774" i="92"/>
  <c r="J747" i="92"/>
  <c r="J717" i="92"/>
  <c r="J699" i="92"/>
  <c r="J681" i="92"/>
  <c r="J651" i="92"/>
  <c r="J645" i="92"/>
  <c r="J621" i="92"/>
  <c r="J615" i="92"/>
  <c r="J603" i="92"/>
  <c r="J599" i="92"/>
  <c r="J581" i="92"/>
  <c r="J565" i="92"/>
  <c r="J549" i="92"/>
  <c r="J538" i="92"/>
  <c r="J534" i="92"/>
  <c r="J530" i="92"/>
  <c r="J526" i="92"/>
  <c r="J522" i="92"/>
  <c r="J514" i="92"/>
  <c r="J510" i="92"/>
  <c r="J502" i="92"/>
  <c r="J498" i="92"/>
  <c r="J490" i="92"/>
  <c r="J486" i="92"/>
  <c r="J478" i="92"/>
  <c r="J474" i="92"/>
  <c r="J466" i="92"/>
  <c r="J462" i="92"/>
  <c r="J454" i="92"/>
  <c r="J450" i="92"/>
  <c r="J442" i="92"/>
  <c r="J438" i="92"/>
  <c r="J430" i="92"/>
  <c r="J426" i="92"/>
  <c r="J418" i="92"/>
  <c r="J414" i="92"/>
  <c r="J406" i="92"/>
  <c r="J402" i="92"/>
  <c r="J394" i="92"/>
  <c r="J390" i="92"/>
  <c r="J1343" i="92"/>
  <c r="J985" i="92"/>
  <c r="J981" i="92"/>
  <c r="J957" i="92"/>
  <c r="J947" i="92"/>
  <c r="J923" i="92"/>
  <c r="J904" i="92"/>
  <c r="J874" i="92"/>
  <c r="J868" i="92"/>
  <c r="J840" i="92"/>
  <c r="J778" i="92"/>
  <c r="J772" i="92"/>
  <c r="J744" i="92"/>
  <c r="J714" i="92"/>
  <c r="J696" i="92"/>
  <c r="J678" i="92"/>
  <c r="J650" i="92"/>
  <c r="J956" i="92"/>
  <c r="J936" i="92"/>
  <c r="J844" i="92"/>
  <c r="J838" i="92"/>
  <c r="J822" i="92"/>
  <c r="J788" i="92"/>
  <c r="J749" i="92"/>
  <c r="J743" i="92"/>
  <c r="J719" i="92"/>
  <c r="J713" i="92"/>
  <c r="J701" i="92"/>
  <c r="J695" i="92"/>
  <c r="J683" i="92"/>
  <c r="J677" i="92"/>
  <c r="J668" i="92"/>
  <c r="J647" i="92"/>
  <c r="J619" i="92"/>
  <c r="J601" i="92"/>
  <c r="J593" i="92"/>
  <c r="J583" i="92"/>
  <c r="J579" i="92"/>
  <c r="J568" i="92"/>
  <c r="J559" i="92"/>
  <c r="J551" i="92"/>
  <c r="J536" i="92"/>
  <c r="J532" i="92"/>
  <c r="J528" i="92"/>
  <c r="J524" i="92"/>
  <c r="J516" i="92"/>
  <c r="J512" i="92"/>
  <c r="J504" i="92"/>
  <c r="J500" i="92"/>
  <c r="J492" i="92"/>
  <c r="J488" i="92"/>
  <c r="J480" i="92"/>
  <c r="J476" i="92"/>
  <c r="J468" i="92"/>
  <c r="J464" i="92"/>
  <c r="J456" i="92"/>
  <c r="J452" i="92"/>
  <c r="J444" i="92"/>
  <c r="J440" i="92"/>
  <c r="J820" i="92"/>
  <c r="J804" i="92"/>
  <c r="J718" i="92"/>
  <c r="J682" i="92"/>
  <c r="J637" i="92"/>
  <c r="J600" i="92"/>
  <c r="J584" i="92"/>
  <c r="J566" i="92"/>
  <c r="J544" i="92"/>
  <c r="J533" i="92"/>
  <c r="J525" i="92"/>
  <c r="J513" i="92"/>
  <c r="J501" i="92"/>
  <c r="J489" i="92"/>
  <c r="J477" i="92"/>
  <c r="J465" i="92"/>
  <c r="J453" i="92"/>
  <c r="J441" i="92"/>
  <c r="J433" i="92"/>
  <c r="J432" i="92"/>
  <c r="J431" i="92"/>
  <c r="J409" i="92"/>
  <c r="J408" i="92"/>
  <c r="J407" i="92"/>
  <c r="J382" i="92"/>
  <c r="J378" i="92"/>
  <c r="J370" i="92"/>
  <c r="J366" i="92"/>
  <c r="J358" i="92"/>
  <c r="J354" i="92"/>
  <c r="J346" i="92"/>
  <c r="J342" i="92"/>
  <c r="J334" i="92"/>
  <c r="J330" i="92"/>
  <c r="J322" i="92"/>
  <c r="J318" i="92"/>
  <c r="J310" i="92"/>
  <c r="J306" i="92"/>
  <c r="J298" i="92"/>
  <c r="J294" i="92"/>
  <c r="J286" i="92"/>
  <c r="J282" i="92"/>
  <c r="J274" i="92"/>
  <c r="J267" i="92"/>
  <c r="J262" i="92"/>
  <c r="J254" i="92"/>
  <c r="J247" i="92"/>
  <c r="J242" i="92"/>
  <c r="J235" i="92"/>
  <c r="J230" i="92"/>
  <c r="J223" i="92"/>
  <c r="J218" i="92"/>
  <c r="J210" i="92"/>
  <c r="J203" i="92"/>
  <c r="J198" i="92"/>
  <c r="J191" i="92"/>
  <c r="J186" i="92"/>
  <c r="J179" i="92"/>
  <c r="J174" i="92"/>
  <c r="J166" i="92"/>
  <c r="J162" i="92"/>
  <c r="J158" i="92"/>
  <c r="J154" i="92"/>
  <c r="J150" i="92"/>
  <c r="J146" i="92"/>
  <c r="J924" i="92"/>
  <c r="J826" i="92"/>
  <c r="J742" i="92"/>
  <c r="J694" i="92"/>
  <c r="J616" i="92"/>
  <c r="J598" i="92"/>
  <c r="J582" i="92"/>
  <c r="J564" i="92"/>
  <c r="J531" i="92"/>
  <c r="J523" i="92"/>
  <c r="J511" i="92"/>
  <c r="J499" i="92"/>
  <c r="J487" i="92"/>
  <c r="J475" i="92"/>
  <c r="J463" i="92"/>
  <c r="J451" i="92"/>
  <c r="J439" i="92"/>
  <c r="J417" i="92"/>
  <c r="J416" i="92"/>
  <c r="J415" i="92"/>
  <c r="J393" i="92"/>
  <c r="J392" i="92"/>
  <c r="J391" i="92"/>
  <c r="J385" i="92"/>
  <c r="J381" i="92"/>
  <c r="J373" i="92"/>
  <c r="J369" i="92"/>
  <c r="J361" i="92"/>
  <c r="J357" i="92"/>
  <c r="J349" i="92"/>
  <c r="J345" i="92"/>
  <c r="J337" i="92"/>
  <c r="J333" i="92"/>
  <c r="J325" i="92"/>
  <c r="J321" i="92"/>
  <c r="J313" i="92"/>
  <c r="J309" i="92"/>
  <c r="J301" i="92"/>
  <c r="J297" i="92"/>
  <c r="J922" i="92"/>
  <c r="J905" i="92"/>
  <c r="J792" i="92"/>
  <c r="J748" i="92"/>
  <c r="J700" i="92"/>
  <c r="J646" i="92"/>
  <c r="J620" i="92"/>
  <c r="J614" i="92"/>
  <c r="J580" i="92"/>
  <c r="J537" i="92"/>
  <c r="J529" i="92"/>
  <c r="J517" i="92"/>
  <c r="J505" i="92"/>
  <c r="J493" i="92"/>
  <c r="J481" i="92"/>
  <c r="J469" i="92"/>
  <c r="J457" i="92"/>
  <c r="J445" i="92"/>
  <c r="J421" i="92"/>
  <c r="J420" i="92"/>
  <c r="J419" i="92"/>
  <c r="J397" i="92"/>
  <c r="J396" i="92"/>
  <c r="J395" i="92"/>
  <c r="J384" i="92"/>
  <c r="J380" i="92"/>
  <c r="J372" i="92"/>
  <c r="J368" i="92"/>
  <c r="J360" i="92"/>
  <c r="J356" i="92"/>
  <c r="J348" i="92"/>
  <c r="J344" i="92"/>
  <c r="J336" i="92"/>
  <c r="J332" i="92"/>
  <c r="J324" i="92"/>
  <c r="J320" i="92"/>
  <c r="J312" i="92"/>
  <c r="J308" i="92"/>
  <c r="J300" i="92"/>
  <c r="J296" i="92"/>
  <c r="J288" i="92"/>
  <c r="J284" i="92"/>
  <c r="J276" i="92"/>
  <c r="J269" i="92"/>
  <c r="J264" i="92"/>
  <c r="J257" i="92"/>
  <c r="J252" i="92"/>
  <c r="J245" i="92"/>
  <c r="J240" i="92"/>
  <c r="J232" i="92"/>
  <c r="J225" i="92"/>
  <c r="J220" i="92"/>
  <c r="J213" i="92"/>
  <c r="J208" i="92"/>
  <c r="J201" i="92"/>
  <c r="J196" i="92"/>
  <c r="J188" i="92"/>
  <c r="J181" i="92"/>
  <c r="J176" i="92"/>
  <c r="J169" i="92"/>
  <c r="J164" i="92"/>
  <c r="J160" i="92"/>
  <c r="J428" i="92"/>
  <c r="J403" i="92"/>
  <c r="J383" i="92"/>
  <c r="J359" i="92"/>
  <c r="J335" i="92"/>
  <c r="J311" i="92"/>
  <c r="J285" i="92"/>
  <c r="J275" i="92"/>
  <c r="J263" i="92"/>
  <c r="J251" i="92"/>
  <c r="J214" i="92"/>
  <c r="J202" i="92"/>
  <c r="J199" i="92"/>
  <c r="J190" i="92"/>
  <c r="J187" i="92"/>
  <c r="J175" i="92"/>
  <c r="J165" i="92"/>
  <c r="J157" i="92"/>
  <c r="J42" i="92"/>
  <c r="J38" i="92"/>
  <c r="J34" i="92"/>
  <c r="J30" i="92"/>
  <c r="J26" i="92"/>
  <c r="J22" i="92"/>
  <c r="J18" i="92"/>
  <c r="J307" i="92"/>
  <c r="J283" i="92"/>
  <c r="J212" i="92"/>
  <c r="J209" i="92"/>
  <c r="J159" i="92"/>
  <c r="J148" i="92"/>
  <c r="J145" i="92"/>
  <c r="J125" i="92"/>
  <c r="J115" i="92"/>
  <c r="J105" i="92"/>
  <c r="J95" i="92"/>
  <c r="J85" i="92"/>
  <c r="J75" i="92"/>
  <c r="J65" i="92"/>
  <c r="J55" i="92"/>
  <c r="J45" i="92"/>
  <c r="J37" i="92"/>
  <c r="J29" i="92"/>
  <c r="J25" i="92"/>
  <c r="J21" i="92"/>
  <c r="J12" i="92"/>
  <c r="J35" i="92"/>
  <c r="J6" i="92"/>
  <c r="J602" i="92"/>
  <c r="J515" i="92"/>
  <c r="J491" i="92"/>
  <c r="J467" i="92"/>
  <c r="J443" i="92"/>
  <c r="J427" i="92"/>
  <c r="J379" i="92"/>
  <c r="J355" i="92"/>
  <c r="J331" i="92"/>
  <c r="J295" i="92"/>
  <c r="J273" i="92"/>
  <c r="J236" i="92"/>
  <c r="J224" i="92"/>
  <c r="J221" i="92"/>
  <c r="J197" i="92"/>
  <c r="J185" i="92"/>
  <c r="J149" i="92"/>
  <c r="J147" i="92"/>
  <c r="J135" i="92"/>
  <c r="J41" i="92"/>
  <c r="J31" i="92"/>
  <c r="J712" i="92"/>
  <c r="J676" i="92"/>
  <c r="J652" i="92"/>
  <c r="J535" i="92"/>
  <c r="J405" i="92"/>
  <c r="J371" i="92"/>
  <c r="J347" i="92"/>
  <c r="J323" i="92"/>
  <c r="J299" i="92"/>
  <c r="J289" i="92"/>
  <c r="J277" i="92"/>
  <c r="J258" i="92"/>
  <c r="J246" i="92"/>
  <c r="J243" i="92"/>
  <c r="J234" i="92"/>
  <c r="J231" i="92"/>
  <c r="J219" i="92"/>
  <c r="J207" i="92"/>
  <c r="J170" i="92"/>
  <c r="J161" i="92"/>
  <c r="J153" i="92"/>
  <c r="J152" i="92"/>
  <c r="J151" i="92"/>
  <c r="J144" i="92"/>
  <c r="J134" i="92"/>
  <c r="J124" i="92"/>
  <c r="J114" i="92"/>
  <c r="J104" i="92"/>
  <c r="J94" i="92"/>
  <c r="J84" i="92"/>
  <c r="J74" i="92"/>
  <c r="J64" i="92"/>
  <c r="J54" i="92"/>
  <c r="J44" i="92"/>
  <c r="J40" i="92"/>
  <c r="J36" i="92"/>
  <c r="J28" i="92"/>
  <c r="J24" i="92"/>
  <c r="J7" i="92"/>
  <c r="J574" i="92"/>
  <c r="J553" i="92"/>
  <c r="J550" i="92"/>
  <c r="J527" i="92"/>
  <c r="J503" i="92"/>
  <c r="J479" i="92"/>
  <c r="J455" i="92"/>
  <c r="J429" i="92"/>
  <c r="J404" i="92"/>
  <c r="J367" i="92"/>
  <c r="J343" i="92"/>
  <c r="J319" i="92"/>
  <c r="J287" i="92"/>
  <c r="J268" i="92"/>
  <c r="J265" i="92"/>
  <c r="J256" i="92"/>
  <c r="J253" i="92"/>
  <c r="J241" i="92"/>
  <c r="J229" i="92"/>
  <c r="J192" i="92"/>
  <c r="J180" i="92"/>
  <c r="J177" i="92"/>
  <c r="J168" i="92"/>
  <c r="J163" i="92"/>
  <c r="J156" i="92"/>
  <c r="J155" i="92"/>
  <c r="J143" i="92"/>
  <c r="J133" i="92"/>
  <c r="J123" i="92"/>
  <c r="J113" i="92"/>
  <c r="J103" i="92"/>
  <c r="J93" i="92"/>
  <c r="J83" i="92"/>
  <c r="J73" i="92"/>
  <c r="J63" i="92"/>
  <c r="J53" i="92"/>
  <c r="J43" i="92"/>
  <c r="J39" i="92"/>
  <c r="J23" i="92"/>
  <c r="K14" i="92"/>
  <c r="I17" i="92"/>
  <c r="K19" i="92"/>
  <c r="K27" i="92"/>
  <c r="I33" i="92"/>
  <c r="E22" i="12"/>
  <c r="B1239" i="92"/>
  <c r="C1276" i="92"/>
  <c r="B1096" i="92"/>
  <c r="B1221" i="92"/>
  <c r="C1005" i="92"/>
  <c r="C801" i="92"/>
  <c r="C1229" i="92"/>
  <c r="C1098" i="92"/>
  <c r="B1117" i="92"/>
  <c r="C984" i="92"/>
  <c r="B974" i="92"/>
  <c r="C468" i="92"/>
  <c r="C796" i="92"/>
  <c r="B813" i="92"/>
  <c r="B1280" i="92"/>
  <c r="B1268" i="92"/>
  <c r="C1085" i="92"/>
  <c r="B930" i="92"/>
  <c r="B905" i="92"/>
  <c r="B453" i="92"/>
  <c r="C759" i="92"/>
  <c r="C1282" i="92"/>
  <c r="B892" i="92"/>
  <c r="C853" i="92"/>
  <c r="B608" i="92"/>
  <c r="C447" i="92"/>
  <c r="C1242" i="92"/>
  <c r="C1006" i="92"/>
  <c r="C811" i="92"/>
  <c r="C538" i="92"/>
  <c r="C438" i="92"/>
  <c r="C1266" i="92"/>
  <c r="B1262" i="92"/>
  <c r="C1128" i="92"/>
  <c r="B1056" i="92"/>
  <c r="B1038" i="92"/>
  <c r="B1003" i="92"/>
  <c r="C1254" i="92"/>
  <c r="B1105" i="92"/>
  <c r="B1132" i="92"/>
  <c r="B1039" i="92"/>
  <c r="C1075" i="92"/>
  <c r="B834" i="92"/>
  <c r="C408" i="92"/>
  <c r="C709" i="92"/>
  <c r="B1243" i="92"/>
  <c r="B968" i="92"/>
  <c r="B1110" i="92"/>
  <c r="B1237" i="92"/>
  <c r="B1010" i="92"/>
  <c r="C810" i="92"/>
  <c r="B393" i="92"/>
  <c r="C691" i="92"/>
  <c r="B1085" i="92"/>
  <c r="C829" i="92"/>
  <c r="C676" i="92"/>
  <c r="B511" i="92"/>
  <c r="C726" i="92"/>
  <c r="B1163" i="92"/>
  <c r="B570" i="92"/>
  <c r="C987" i="92"/>
  <c r="C506" i="92"/>
  <c r="C670" i="92"/>
  <c r="B1255" i="92"/>
  <c r="B1224" i="92"/>
  <c r="B1162" i="92"/>
  <c r="B1040" i="92"/>
  <c r="C1096" i="92"/>
  <c r="C835" i="92"/>
  <c r="C1245" i="92"/>
  <c r="C1119" i="92"/>
  <c r="B1277" i="92"/>
  <c r="C1063" i="92"/>
  <c r="C971" i="92"/>
  <c r="C492" i="92"/>
  <c r="B831" i="92"/>
  <c r="C858" i="92"/>
  <c r="B1234" i="92"/>
  <c r="C1110" i="92"/>
  <c r="B1129" i="92"/>
  <c r="B1012" i="92"/>
  <c r="B1047" i="92"/>
  <c r="B477" i="92"/>
  <c r="B830" i="92"/>
  <c r="C837" i="92"/>
  <c r="C1093" i="92"/>
  <c r="C970" i="92"/>
  <c r="B692" i="92"/>
  <c r="C459" i="92"/>
  <c r="B464" i="92"/>
  <c r="B1048" i="92"/>
  <c r="B873" i="92"/>
  <c r="B1260" i="92"/>
  <c r="C1269" i="92"/>
  <c r="C1016" i="92"/>
  <c r="B1258" i="92"/>
  <c r="B1001" i="92"/>
  <c r="C1039" i="92"/>
  <c r="B512" i="92"/>
  <c r="C587" i="92"/>
  <c r="C426" i="92"/>
  <c r="B1004" i="92"/>
  <c r="B749" i="92"/>
  <c r="B527" i="92"/>
  <c r="B989" i="92"/>
  <c r="C403" i="92"/>
  <c r="C238" i="92"/>
  <c r="B686" i="92"/>
  <c r="B970" i="92"/>
  <c r="B449" i="92"/>
  <c r="B221" i="92"/>
  <c r="C501" i="92"/>
  <c r="C979" i="92"/>
  <c r="C475" i="92"/>
  <c r="B335" i="92"/>
  <c r="B224" i="92"/>
  <c r="B1109" i="92"/>
  <c r="B437" i="92"/>
  <c r="C220" i="92"/>
  <c r="B494" i="92"/>
  <c r="B973" i="92"/>
  <c r="B1120" i="92"/>
  <c r="C1237" i="92"/>
  <c r="C1057" i="92"/>
  <c r="B1226" i="92"/>
  <c r="C969" i="92"/>
  <c r="B1123" i="92"/>
  <c r="B1270" i="92"/>
  <c r="C1132" i="92"/>
  <c r="C1060" i="92"/>
  <c r="B1083" i="92"/>
  <c r="B1025" i="92"/>
  <c r="C1262" i="92"/>
  <c r="C1235" i="92"/>
  <c r="B1253" i="92"/>
  <c r="B1053" i="92"/>
  <c r="B1119" i="92"/>
  <c r="C856" i="92"/>
  <c r="C420" i="92"/>
  <c r="B713" i="92"/>
  <c r="B1251" i="92"/>
  <c r="B1095" i="92"/>
  <c r="B1128" i="92"/>
  <c r="C1038" i="92"/>
  <c r="C1055" i="92"/>
  <c r="B860" i="92"/>
  <c r="B405" i="92"/>
  <c r="B695" i="92"/>
  <c r="C1275" i="92"/>
  <c r="C895" i="92"/>
  <c r="C710" i="92"/>
  <c r="C519" i="92"/>
  <c r="C765" i="92"/>
  <c r="B1281" i="92"/>
  <c r="C804" i="92"/>
  <c r="C673" i="92"/>
  <c r="C510" i="92"/>
  <c r="C722" i="92"/>
  <c r="C1243" i="92"/>
  <c r="B1230" i="92"/>
  <c r="C1108" i="92"/>
  <c r="B1121" i="92"/>
  <c r="C995" i="92"/>
  <c r="C994" i="92"/>
  <c r="C1222" i="92"/>
  <c r="B1241" i="92"/>
  <c r="B1074" i="92"/>
  <c r="C1107" i="92"/>
  <c r="B1098" i="92"/>
  <c r="B688" i="92"/>
  <c r="B946" i="92"/>
  <c r="B999" i="92"/>
  <c r="B1274" i="92"/>
  <c r="B1188" i="92"/>
  <c r="C1068" i="92"/>
  <c r="C1082" i="92"/>
  <c r="C1050" i="92"/>
  <c r="B533" i="92"/>
  <c r="C892" i="92"/>
  <c r="C976" i="92"/>
  <c r="B1124" i="92"/>
  <c r="B481" i="92"/>
  <c r="C846" i="92"/>
  <c r="B487" i="92"/>
  <c r="B546" i="92"/>
  <c r="C1064" i="92"/>
  <c r="C452" i="92"/>
  <c r="B812" i="92"/>
  <c r="C482" i="92"/>
  <c r="B524" i="92"/>
  <c r="B1223" i="92"/>
  <c r="C1244" i="92"/>
  <c r="B1075" i="92"/>
  <c r="B1108" i="92"/>
  <c r="C1105" i="92"/>
  <c r="C1278" i="92"/>
  <c r="C1267" i="92"/>
  <c r="C1255" i="92"/>
  <c r="B1068" i="92"/>
  <c r="B832" i="92"/>
  <c r="C887" i="92"/>
  <c r="C444" i="92"/>
  <c r="C748" i="92"/>
  <c r="B1267" i="92"/>
  <c r="B1248" i="92"/>
  <c r="B1236" i="92"/>
  <c r="C1061" i="92"/>
  <c r="B770" i="92"/>
  <c r="C866" i="92"/>
  <c r="B429" i="92"/>
  <c r="C739" i="92"/>
  <c r="C1281" i="92"/>
  <c r="C1083" i="92"/>
  <c r="C771" i="92"/>
  <c r="B531" i="92"/>
  <c r="B1127" i="92"/>
  <c r="C1241" i="92"/>
  <c r="C1139" i="92"/>
  <c r="B719" i="92"/>
  <c r="C1077" i="92"/>
  <c r="C1131" i="92"/>
  <c r="C528" i="92"/>
  <c r="C1126" i="92"/>
  <c r="B513" i="92"/>
  <c r="B433" i="92"/>
  <c r="B1070" i="92"/>
  <c r="C494" i="92"/>
  <c r="C1129" i="92"/>
  <c r="B537" i="92"/>
  <c r="C983" i="92"/>
  <c r="B503" i="92"/>
  <c r="C636" i="92"/>
  <c r="B369" i="92"/>
  <c r="B202" i="92"/>
  <c r="C569" i="92"/>
  <c r="C857" i="92"/>
  <c r="B385" i="92"/>
  <c r="C181" i="92"/>
  <c r="B427" i="92"/>
  <c r="C752" i="92"/>
  <c r="C415" i="92"/>
  <c r="B311" i="92"/>
  <c r="B199" i="92"/>
  <c r="B823" i="92"/>
  <c r="C384" i="92"/>
  <c r="C176" i="92"/>
  <c r="B426" i="92"/>
  <c r="B745" i="92"/>
  <c r="B1269" i="92"/>
  <c r="B1111" i="92"/>
  <c r="C480" i="92"/>
  <c r="C1088" i="92"/>
  <c r="B465" i="92"/>
  <c r="C884" i="92"/>
  <c r="B1238" i="92"/>
  <c r="C1116" i="92"/>
  <c r="C1232" i="92"/>
  <c r="B1015" i="92"/>
  <c r="C1094" i="92"/>
  <c r="C1230" i="92"/>
  <c r="B1257" i="92"/>
  <c r="C1084" i="92"/>
  <c r="B1126" i="92"/>
  <c r="B995" i="92"/>
  <c r="B767" i="92"/>
  <c r="B991" i="92"/>
  <c r="B1100" i="92"/>
  <c r="B1282" i="92"/>
  <c r="C1236" i="92"/>
  <c r="B1073" i="92"/>
  <c r="B1101" i="92"/>
  <c r="C1097" i="92"/>
  <c r="B670" i="92"/>
  <c r="C937" i="92"/>
  <c r="B988" i="92"/>
  <c r="C1263" i="92"/>
  <c r="B505" i="92"/>
  <c r="C877" i="92"/>
  <c r="C495" i="92"/>
  <c r="B620" i="92"/>
  <c r="B1097" i="92"/>
  <c r="C476" i="92"/>
  <c r="B821" i="92"/>
  <c r="C486" i="92"/>
  <c r="B539" i="92"/>
  <c r="B1263" i="92"/>
  <c r="B1240" i="92"/>
  <c r="C1272" i="92"/>
  <c r="B1054" i="92"/>
  <c r="B1261" i="92"/>
  <c r="C860" i="92"/>
  <c r="C1253" i="92"/>
  <c r="C1123" i="92"/>
  <c r="B1041" i="92"/>
  <c r="C1192" i="92"/>
  <c r="C989" i="92"/>
  <c r="C504" i="92"/>
  <c r="C849" i="92"/>
  <c r="C874" i="92"/>
  <c r="B1242" i="92"/>
  <c r="C1118" i="92"/>
  <c r="C1264" i="92"/>
  <c r="C1058" i="92"/>
  <c r="B766" i="92"/>
  <c r="B489" i="92"/>
  <c r="C830" i="92"/>
  <c r="C854" i="92"/>
  <c r="C1037" i="92"/>
  <c r="C1248" i="92"/>
  <c r="B709" i="92"/>
  <c r="B463" i="92"/>
  <c r="C479" i="92"/>
  <c r="C1078" i="92"/>
  <c r="C908" i="92"/>
  <c r="B691" i="92"/>
  <c r="C458" i="92"/>
  <c r="B461" i="92"/>
  <c r="B1254" i="92"/>
  <c r="C1124" i="92"/>
  <c r="C1051" i="92"/>
  <c r="C1218" i="92"/>
  <c r="B990" i="92"/>
  <c r="C1246" i="92"/>
  <c r="B1052" i="92"/>
  <c r="B1116" i="92"/>
  <c r="C1256" i="92"/>
  <c r="C1015" i="92"/>
  <c r="C814" i="92"/>
  <c r="C396" i="92"/>
  <c r="C692" i="92"/>
  <c r="B1235" i="92"/>
  <c r="C1268" i="92"/>
  <c r="B1088" i="92"/>
  <c r="B1187" i="92"/>
  <c r="C1003" i="92"/>
  <c r="B773" i="92"/>
  <c r="B1107" i="92"/>
  <c r="C674" i="92"/>
  <c r="B1233" i="92"/>
  <c r="B706" i="92"/>
  <c r="B1018" i="92"/>
  <c r="C507" i="92"/>
  <c r="C686" i="92"/>
  <c r="C1117" i="92"/>
  <c r="C524" i="92"/>
  <c r="B1279" i="92"/>
  <c r="B862" i="92"/>
  <c r="B1059" i="92"/>
  <c r="C880" i="92"/>
  <c r="C1054" i="92"/>
  <c r="C861" i="92"/>
  <c r="B741" i="92"/>
  <c r="C404" i="92"/>
  <c r="C446" i="92"/>
  <c r="B1057" i="92"/>
  <c r="B445" i="92"/>
  <c r="C772" i="92"/>
  <c r="B479" i="92"/>
  <c r="B521" i="92"/>
  <c r="B321" i="92"/>
  <c r="B177" i="92"/>
  <c r="B498" i="92"/>
  <c r="C672" i="92"/>
  <c r="C324" i="92"/>
  <c r="C727" i="92"/>
  <c r="B384" i="92"/>
  <c r="C622" i="92"/>
  <c r="B383" i="92"/>
  <c r="B287" i="92"/>
  <c r="B975" i="92"/>
  <c r="C585" i="92"/>
  <c r="C320" i="92"/>
  <c r="C723" i="92"/>
  <c r="C383" i="92"/>
  <c r="B1247" i="92"/>
  <c r="B1020" i="92"/>
  <c r="B1271" i="92"/>
  <c r="B772" i="92"/>
  <c r="B1055" i="92"/>
  <c r="C867" i="92"/>
  <c r="C1040" i="92"/>
  <c r="B845" i="92"/>
  <c r="B718" i="92"/>
  <c r="B1049" i="92"/>
  <c r="B1231" i="92"/>
  <c r="C1001" i="92"/>
  <c r="B1086" i="92"/>
  <c r="C763" i="92"/>
  <c r="B1071" i="92"/>
  <c r="B743" i="92"/>
  <c r="C581" i="92"/>
  <c r="C755" i="92"/>
  <c r="B1222" i="92"/>
  <c r="C934" i="92"/>
  <c r="B1093" i="92"/>
  <c r="C978" i="92"/>
  <c r="C1062" i="92"/>
  <c r="B904" i="92"/>
  <c r="C483" i="92"/>
  <c r="B1272" i="92"/>
  <c r="C982" i="92"/>
  <c r="B586" i="92"/>
  <c r="B455" i="92"/>
  <c r="C431" i="92"/>
  <c r="B336" i="92"/>
  <c r="C1258" i="92"/>
  <c r="C335" i="92"/>
  <c r="C1014" i="92"/>
  <c r="B967" i="92"/>
  <c r="B451" i="92"/>
  <c r="B740" i="92"/>
  <c r="B509" i="92"/>
  <c r="C1000" i="92"/>
  <c r="C870" i="92"/>
  <c r="B673" i="92"/>
  <c r="C449" i="92"/>
  <c r="B440" i="92"/>
  <c r="B265" i="92"/>
  <c r="C731" i="92"/>
  <c r="C1225" i="92"/>
  <c r="C828" i="92"/>
  <c r="B246" i="92"/>
  <c r="B578" i="92"/>
  <c r="B324" i="92"/>
  <c r="C523" i="92"/>
  <c r="C353" i="92"/>
  <c r="C254" i="92"/>
  <c r="C1227" i="92"/>
  <c r="C730" i="92"/>
  <c r="C245" i="92"/>
  <c r="C566" i="92"/>
  <c r="C323" i="92"/>
  <c r="B519" i="92"/>
  <c r="C352" i="92"/>
  <c r="B251" i="92"/>
  <c r="C1071" i="92"/>
  <c r="C1251" i="92"/>
  <c r="B869" i="92"/>
  <c r="B1232" i="92"/>
  <c r="C852" i="92"/>
  <c r="C973" i="92"/>
  <c r="C1259" i="92"/>
  <c r="C518" i="92"/>
  <c r="C1233" i="92"/>
  <c r="B861" i="92"/>
  <c r="C693" i="92"/>
  <c r="B515" i="92"/>
  <c r="C734" i="92"/>
  <c r="B395" i="92"/>
  <c r="B226" i="92"/>
  <c r="B607" i="92"/>
  <c r="C512" i="92"/>
  <c r="B418" i="92"/>
  <c r="C195" i="92"/>
  <c r="B458" i="92"/>
  <c r="B864" i="92"/>
  <c r="B444" i="92"/>
  <c r="B323" i="92"/>
  <c r="B1256" i="92"/>
  <c r="B875" i="92"/>
  <c r="B987" i="92"/>
  <c r="C889" i="92"/>
  <c r="C1167" i="92"/>
  <c r="C868" i="92"/>
  <c r="C471" i="92"/>
  <c r="C708" i="92"/>
  <c r="C1260" i="92"/>
  <c r="B768" i="92"/>
  <c r="C968" i="92"/>
  <c r="B1275" i="92"/>
  <c r="B814" i="92"/>
  <c r="C1250" i="92"/>
  <c r="B439" i="92"/>
  <c r="C530" i="92"/>
  <c r="B1276" i="92"/>
  <c r="C1277" i="92"/>
  <c r="C1056" i="92"/>
  <c r="B1266" i="92"/>
  <c r="B1005" i="92"/>
  <c r="B1072" i="92"/>
  <c r="C527" i="92"/>
  <c r="B894" i="92"/>
  <c r="C885" i="92"/>
  <c r="B1067" i="92"/>
  <c r="C455" i="92"/>
  <c r="C448" i="92"/>
  <c r="C539" i="92"/>
  <c r="C442" i="92"/>
  <c r="B1069" i="92"/>
  <c r="B816" i="92"/>
  <c r="B777" i="92"/>
  <c r="C1274" i="92"/>
  <c r="C522" i="92"/>
  <c r="C1265" i="92"/>
  <c r="B1032" i="92"/>
  <c r="C718" i="92"/>
  <c r="C521" i="92"/>
  <c r="C851" i="92"/>
  <c r="C399" i="92"/>
  <c r="C232" i="92"/>
  <c r="C625" i="92"/>
  <c r="B945" i="92"/>
  <c r="C423" i="92"/>
  <c r="C208" i="92"/>
  <c r="C477" i="92"/>
  <c r="B893" i="92"/>
  <c r="B459" i="92"/>
  <c r="C329" i="92"/>
  <c r="C218" i="92"/>
  <c r="C848" i="92"/>
  <c r="C422" i="92"/>
  <c r="C201" i="92"/>
  <c r="B474" i="92"/>
  <c r="C882" i="92"/>
  <c r="B456" i="92"/>
  <c r="C328" i="92"/>
  <c r="C217" i="92"/>
  <c r="B1090" i="92"/>
  <c r="C1239" i="92"/>
  <c r="C432" i="92"/>
  <c r="C1240" i="92"/>
  <c r="B417" i="92"/>
  <c r="C741" i="92"/>
  <c r="C879" i="92"/>
  <c r="C470" i="92"/>
  <c r="C1231" i="92"/>
  <c r="B493" i="92"/>
  <c r="C862" i="92"/>
  <c r="B491" i="92"/>
  <c r="B577" i="92"/>
  <c r="B345" i="92"/>
  <c r="B190" i="92"/>
  <c r="B530" i="92"/>
  <c r="C881" i="92"/>
  <c r="C356" i="92"/>
  <c r="C1073" i="92"/>
  <c r="C405" i="92"/>
  <c r="C704" i="92"/>
  <c r="B407" i="92"/>
  <c r="B299" i="92"/>
  <c r="C178" i="92"/>
  <c r="C850" i="92"/>
  <c r="B349" i="92"/>
  <c r="B901" i="92"/>
  <c r="B404" i="92"/>
  <c r="B697" i="92"/>
  <c r="B406" i="92"/>
  <c r="B1142" i="92"/>
  <c r="C500" i="92"/>
  <c r="C818" i="92"/>
  <c r="B184" i="92"/>
  <c r="C844" i="92"/>
  <c r="C293" i="92"/>
  <c r="C761" i="92"/>
  <c r="C388" i="92"/>
  <c r="C247" i="92"/>
  <c r="B1118" i="92"/>
  <c r="C467" i="92"/>
  <c r="B227" i="92"/>
  <c r="B510" i="92"/>
  <c r="B1091" i="92"/>
  <c r="C344" i="92"/>
  <c r="B480" i="92"/>
  <c r="C230" i="92"/>
  <c r="B262" i="92"/>
  <c r="B12" i="92"/>
  <c r="B775" i="92"/>
  <c r="B15" i="92"/>
  <c r="B266" i="92"/>
  <c r="C98" i="92"/>
  <c r="C614" i="92"/>
  <c r="B148" i="92"/>
  <c r="B68" i="92"/>
  <c r="C1219" i="92"/>
  <c r="B499" i="92"/>
  <c r="C1025" i="92"/>
  <c r="B285" i="92"/>
  <c r="B273" i="92"/>
  <c r="C365" i="92"/>
  <c r="B271" i="92"/>
  <c r="B471" i="92"/>
  <c r="C274" i="92"/>
  <c r="C1226" i="92"/>
  <c r="C436" i="92"/>
  <c r="C257" i="92"/>
  <c r="B587" i="92"/>
  <c r="B332" i="92"/>
  <c r="B1244" i="92"/>
  <c r="C1261" i="92"/>
  <c r="B1002" i="92"/>
  <c r="B1250" i="92"/>
  <c r="C974" i="92"/>
  <c r="C1081" i="92"/>
  <c r="B497" i="92"/>
  <c r="C462" i="92"/>
  <c r="C1086" i="92"/>
  <c r="C1221" i="92"/>
  <c r="C930" i="92"/>
  <c r="B1264" i="92"/>
  <c r="C883" i="92"/>
  <c r="B1037" i="92"/>
  <c r="C1273" i="92"/>
  <c r="B1045" i="92"/>
  <c r="B1087" i="92"/>
  <c r="B1225" i="92"/>
  <c r="C536" i="92"/>
  <c r="C1130" i="92"/>
  <c r="B525" i="92"/>
  <c r="B457" i="92"/>
  <c r="B1245" i="92"/>
  <c r="C1066" i="92"/>
  <c r="B475" i="92"/>
  <c r="C896" i="92"/>
  <c r="B272" i="92"/>
  <c r="C264" i="92"/>
  <c r="B359" i="92"/>
  <c r="B258" i="92"/>
  <c r="C820" i="92"/>
  <c r="C840" i="92"/>
  <c r="C812" i="92"/>
  <c r="B796" i="92"/>
  <c r="C474" i="92"/>
  <c r="C1109" i="92"/>
  <c r="B517" i="92"/>
  <c r="C907" i="92"/>
  <c r="C497" i="92"/>
  <c r="C611" i="92"/>
  <c r="B357" i="92"/>
  <c r="C196" i="92"/>
  <c r="B547" i="92"/>
  <c r="C711" i="92"/>
  <c r="C372" i="92"/>
  <c r="C156" i="92"/>
  <c r="B423" i="92"/>
  <c r="C732" i="92"/>
  <c r="C411" i="92"/>
  <c r="C305" i="92"/>
  <c r="B187" i="92"/>
  <c r="B677" i="92"/>
  <c r="C368" i="92"/>
  <c r="B153" i="92"/>
  <c r="B422" i="92"/>
  <c r="C728" i="92"/>
  <c r="C410" i="92"/>
  <c r="C304" i="92"/>
  <c r="B1278" i="92"/>
  <c r="C1072" i="92"/>
  <c r="C1065" i="92"/>
  <c r="C740" i="92"/>
  <c r="C1052" i="92"/>
  <c r="C712" i="92"/>
  <c r="B523" i="92"/>
  <c r="C694" i="92"/>
  <c r="C750" i="92"/>
  <c r="B1051" i="92"/>
  <c r="B397" i="92"/>
  <c r="B711" i="92"/>
  <c r="B467" i="92"/>
  <c r="B488" i="92"/>
  <c r="B297" i="92"/>
  <c r="B149" i="92"/>
  <c r="C465" i="92"/>
  <c r="C496" i="92"/>
  <c r="B289" i="92"/>
  <c r="B672" i="92"/>
  <c r="B360" i="92"/>
  <c r="B571" i="92"/>
  <c r="B371" i="92"/>
  <c r="B275" i="92"/>
  <c r="C729" i="92"/>
  <c r="C490" i="92"/>
  <c r="C288" i="92"/>
  <c r="C637" i="92"/>
  <c r="C359" i="92"/>
  <c r="C570" i="92"/>
  <c r="C370" i="92"/>
  <c r="C1080" i="92"/>
  <c r="C450" i="92"/>
  <c r="C485" i="92"/>
  <c r="C513" i="92"/>
  <c r="B401" i="92"/>
  <c r="C172" i="92"/>
  <c r="B400" i="92"/>
  <c r="C346" i="92"/>
  <c r="B205" i="92"/>
  <c r="B971" i="92"/>
  <c r="B396" i="92"/>
  <c r="B183" i="92"/>
  <c r="C429" i="92"/>
  <c r="C767" i="92"/>
  <c r="C847" i="92"/>
  <c r="C386" i="92"/>
  <c r="B167" i="92"/>
  <c r="C192" i="92"/>
  <c r="C263" i="92"/>
  <c r="B484" i="92"/>
  <c r="C721" i="92"/>
  <c r="C209" i="92"/>
  <c r="C78" i="92"/>
  <c r="B364" i="92"/>
  <c r="B128" i="92"/>
  <c r="B514" i="92"/>
  <c r="C675" i="92"/>
  <c r="C897" i="92"/>
  <c r="B694" i="92"/>
  <c r="C886" i="92"/>
  <c r="B621" i="92"/>
  <c r="C266" i="92"/>
  <c r="B615" i="92"/>
  <c r="C382" i="92"/>
  <c r="C235" i="92"/>
  <c r="B1131" i="92"/>
  <c r="C427" i="92"/>
  <c r="C213" i="92"/>
  <c r="C1122" i="92"/>
  <c r="B476" i="92"/>
  <c r="B1252" i="92"/>
  <c r="C1234" i="92"/>
  <c r="B1058" i="92"/>
  <c r="C906" i="92"/>
  <c r="C600" i="92"/>
  <c r="C1103" i="92"/>
  <c r="B1125" i="92"/>
  <c r="C503" i="92"/>
  <c r="C520" i="92"/>
  <c r="C594" i="92"/>
  <c r="C514" i="92"/>
  <c r="B588" i="92"/>
  <c r="C1270" i="92"/>
  <c r="C1249" i="92"/>
  <c r="B769" i="92"/>
  <c r="C425" i="92"/>
  <c r="B610" i="92"/>
  <c r="B507" i="92"/>
  <c r="B1229" i="92"/>
  <c r="C237" i="92"/>
  <c r="C311" i="92"/>
  <c r="C1074" i="92"/>
  <c r="C1087" i="92"/>
  <c r="C738" i="92"/>
  <c r="B710" i="92"/>
  <c r="C316" i="92"/>
  <c r="B693" i="92"/>
  <c r="C751" i="92"/>
  <c r="C630" i="92"/>
  <c r="C338" i="92"/>
  <c r="B135" i="92"/>
  <c r="B318" i="92"/>
  <c r="C138" i="92"/>
  <c r="B276" i="92"/>
  <c r="B1246" i="92"/>
  <c r="C624" i="92"/>
  <c r="B450" i="92"/>
  <c r="C604" i="92"/>
  <c r="C340" i="92"/>
  <c r="C774" i="92"/>
  <c r="B170" i="92"/>
  <c r="B380" i="92"/>
  <c r="C478" i="92"/>
  <c r="B575" i="92"/>
  <c r="C278" i="92"/>
  <c r="B303" i="92"/>
  <c r="B37" i="92"/>
  <c r="B59" i="92"/>
  <c r="B114" i="92"/>
  <c r="B329" i="92"/>
  <c r="C112" i="92"/>
  <c r="C18" i="92"/>
  <c r="B194" i="92"/>
  <c r="B82" i="92"/>
  <c r="C106" i="92"/>
  <c r="B120" i="92"/>
  <c r="C375" i="92"/>
  <c r="C32" i="92"/>
  <c r="B325" i="92"/>
  <c r="B468" i="92"/>
  <c r="C1004" i="92"/>
  <c r="C628" i="92"/>
  <c r="C802" i="92"/>
  <c r="C244" i="92"/>
  <c r="B229" i="92"/>
  <c r="C341" i="92"/>
  <c r="B228" i="92"/>
  <c r="B432" i="92"/>
  <c r="B263" i="92"/>
  <c r="B1249" i="92"/>
  <c r="C702" i="92"/>
  <c r="B241" i="92"/>
  <c r="C563" i="92"/>
  <c r="B320" i="92"/>
  <c r="C515" i="92"/>
  <c r="B540" i="92"/>
  <c r="C261" i="92"/>
  <c r="B293" i="92"/>
  <c r="B29" i="92"/>
  <c r="B34" i="92"/>
  <c r="C73" i="92"/>
  <c r="B305" i="92"/>
  <c r="C108" i="92"/>
  <c r="C4" i="92"/>
  <c r="B179" i="92"/>
  <c r="B78" i="92"/>
  <c r="C96" i="92"/>
  <c r="B110" i="92"/>
  <c r="C351" i="92"/>
  <c r="C15" i="92"/>
  <c r="C269" i="92"/>
  <c r="C435" i="92"/>
  <c r="B214" i="92"/>
  <c r="C414" i="92"/>
  <c r="B234" i="92"/>
  <c r="C511" i="92"/>
  <c r="B4" i="92"/>
  <c r="C733" i="92"/>
  <c r="C22" i="92"/>
  <c r="B168" i="92"/>
  <c r="B506" i="92"/>
  <c r="B268" i="92"/>
  <c r="C301" i="92"/>
  <c r="C36" i="92"/>
  <c r="B56" i="92"/>
  <c r="B104" i="92"/>
  <c r="B315" i="92"/>
  <c r="C111" i="92"/>
  <c r="B14" i="92"/>
  <c r="B191" i="92"/>
  <c r="B81" i="92"/>
  <c r="C100" i="92"/>
  <c r="B116" i="92"/>
  <c r="C451" i="92"/>
  <c r="C104" i="92"/>
  <c r="B944" i="92"/>
  <c r="C560" i="92"/>
  <c r="C267" i="92"/>
  <c r="B298" i="92"/>
  <c r="B33" i="92"/>
  <c r="B50" i="92"/>
  <c r="C93" i="92"/>
  <c r="C56" i="92"/>
  <c r="B204" i="92"/>
  <c r="C542" i="92"/>
  <c r="C1069" i="92"/>
  <c r="B501" i="92"/>
  <c r="B1130" i="92"/>
  <c r="B441" i="92"/>
  <c r="B969" i="92"/>
  <c r="C876" i="92"/>
  <c r="B863" i="92"/>
  <c r="C260" i="92"/>
  <c r="B675" i="92"/>
  <c r="B421" i="92"/>
  <c r="B309" i="92"/>
  <c r="C308" i="92"/>
  <c r="C377" i="92"/>
  <c r="B301" i="92"/>
  <c r="C376" i="92"/>
  <c r="B771" i="92"/>
  <c r="C936" i="92"/>
  <c r="C836" i="92"/>
  <c r="B253" i="92"/>
  <c r="C239" i="92"/>
  <c r="B347" i="92"/>
  <c r="C488" i="92"/>
  <c r="C194" i="92"/>
  <c r="C859" i="92"/>
  <c r="C1095" i="92"/>
  <c r="B469" i="92"/>
  <c r="B337" i="92"/>
  <c r="C336" i="92"/>
  <c r="C286" i="92"/>
  <c r="C460" i="92"/>
  <c r="C612" i="92"/>
  <c r="B742" i="92"/>
  <c r="C290" i="92"/>
  <c r="B55" i="92"/>
  <c r="B154" i="92"/>
  <c r="C118" i="92"/>
  <c r="B215" i="92"/>
  <c r="C972" i="92"/>
  <c r="C1168" i="92"/>
  <c r="C472" i="92"/>
  <c r="C466" i="92"/>
  <c r="C310" i="92"/>
  <c r="C534" i="92"/>
  <c r="B716" i="92"/>
  <c r="B902" i="92"/>
  <c r="C276" i="92"/>
  <c r="B447" i="92"/>
  <c r="C215" i="92"/>
  <c r="C241" i="92"/>
  <c r="B8" i="92"/>
  <c r="B704" i="92"/>
  <c r="B57" i="92"/>
  <c r="C248" i="92"/>
  <c r="C92" i="92"/>
  <c r="B520" i="92"/>
  <c r="B142" i="92"/>
  <c r="B58" i="92"/>
  <c r="C60" i="92"/>
  <c r="B70" i="92"/>
  <c r="B250" i="92"/>
  <c r="B155" i="92"/>
  <c r="C735" i="92"/>
  <c r="B379" i="92"/>
  <c r="B1227" i="92"/>
  <c r="B674" i="92"/>
  <c r="B535" i="92"/>
  <c r="C687" i="92"/>
  <c r="B522" i="92"/>
  <c r="B236" i="92"/>
  <c r="B518" i="92"/>
  <c r="C364" i="92"/>
  <c r="C223" i="92"/>
  <c r="B736" i="92"/>
  <c r="B420" i="92"/>
  <c r="C200" i="92"/>
  <c r="B470" i="92"/>
  <c r="B871" i="92"/>
  <c r="B233" i="92"/>
  <c r="B430" i="92"/>
  <c r="C203" i="92"/>
  <c r="B222" i="92"/>
  <c r="B338" i="92"/>
  <c r="C590" i="92"/>
  <c r="C37" i="92"/>
  <c r="C236" i="92"/>
  <c r="C88" i="92"/>
  <c r="B434" i="92"/>
  <c r="B138" i="92"/>
  <c r="C45" i="92"/>
  <c r="C46" i="92"/>
  <c r="B51" i="92"/>
  <c r="C216" i="92"/>
  <c r="C35" i="92"/>
  <c r="C606" i="92"/>
  <c r="B779" i="92"/>
  <c r="C188" i="92"/>
  <c r="C259" i="92"/>
  <c r="C533" i="92"/>
  <c r="B249" i="92"/>
  <c r="B36" i="92"/>
  <c r="C167" i="92"/>
  <c r="B146" i="92"/>
  <c r="C144" i="92"/>
  <c r="C531" i="92"/>
  <c r="C210" i="92"/>
  <c r="B237" i="92"/>
  <c r="C7" i="92"/>
  <c r="B638" i="92"/>
  <c r="B52" i="92"/>
  <c r="B245" i="92"/>
  <c r="C91" i="92"/>
  <c r="B496" i="92"/>
  <c r="B141" i="92"/>
  <c r="C55" i="92"/>
  <c r="C50" i="92"/>
  <c r="C65" i="92"/>
  <c r="C303" i="92"/>
  <c r="B238" i="92"/>
  <c r="C252" i="92"/>
  <c r="C434" i="92"/>
  <c r="B207" i="92"/>
  <c r="C229" i="92"/>
  <c r="B3" i="92"/>
  <c r="C623" i="92"/>
  <c r="B49" i="92"/>
  <c r="B173" i="92"/>
  <c r="B195" i="92"/>
  <c r="B143" i="92"/>
  <c r="C8" i="92"/>
  <c r="C1127" i="92"/>
  <c r="B409" i="92"/>
  <c r="C1271" i="92"/>
  <c r="C817" i="92"/>
  <c r="C1070" i="92"/>
  <c r="B798" i="92"/>
  <c r="C690" i="92"/>
  <c r="C597" i="92"/>
  <c r="B839" i="92"/>
  <c r="B739" i="92"/>
  <c r="B157" i="92"/>
  <c r="B734" i="92"/>
  <c r="C281" i="92"/>
  <c r="C703" i="92"/>
  <c r="C280" i="92"/>
  <c r="B1259" i="92"/>
  <c r="B712" i="92"/>
  <c r="C586" i="92"/>
  <c r="C714" i="92"/>
  <c r="C544" i="92"/>
  <c r="B248" i="92"/>
  <c r="C550" i="92"/>
  <c r="B538" i="92"/>
  <c r="B504" i="92"/>
  <c r="C977" i="92"/>
  <c r="C535" i="92"/>
  <c r="C684" i="92"/>
  <c r="C634" i="92"/>
  <c r="C171" i="92"/>
  <c r="C332" i="92"/>
  <c r="B399" i="92"/>
  <c r="B402" i="92"/>
  <c r="B454" i="92"/>
  <c r="C143" i="92"/>
  <c r="B490" i="92"/>
  <c r="C58" i="92"/>
  <c r="B108" i="92"/>
  <c r="B1122" i="92"/>
  <c r="C461" i="92"/>
  <c r="B348" i="92"/>
  <c r="C347" i="92"/>
  <c r="C198" i="92"/>
  <c r="C380" i="92"/>
  <c r="C489" i="92"/>
  <c r="B737" i="92"/>
  <c r="C629" i="92"/>
  <c r="C374" i="92"/>
  <c r="C753" i="92"/>
  <c r="C180" i="92"/>
  <c r="B235" i="92"/>
  <c r="B415" i="92"/>
  <c r="C635" i="92"/>
  <c r="C185" i="92"/>
  <c r="C72" i="92"/>
  <c r="B340" i="92"/>
  <c r="B122" i="92"/>
  <c r="B414" i="92"/>
  <c r="B411" i="92"/>
  <c r="C360" i="92"/>
  <c r="B416" i="92"/>
  <c r="B567" i="92"/>
  <c r="B398" i="92"/>
  <c r="C1120" i="92"/>
  <c r="C1280" i="92"/>
  <c r="C443" i="92"/>
  <c r="C437" i="92"/>
  <c r="B1103" i="92"/>
  <c r="B300" i="92"/>
  <c r="B1042" i="92"/>
  <c r="C299" i="92"/>
  <c r="C334" i="92"/>
  <c r="C186" i="92"/>
  <c r="C1067" i="92"/>
  <c r="B361" i="92"/>
  <c r="C152" i="92"/>
  <c r="C407" i="92"/>
  <c r="C724" i="92"/>
  <c r="C525" i="92"/>
  <c r="C362" i="92"/>
  <c r="B555" i="92"/>
  <c r="C155" i="92"/>
  <c r="B208" i="92"/>
  <c r="B386" i="92"/>
  <c r="C573" i="92"/>
  <c r="B169" i="92"/>
  <c r="C68" i="92"/>
  <c r="B316" i="92"/>
  <c r="B118" i="92"/>
  <c r="C361" i="92"/>
  <c r="B354" i="92"/>
  <c r="C240" i="92"/>
  <c r="B341" i="92"/>
  <c r="B390" i="92"/>
  <c r="C343" i="92"/>
  <c r="C1247" i="92"/>
  <c r="C317" i="92"/>
  <c r="B1076" i="92"/>
  <c r="B308" i="92"/>
  <c r="B274" i="92"/>
  <c r="C283" i="92"/>
  <c r="B72" i="92"/>
  <c r="C1125" i="92"/>
  <c r="B62" i="92"/>
  <c r="B367" i="92"/>
  <c r="C650" i="92"/>
  <c r="C456" i="92"/>
  <c r="B803" i="92"/>
  <c r="B482" i="92"/>
  <c r="C1228" i="92"/>
  <c r="C1279" i="92"/>
  <c r="C453" i="92"/>
  <c r="C389" i="92"/>
  <c r="B344" i="92"/>
  <c r="B353" i="92"/>
  <c r="B473" i="92"/>
  <c r="B313" i="92"/>
  <c r="C326" i="92"/>
  <c r="B278" i="92"/>
  <c r="B261" i="92"/>
  <c r="C367" i="92"/>
  <c r="C1238" i="92"/>
  <c r="B500" i="92"/>
  <c r="C298" i="92"/>
  <c r="B680" i="92"/>
  <c r="C314" i="92"/>
  <c r="B220" i="92"/>
  <c r="C249" i="92"/>
  <c r="C720" i="92"/>
  <c r="B1106" i="92"/>
  <c r="B21" i="92"/>
  <c r="B452" i="92"/>
  <c r="C114" i="92"/>
  <c r="C251" i="92"/>
  <c r="C131" i="92"/>
  <c r="C258" i="92"/>
  <c r="B178" i="92"/>
  <c r="C406" i="92"/>
  <c r="C1257" i="92"/>
  <c r="C318" i="92"/>
  <c r="B105" i="92"/>
  <c r="B244" i="92"/>
  <c r="B483" i="92"/>
  <c r="B302" i="92"/>
  <c r="C212" i="92"/>
  <c r="C89" i="92"/>
  <c r="B73" i="92"/>
  <c r="B410" i="92"/>
  <c r="B927" i="92"/>
  <c r="B931" i="92"/>
  <c r="B760" i="92"/>
  <c r="C1113" i="92"/>
  <c r="C1175" i="92"/>
  <c r="C996" i="92"/>
  <c r="C1213" i="92"/>
  <c r="B658" i="92"/>
  <c r="B801" i="92"/>
  <c r="B1060" i="92"/>
  <c r="B872" i="92"/>
  <c r="B1215" i="92"/>
  <c r="C805" i="92"/>
  <c r="B903" i="92"/>
  <c r="C645" i="92"/>
  <c r="B765" i="92"/>
  <c r="B790" i="92"/>
  <c r="B648" i="92"/>
  <c r="B774" i="92"/>
  <c r="B1214" i="92"/>
  <c r="C509" i="92"/>
  <c r="C430" i="92"/>
  <c r="C401" i="92"/>
  <c r="B189" i="92"/>
  <c r="B290" i="92"/>
  <c r="C82" i="92"/>
  <c r="C120" i="92"/>
  <c r="B431" i="92"/>
  <c r="B394" i="92"/>
  <c r="B307" i="92"/>
  <c r="C373" i="92"/>
  <c r="C94" i="92"/>
  <c r="B54" i="92"/>
  <c r="C214" i="92"/>
  <c r="B387" i="92"/>
  <c r="C127" i="92"/>
  <c r="C47" i="92"/>
  <c r="C246" i="92"/>
  <c r="B97" i="92"/>
  <c r="C140" i="92"/>
  <c r="C150" i="92"/>
  <c r="C319" i="92"/>
  <c r="B225" i="92"/>
  <c r="B993" i="92"/>
  <c r="C898" i="92"/>
  <c r="C306" i="92"/>
  <c r="B370" i="92"/>
  <c r="B85" i="92"/>
  <c r="B44" i="92"/>
  <c r="C211" i="92"/>
  <c r="C130" i="92"/>
  <c r="C387" i="92"/>
  <c r="C205" i="92"/>
  <c r="B240" i="92"/>
  <c r="C505" i="92"/>
  <c r="B109" i="92"/>
  <c r="B133" i="92"/>
  <c r="B84" i="92"/>
  <c r="C791" i="92"/>
  <c r="C911" i="92"/>
  <c r="B542" i="92"/>
  <c r="B883" i="92"/>
  <c r="B1198" i="92"/>
  <c r="C719" i="92"/>
  <c r="B939" i="92"/>
  <c r="B1171" i="92"/>
  <c r="B732" i="92"/>
  <c r="C1046" i="92"/>
  <c r="B696" i="92"/>
  <c r="B937" i="92"/>
  <c r="B747" i="92"/>
  <c r="B628" i="92"/>
  <c r="B994" i="92"/>
  <c r="B561" i="92"/>
  <c r="C653" i="92"/>
  <c r="B780" i="92"/>
  <c r="B726" i="92"/>
  <c r="C931" i="92"/>
  <c r="B1211" i="92"/>
  <c r="C776" i="92"/>
  <c r="B1084" i="92"/>
  <c r="C639" i="92"/>
  <c r="B998" i="92"/>
  <c r="B1099" i="92"/>
  <c r="C706" i="92"/>
  <c r="C800" i="92"/>
  <c r="C348" i="92"/>
  <c r="C441" i="92"/>
  <c r="C184" i="92"/>
  <c r="C62" i="92"/>
  <c r="C80" i="92"/>
  <c r="C315" i="92"/>
  <c r="C225" i="92"/>
  <c r="B295" i="92"/>
  <c r="C349" i="92"/>
  <c r="C74" i="92"/>
  <c r="B28" i="92"/>
  <c r="C190" i="92"/>
  <c r="B363" i="92"/>
  <c r="C121" i="92"/>
  <c r="C34" i="92"/>
  <c r="C231" i="92"/>
  <c r="B91" i="92"/>
  <c r="C126" i="92"/>
  <c r="B140" i="92"/>
  <c r="B579" i="92"/>
  <c r="C183" i="92"/>
  <c r="C742" i="92"/>
  <c r="C736" i="92"/>
  <c r="C294" i="92"/>
  <c r="B346" i="92"/>
  <c r="B65" i="92"/>
  <c r="B24" i="92"/>
  <c r="B171" i="92"/>
  <c r="C110" i="92"/>
  <c r="C339" i="92"/>
  <c r="C43" i="92"/>
  <c r="C170" i="92"/>
  <c r="B358" i="92"/>
  <c r="B89" i="92"/>
  <c r="B113" i="92"/>
  <c r="B46" i="92"/>
  <c r="C716" i="92"/>
  <c r="B914" i="92"/>
  <c r="B613" i="92"/>
  <c r="B895" i="92"/>
  <c r="C1194" i="92"/>
  <c r="B763" i="92"/>
  <c r="C991" i="92"/>
  <c r="B1064" i="92"/>
  <c r="B750" i="92"/>
  <c r="B1206" i="92"/>
  <c r="B729" i="92"/>
  <c r="C993" i="92"/>
  <c r="C831" i="92"/>
  <c r="C610" i="92"/>
  <c r="B356" i="92"/>
  <c r="B86" i="92"/>
  <c r="C189" i="92"/>
  <c r="C206" i="92"/>
  <c r="C552" i="92"/>
  <c r="B20" i="92"/>
  <c r="B186" i="92"/>
  <c r="B80" i="92"/>
  <c r="C631" i="92"/>
  <c r="B917" i="92"/>
  <c r="B600" i="92"/>
  <c r="B1136" i="92"/>
  <c r="B1191" i="92"/>
  <c r="B1203" i="92"/>
  <c r="C920" i="92"/>
  <c r="B887" i="92"/>
  <c r="C572" i="92"/>
  <c r="C940" i="92"/>
  <c r="B795" i="92"/>
  <c r="B1156" i="92"/>
  <c r="B715" i="92"/>
  <c r="C845" i="92"/>
  <c r="C652" i="92"/>
  <c r="C960" i="92"/>
  <c r="B984" i="92"/>
  <c r="C1211" i="92"/>
  <c r="C647" i="92"/>
  <c r="C782" i="92"/>
  <c r="B730" i="92"/>
  <c r="B938" i="92"/>
  <c r="B1077" i="92"/>
  <c r="B815" i="92"/>
  <c r="B1089" i="92"/>
  <c r="B666" i="92"/>
  <c r="C986" i="92"/>
  <c r="B1175" i="92"/>
  <c r="C758" i="92"/>
  <c r="C1090" i="92"/>
  <c r="B627" i="92"/>
  <c r="B562" i="92"/>
  <c r="C1028" i="92"/>
  <c r="C325" i="92"/>
  <c r="B87" i="92"/>
  <c r="B45" i="92"/>
  <c r="B93" i="92"/>
  <c r="B753" i="92"/>
  <c r="B731" i="92"/>
  <c r="C925" i="92"/>
  <c r="B776" i="92"/>
  <c r="C1206" i="92"/>
  <c r="B1030" i="92"/>
  <c r="B1218" i="92"/>
  <c r="C754" i="92"/>
  <c r="B806" i="92"/>
  <c r="B941" i="92"/>
  <c r="C671" i="92"/>
  <c r="B1184" i="92"/>
  <c r="C1019" i="92"/>
  <c r="B1044" i="92"/>
  <c r="B963" i="92"/>
  <c r="B1196" i="92"/>
  <c r="B624" i="92"/>
  <c r="B855" i="92"/>
  <c r="B1046" i="92"/>
  <c r="B1228" i="92"/>
  <c r="B372" i="92"/>
  <c r="C1112" i="92"/>
  <c r="B312" i="92"/>
  <c r="C439" i="92"/>
  <c r="C487" i="92"/>
  <c r="C688" i="92"/>
  <c r="C26" i="92"/>
  <c r="B554" i="92"/>
  <c r="B425" i="92"/>
  <c r="B412" i="92"/>
  <c r="B442" i="92"/>
  <c r="B102" i="92"/>
  <c r="B210" i="92"/>
  <c r="C1121" i="92"/>
  <c r="B492" i="92"/>
  <c r="C769" i="92"/>
  <c r="B368" i="92"/>
  <c r="B375" i="92"/>
  <c r="C393" i="92"/>
  <c r="B98" i="92"/>
  <c r="C168" i="92"/>
  <c r="B185" i="92"/>
  <c r="C102" i="92"/>
  <c r="B319" i="92"/>
  <c r="C226" i="92"/>
  <c r="B619" i="92"/>
  <c r="C71" i="92"/>
  <c r="B121" i="92"/>
  <c r="B378" i="92"/>
  <c r="C768" i="92"/>
  <c r="B581" i="92"/>
  <c r="C627" i="92"/>
  <c r="B223" i="92"/>
  <c r="C595" i="92"/>
  <c r="C272" i="92"/>
  <c r="C115" i="92"/>
  <c r="C79" i="92"/>
  <c r="B48" i="92"/>
  <c r="B350" i="92"/>
  <c r="C129" i="92"/>
  <c r="C681" i="92"/>
  <c r="C651" i="92"/>
  <c r="C841" i="92"/>
  <c r="B1172" i="92"/>
  <c r="B949" i="92"/>
  <c r="B1033" i="92"/>
  <c r="B1205" i="92"/>
  <c r="C558" i="92"/>
  <c r="C1029" i="92"/>
  <c r="C948" i="92"/>
  <c r="B1014" i="92"/>
  <c r="C661" i="92"/>
  <c r="C1017" i="92"/>
  <c r="C1133" i="92"/>
  <c r="C695" i="92"/>
  <c r="B882" i="92"/>
  <c r="B926" i="92"/>
  <c r="B957" i="92"/>
  <c r="C1030" i="92"/>
  <c r="B1208" i="92"/>
  <c r="B593" i="92"/>
  <c r="C358" i="92"/>
  <c r="C193" i="92"/>
  <c r="B408" i="92"/>
  <c r="C561" i="92"/>
  <c r="B388" i="92"/>
  <c r="C669" i="92"/>
  <c r="C556" i="92"/>
  <c r="B428" i="92"/>
  <c r="B256" i="92"/>
  <c r="C287" i="92"/>
  <c r="C28" i="92"/>
  <c r="B30" i="92"/>
  <c r="C63" i="92"/>
  <c r="C295" i="92"/>
  <c r="C107" i="92"/>
  <c r="B1026" i="92"/>
  <c r="B176" i="92"/>
  <c r="B77" i="92"/>
  <c r="C90" i="92"/>
  <c r="B100" i="92"/>
  <c r="C409" i="92"/>
  <c r="C44" i="92"/>
  <c r="C424" i="92"/>
  <c r="B528" i="92"/>
  <c r="B255" i="92"/>
  <c r="B284" i="92"/>
  <c r="B25" i="92"/>
  <c r="C25" i="92"/>
  <c r="C53" i="92"/>
  <c r="B6" i="92"/>
  <c r="C517" i="92"/>
  <c r="B382" i="92"/>
  <c r="C95" i="92"/>
  <c r="C139" i="92"/>
  <c r="B5" i="92"/>
  <c r="B53" i="92"/>
  <c r="B310" i="92"/>
  <c r="B922" i="92"/>
  <c r="B717" i="92"/>
  <c r="C762" i="92"/>
  <c r="C1043" i="92"/>
  <c r="B663" i="92"/>
  <c r="C806" i="92"/>
  <c r="C1100" i="92"/>
  <c r="C641" i="92"/>
  <c r="C833" i="92"/>
  <c r="C638" i="92"/>
  <c r="C798" i="92"/>
  <c r="B1179" i="92"/>
  <c r="B1036" i="92"/>
  <c r="B836" i="92"/>
  <c r="B964" i="92"/>
  <c r="C824" i="92"/>
  <c r="B784" i="92"/>
  <c r="B660" i="92"/>
  <c r="B819" i="92"/>
  <c r="B1114" i="92"/>
  <c r="B959" i="92"/>
  <c r="B1007" i="92"/>
  <c r="B1190" i="92"/>
  <c r="C951" i="92"/>
  <c r="B1006" i="92"/>
  <c r="B1016" i="92"/>
  <c r="C416" i="92"/>
  <c r="C322" i="92"/>
  <c r="B890" i="92"/>
  <c r="C350" i="92"/>
  <c r="B362" i="92"/>
  <c r="B292" i="92"/>
  <c r="B306" i="92"/>
  <c r="B296" i="92"/>
  <c r="B1017" i="92"/>
  <c r="B243" i="92"/>
  <c r="C271" i="92"/>
  <c r="C20" i="92"/>
  <c r="C938" i="92"/>
  <c r="C27" i="92"/>
  <c r="B279" i="92"/>
  <c r="C101" i="92"/>
  <c r="C705" i="92"/>
  <c r="C151" i="92"/>
  <c r="B71" i="92"/>
  <c r="C76" i="92"/>
  <c r="B90" i="92"/>
  <c r="C363" i="92"/>
  <c r="C24" i="92"/>
  <c r="B373" i="92"/>
  <c r="B495" i="92"/>
  <c r="C242" i="92"/>
  <c r="C268" i="92"/>
  <c r="B16" i="92"/>
  <c r="C855" i="92"/>
  <c r="C23" i="92"/>
  <c r="C608" i="92"/>
  <c r="B389" i="92"/>
  <c r="B288" i="92"/>
  <c r="C75" i="92"/>
  <c r="C119" i="92"/>
  <c r="B252" i="92"/>
  <c r="B19" i="92"/>
  <c r="B239" i="92"/>
  <c r="C785" i="92"/>
  <c r="C654" i="92"/>
  <c r="B996" i="92"/>
  <c r="B1216" i="92"/>
  <c r="B646" i="92"/>
  <c r="C842" i="92"/>
  <c r="B1173" i="92"/>
  <c r="B958" i="92"/>
  <c r="C871" i="92"/>
  <c r="B653" i="92"/>
  <c r="C834" i="92"/>
  <c r="C1183" i="92"/>
  <c r="C1142" i="92"/>
  <c r="B529" i="92"/>
  <c r="B351" i="92"/>
  <c r="B217" i="92"/>
  <c r="B259" i="92"/>
  <c r="C77" i="92"/>
  <c r="B472" i="92"/>
  <c r="B708" i="92"/>
  <c r="B247" i="92"/>
  <c r="B9" i="92"/>
  <c r="B61" i="92"/>
  <c r="B564" i="92"/>
  <c r="B1149" i="92"/>
  <c r="C574" i="92"/>
  <c r="C1146" i="92"/>
  <c r="B1155" i="92"/>
  <c r="B951" i="92"/>
  <c r="C1189" i="92"/>
  <c r="C677" i="92"/>
  <c r="C1193" i="92"/>
  <c r="C588" i="92"/>
  <c r="C933" i="92"/>
  <c r="C713" i="92"/>
  <c r="B978" i="92"/>
  <c r="B752" i="92"/>
  <c r="B702" i="92"/>
  <c r="B1094" i="92"/>
  <c r="C541" i="92"/>
  <c r="C788" i="92"/>
  <c r="B656" i="92"/>
  <c r="C825" i="92"/>
  <c r="B1167" i="92"/>
  <c r="B950" i="92"/>
  <c r="B1008" i="92"/>
  <c r="B1197" i="92"/>
  <c r="B948" i="92"/>
  <c r="C1032" i="92"/>
  <c r="C963" i="92"/>
  <c r="C945" i="92"/>
  <c r="B781" i="92"/>
  <c r="C1007" i="92"/>
  <c r="C823" i="92"/>
  <c r="B1168" i="92"/>
  <c r="C6" i="92"/>
  <c r="B126" i="92"/>
  <c r="C133" i="92"/>
  <c r="C657" i="92"/>
  <c r="C1207" i="92"/>
  <c r="B1207" i="92"/>
  <c r="B787" i="92"/>
  <c r="B1150" i="92"/>
  <c r="B956" i="92"/>
  <c r="B851" i="92"/>
  <c r="C1111" i="92"/>
  <c r="B1029" i="92"/>
  <c r="B597" i="92"/>
  <c r="B1147" i="92"/>
  <c r="C655" i="92"/>
  <c r="B667" i="92"/>
  <c r="C964" i="92"/>
  <c r="C912" i="92"/>
  <c r="C578" i="92"/>
  <c r="C1076" i="92"/>
  <c r="B727" i="92"/>
  <c r="B1166" i="92"/>
  <c r="C397" i="92"/>
  <c r="C122" i="92"/>
  <c r="B331" i="92"/>
  <c r="B304" i="92"/>
  <c r="C270" i="92"/>
  <c r="C678" i="92"/>
  <c r="C330" i="92"/>
  <c r="B294" i="92"/>
  <c r="B392" i="92"/>
  <c r="B60" i="92"/>
  <c r="C821" i="92"/>
  <c r="B1202" i="92"/>
  <c r="B886" i="92"/>
  <c r="C516" i="92"/>
  <c r="B891" i="92"/>
  <c r="C890" i="92"/>
  <c r="C819" i="92"/>
  <c r="C491" i="92"/>
  <c r="B212" i="92"/>
  <c r="C967" i="92"/>
  <c r="B576" i="92"/>
  <c r="B327" i="92"/>
  <c r="B88" i="92"/>
  <c r="C616" i="92"/>
  <c r="C613" i="92"/>
  <c r="B115" i="92"/>
  <c r="C132" i="92"/>
  <c r="B230" i="92"/>
  <c r="B676" i="92"/>
  <c r="C1002" i="92"/>
  <c r="B485" i="92"/>
  <c r="C508" i="92"/>
  <c r="C1053" i="92"/>
  <c r="B95" i="92"/>
  <c r="C128" i="92"/>
  <c r="C146" i="92"/>
  <c r="C454" i="92"/>
  <c r="B532" i="92"/>
  <c r="C136" i="92"/>
  <c r="C395" i="92"/>
  <c r="B94" i="92"/>
  <c r="C418" i="92"/>
  <c r="C51" i="92"/>
  <c r="B101" i="92"/>
  <c r="B203" i="92"/>
  <c r="C265" i="92"/>
  <c r="C331" i="92"/>
  <c r="B391" i="92"/>
  <c r="C83" i="92"/>
  <c r="C197" i="92"/>
  <c r="B366" i="92"/>
  <c r="B99" i="92"/>
  <c r="B374" i="92"/>
  <c r="B644" i="92"/>
  <c r="C125" i="92"/>
  <c r="B139" i="92"/>
  <c r="B788" i="92"/>
  <c r="B565" i="92"/>
  <c r="C1147" i="92"/>
  <c r="B1112" i="92"/>
  <c r="C648" i="92"/>
  <c r="C1137" i="92"/>
  <c r="C1205" i="92"/>
  <c r="C545" i="92"/>
  <c r="B810" i="92"/>
  <c r="B591" i="92"/>
  <c r="C1140" i="92"/>
  <c r="B929" i="92"/>
  <c r="B1081" i="92"/>
  <c r="C1215" i="92"/>
  <c r="C777" i="92"/>
  <c r="C910" i="92"/>
  <c r="C680" i="92"/>
  <c r="C689" i="92"/>
  <c r="B1140" i="92"/>
  <c r="C1252" i="92"/>
  <c r="B438" i="92"/>
  <c r="B211" i="92"/>
  <c r="B446" i="92"/>
  <c r="C179" i="92"/>
  <c r="C9" i="92"/>
  <c r="B132" i="92"/>
  <c r="B136" i="92"/>
  <c r="C84" i="92"/>
  <c r="C499" i="92"/>
  <c r="B192" i="92"/>
  <c r="B216" i="92"/>
  <c r="C321" i="92"/>
  <c r="B589" i="92"/>
  <c r="B26" i="92"/>
  <c r="C233" i="92"/>
  <c r="C87" i="92"/>
  <c r="C417" i="92"/>
  <c r="B137" i="92"/>
  <c r="C33" i="92"/>
  <c r="C30" i="92"/>
  <c r="C10" i="92"/>
  <c r="C262" i="92"/>
  <c r="C187" i="92"/>
  <c r="B209" i="92"/>
  <c r="C412" i="92"/>
  <c r="C191" i="92"/>
  <c r="B213" i="92"/>
  <c r="B314" i="92"/>
  <c r="C580" i="92"/>
  <c r="C21" i="92"/>
  <c r="B130" i="92"/>
  <c r="B152" i="92"/>
  <c r="B123" i="92"/>
  <c r="C69" i="92"/>
  <c r="C59" i="92"/>
  <c r="C285" i="92"/>
  <c r="B264" i="92"/>
  <c r="C109" i="92"/>
  <c r="C664" i="92"/>
  <c r="B960" i="92"/>
  <c r="C946" i="92"/>
  <c r="B1193" i="92"/>
  <c r="C543" i="92"/>
  <c r="C1158" i="92"/>
  <c r="B1062" i="92"/>
  <c r="C571" i="92"/>
  <c r="C1153" i="92"/>
  <c r="B954" i="92"/>
  <c r="B1028" i="92"/>
  <c r="B921" i="92"/>
  <c r="B1165" i="92"/>
  <c r="B859" i="92"/>
  <c r="B841" i="92"/>
  <c r="C1104" i="92"/>
  <c r="B919" i="92"/>
  <c r="B560" i="92"/>
  <c r="C1159" i="92"/>
  <c r="B1065" i="92"/>
  <c r="C589" i="92"/>
  <c r="B1145" i="92"/>
  <c r="B1189" i="92"/>
  <c r="C698" i="92"/>
  <c r="B1143" i="92"/>
  <c r="C766" i="92"/>
  <c r="C813" i="92"/>
  <c r="B175" i="92"/>
  <c r="B403" i="92"/>
  <c r="B502" i="92"/>
  <c r="B541" i="92"/>
  <c r="B112" i="92"/>
  <c r="B96" i="92"/>
  <c r="C297" i="92"/>
  <c r="C413" i="92"/>
  <c r="C174" i="92"/>
  <c r="B201" i="92"/>
  <c r="B282" i="92"/>
  <c r="B545" i="92"/>
  <c r="C3" i="92"/>
  <c r="C221" i="92"/>
  <c r="C81" i="92"/>
  <c r="C381" i="92"/>
  <c r="B131" i="92"/>
  <c r="C12" i="92"/>
  <c r="C878" i="92"/>
  <c r="C532" i="92"/>
  <c r="B231" i="92"/>
  <c r="B74" i="92"/>
  <c r="C169" i="92"/>
  <c r="C390" i="92"/>
  <c r="C173" i="92"/>
  <c r="B198" i="92"/>
  <c r="C275" i="92"/>
  <c r="C537" i="92"/>
  <c r="B746" i="92"/>
  <c r="B106" i="92"/>
  <c r="C64" i="92"/>
  <c r="B103" i="92"/>
  <c r="B448" i="92"/>
  <c r="B27" i="92"/>
  <c r="C123" i="92"/>
  <c r="B200" i="92"/>
  <c r="C49" i="92"/>
  <c r="C915" i="92"/>
  <c r="C950" i="92"/>
  <c r="C1034" i="92"/>
  <c r="B1204" i="92"/>
  <c r="C557" i="92"/>
  <c r="B1138" i="92"/>
  <c r="C1169" i="92"/>
  <c r="C599" i="92"/>
  <c r="B1160" i="92"/>
  <c r="B566" i="92"/>
  <c r="C1148" i="92"/>
  <c r="C929" i="92"/>
  <c r="B1082" i="92"/>
  <c r="C433" i="92"/>
  <c r="B377" i="92"/>
  <c r="C391" i="92"/>
  <c r="B460" i="92"/>
  <c r="C357" i="92"/>
  <c r="B972" i="92"/>
  <c r="C378" i="92"/>
  <c r="B436" i="92"/>
  <c r="B83" i="92"/>
  <c r="C145" i="92"/>
  <c r="C1027" i="92"/>
  <c r="C1185" i="92"/>
  <c r="B1151" i="92"/>
  <c r="B1113" i="92"/>
  <c r="B940" i="92"/>
  <c r="B552" i="92"/>
  <c r="C1099" i="92"/>
  <c r="C816" i="92"/>
  <c r="C1173" i="92"/>
  <c r="B720" i="92"/>
  <c r="B665" i="92"/>
  <c r="B802" i="92"/>
  <c r="B1199" i="92"/>
  <c r="C941" i="92"/>
  <c r="C1026" i="92"/>
  <c r="B639" i="92"/>
  <c r="B811" i="92"/>
  <c r="B911" i="92"/>
  <c r="C565" i="92"/>
  <c r="C1155" i="92"/>
  <c r="B1078" i="92"/>
  <c r="C596" i="92"/>
  <c r="C1141" i="92"/>
  <c r="C1197" i="92"/>
  <c r="B707" i="92"/>
  <c r="B1133" i="92"/>
  <c r="C593" i="92"/>
  <c r="C1143" i="92"/>
  <c r="C780" i="92"/>
  <c r="B979" i="92"/>
  <c r="C939" i="92"/>
  <c r="B536" i="92"/>
  <c r="B339" i="92"/>
  <c r="C124" i="92"/>
  <c r="C279" i="92"/>
  <c r="B722" i="92"/>
  <c r="C1202" i="92"/>
  <c r="C618" i="92"/>
  <c r="C666" i="92"/>
  <c r="C1044" i="92"/>
  <c r="B616" i="92"/>
  <c r="C1018" i="92"/>
  <c r="B556" i="92"/>
  <c r="C869" i="92"/>
  <c r="C747" i="92"/>
  <c r="B909" i="92"/>
  <c r="B645" i="92"/>
  <c r="B800" i="92"/>
  <c r="B881" i="92"/>
  <c r="C656" i="92"/>
  <c r="B1009" i="92"/>
  <c r="B655" i="92"/>
  <c r="B820" i="92"/>
  <c r="B1079" i="92"/>
  <c r="C484" i="92"/>
  <c r="B242" i="92"/>
  <c r="C445" i="92"/>
  <c r="C481" i="92"/>
  <c r="B107" i="92"/>
  <c r="B317" i="92"/>
  <c r="B435" i="92"/>
  <c r="C273" i="92"/>
  <c r="C19" i="92"/>
  <c r="B916" i="92"/>
  <c r="C990" i="92"/>
  <c r="B611" i="92"/>
  <c r="B668" i="92"/>
  <c r="C428" i="92"/>
  <c r="C402" i="92"/>
  <c r="C1079" i="92"/>
  <c r="C52" i="92"/>
  <c r="B551" i="92"/>
  <c r="C48" i="92"/>
  <c r="B548" i="92"/>
  <c r="C333" i="92"/>
  <c r="C366" i="92"/>
  <c r="B63" i="92"/>
  <c r="B232" i="92"/>
  <c r="B854" i="92"/>
  <c r="C1186" i="92"/>
  <c r="B898" i="92"/>
  <c r="B642" i="92"/>
  <c r="B899" i="92"/>
  <c r="B843" i="92"/>
  <c r="C632" i="92"/>
  <c r="C154" i="92"/>
  <c r="C147" i="92"/>
  <c r="B291" i="92"/>
  <c r="B698" i="92"/>
  <c r="C153" i="92"/>
  <c r="C502" i="92"/>
  <c r="B280" i="92"/>
  <c r="B786" i="92"/>
  <c r="C548" i="92"/>
  <c r="B856" i="92"/>
  <c r="B647" i="92"/>
  <c r="C663" i="92"/>
  <c r="C575" i="92"/>
  <c r="C901" i="92"/>
  <c r="B689" i="92"/>
  <c r="C148" i="92"/>
  <c r="B150" i="92"/>
  <c r="C141" i="92"/>
  <c r="B257" i="92"/>
  <c r="B508" i="92"/>
  <c r="B145" i="92"/>
  <c r="B462" i="92"/>
  <c r="C219" i="92"/>
  <c r="C607" i="92"/>
  <c r="B632" i="92"/>
  <c r="B885" i="92"/>
  <c r="C954" i="92"/>
  <c r="B690" i="92"/>
  <c r="C685" i="92"/>
  <c r="B671" i="92"/>
  <c r="C1010" i="92"/>
  <c r="B837" i="92"/>
  <c r="C1214" i="92"/>
  <c r="C659" i="92"/>
  <c r="C579" i="92"/>
  <c r="C909" i="92"/>
  <c r="C1196" i="92"/>
  <c r="C598" i="92"/>
  <c r="C1163" i="92"/>
  <c r="B1209" i="92"/>
  <c r="C1047" i="92"/>
  <c r="C927" i="92"/>
  <c r="C1190" i="92"/>
  <c r="B559" i="92"/>
  <c r="C137" i="92"/>
  <c r="C419" i="92"/>
  <c r="C865" i="92"/>
  <c r="C667" i="92"/>
  <c r="B897" i="92"/>
  <c r="C1174" i="92"/>
  <c r="B913" i="92"/>
  <c r="B756" i="92"/>
  <c r="B1210" i="92"/>
  <c r="C864" i="92"/>
  <c r="C1209" i="92"/>
  <c r="B762" i="92"/>
  <c r="B652" i="92"/>
  <c r="B838" i="92"/>
  <c r="C917" i="92"/>
  <c r="C1089" i="92"/>
  <c r="B1153" i="92"/>
  <c r="C760" i="92"/>
  <c r="C894" i="92"/>
  <c r="C789" i="92"/>
  <c r="B596" i="92"/>
  <c r="C1135" i="92"/>
  <c r="C1172" i="92"/>
  <c r="B699" i="92"/>
  <c r="B822" i="92"/>
  <c r="B977" i="92"/>
  <c r="C621" i="92"/>
  <c r="B848" i="92"/>
  <c r="C640" i="92"/>
  <c r="C803" i="92"/>
  <c r="C707" i="92"/>
  <c r="C1020" i="92"/>
  <c r="C1178" i="92"/>
  <c r="C284" i="92"/>
  <c r="C70" i="92"/>
  <c r="B144" i="92"/>
  <c r="B516" i="92"/>
  <c r="B67" i="92"/>
  <c r="B69" i="92"/>
  <c r="C1045" i="92"/>
  <c r="C999" i="92"/>
  <c r="B728" i="92"/>
  <c r="C662" i="92"/>
  <c r="C1048" i="92"/>
  <c r="B805" i="92"/>
  <c r="B11" i="92"/>
  <c r="B10" i="92"/>
  <c r="C1009" i="92"/>
  <c r="C643" i="92"/>
  <c r="B598" i="92"/>
  <c r="C609" i="92"/>
  <c r="C781" i="92"/>
  <c r="B651" i="92"/>
  <c r="C576" i="92"/>
  <c r="B626" i="92"/>
  <c r="C794" i="92"/>
  <c r="C958" i="92"/>
  <c r="C1101" i="92"/>
  <c r="B681" i="92"/>
  <c r="B1174" i="92"/>
  <c r="C918" i="92"/>
  <c r="C919" i="92"/>
  <c r="C1208" i="92"/>
  <c r="B599" i="92"/>
  <c r="C562" i="92"/>
  <c r="B650" i="92"/>
  <c r="B852" i="92"/>
  <c r="C256" i="92"/>
  <c r="C253" i="92"/>
  <c r="C965" i="92"/>
  <c r="B918" i="92"/>
  <c r="B654" i="92"/>
  <c r="B783" i="92"/>
  <c r="C665" i="92"/>
  <c r="C1021" i="92"/>
  <c r="B637" i="92"/>
  <c r="C737" i="92"/>
  <c r="B925" i="92"/>
  <c r="B657" i="92"/>
  <c r="C757" i="92"/>
  <c r="C463" i="92"/>
  <c r="C815" i="92"/>
  <c r="B782" i="92"/>
  <c r="B1066" i="92"/>
  <c r="C1216" i="92"/>
  <c r="C1152" i="92"/>
  <c r="C975" i="92"/>
  <c r="B594" i="92"/>
  <c r="C567" i="92"/>
  <c r="B789" i="92"/>
  <c r="B1137" i="92"/>
  <c r="C222" i="92"/>
  <c r="C5" i="92"/>
  <c r="B147" i="92"/>
  <c r="B117" i="92"/>
  <c r="B629" i="92"/>
  <c r="C617" i="92"/>
  <c r="C313" i="92"/>
  <c r="B365" i="92"/>
  <c r="C1200" i="92"/>
  <c r="C832" i="92"/>
  <c r="C668" i="92"/>
  <c r="C658" i="92"/>
  <c r="B574" i="92"/>
  <c r="C243" i="92"/>
  <c r="C900" i="92"/>
  <c r="B1164" i="92"/>
  <c r="B1213" i="92"/>
  <c r="C749" i="92"/>
  <c r="C649" i="92"/>
  <c r="B1031" i="92"/>
  <c r="C952" i="92"/>
  <c r="B381" i="92"/>
  <c r="C116" i="92"/>
  <c r="B764" i="92"/>
  <c r="C250" i="92"/>
  <c r="C1011" i="92"/>
  <c r="B679" i="92"/>
  <c r="B910" i="92"/>
  <c r="C1154" i="92"/>
  <c r="C1138" i="92"/>
  <c r="C345" i="92"/>
  <c r="B880" i="92"/>
  <c r="C1179" i="92"/>
  <c r="C199" i="92"/>
  <c r="B1201" i="92"/>
  <c r="B1034" i="92"/>
  <c r="C1182" i="92"/>
  <c r="C473" i="92"/>
  <c r="B333" i="92"/>
  <c r="C838" i="92"/>
  <c r="C228" i="92"/>
  <c r="C300" i="92"/>
  <c r="B188" i="92"/>
  <c r="C177" i="92"/>
  <c r="C385" i="92"/>
  <c r="B174" i="92"/>
  <c r="C764" i="92"/>
  <c r="B791" i="92"/>
  <c r="C1022" i="92"/>
  <c r="B703" i="92"/>
  <c r="C955" i="92"/>
  <c r="B618" i="92"/>
  <c r="C498" i="92"/>
  <c r="C204" i="92"/>
  <c r="C822" i="92"/>
  <c r="C202" i="92"/>
  <c r="C67" i="92"/>
  <c r="B330" i="92"/>
  <c r="B486" i="92"/>
  <c r="B196" i="92"/>
  <c r="C113" i="92"/>
  <c r="C457" i="92"/>
  <c r="B590" i="92"/>
  <c r="B847" i="92"/>
  <c r="C697" i="92"/>
  <c r="C1166" i="92"/>
  <c r="C615" i="92"/>
  <c r="C899" i="92"/>
  <c r="B1265" i="92"/>
  <c r="B151" i="92"/>
  <c r="C1223" i="92"/>
  <c r="C175" i="92"/>
  <c r="C61" i="92"/>
  <c r="B267" i="92"/>
  <c r="B424" i="92"/>
  <c r="B156" i="92"/>
  <c r="B47" i="92"/>
  <c r="B334" i="92"/>
  <c r="B687" i="92"/>
  <c r="B876" i="92"/>
  <c r="B550" i="92"/>
  <c r="C696" i="92"/>
  <c r="B127" i="92"/>
  <c r="C182" i="92"/>
  <c r="C921" i="92"/>
  <c r="B659" i="92"/>
  <c r="B965" i="92"/>
  <c r="B932" i="92"/>
  <c r="B623" i="92"/>
  <c r="B896" i="92"/>
  <c r="B824" i="92"/>
  <c r="B604" i="92"/>
  <c r="B269" i="92"/>
  <c r="B592" i="92"/>
  <c r="B633" i="92"/>
  <c r="C1151" i="92"/>
  <c r="B908" i="92"/>
  <c r="C770" i="92"/>
  <c r="C888" i="92"/>
  <c r="C57" i="92"/>
  <c r="C379" i="92"/>
  <c r="C620" i="92"/>
  <c r="C547" i="92"/>
  <c r="B634" i="92"/>
  <c r="B865" i="92"/>
  <c r="C784" i="92"/>
  <c r="B1139" i="92"/>
  <c r="C642" i="92"/>
  <c r="B1134" i="92"/>
  <c r="B1194" i="92"/>
  <c r="C935" i="92"/>
  <c r="C555" i="92"/>
  <c r="C1136" i="92"/>
  <c r="C926" i="92"/>
  <c r="C1164" i="92"/>
  <c r="C1042" i="92"/>
  <c r="B1148" i="92"/>
  <c r="B785" i="92"/>
  <c r="C914" i="92"/>
  <c r="B748" i="92"/>
  <c r="C875" i="92"/>
  <c r="B1178" i="92"/>
  <c r="B685" i="92"/>
  <c r="B934" i="92"/>
  <c r="C1210" i="92"/>
  <c r="B724" i="92"/>
  <c r="C1106" i="92"/>
  <c r="B612" i="92"/>
  <c r="B936" i="92"/>
  <c r="C795" i="92"/>
  <c r="B1027" i="92"/>
  <c r="B630" i="92"/>
  <c r="B825" i="92"/>
  <c r="B182" i="92"/>
  <c r="C117" i="92"/>
  <c r="C526" i="92"/>
  <c r="C86" i="92"/>
  <c r="B585" i="92"/>
  <c r="B986" i="92"/>
  <c r="C1157" i="92"/>
  <c r="B866" i="92"/>
  <c r="C605" i="92"/>
  <c r="C1188" i="92"/>
  <c r="B1273" i="92"/>
  <c r="C97" i="92"/>
  <c r="B281" i="92"/>
  <c r="B807" i="92"/>
  <c r="B1176" i="92"/>
  <c r="B889" i="92"/>
  <c r="B842" i="92"/>
  <c r="B641" i="92"/>
  <c r="B868" i="92"/>
  <c r="C944" i="92"/>
  <c r="B844" i="92"/>
  <c r="C873" i="92"/>
  <c r="C932" i="92"/>
  <c r="B955" i="92"/>
  <c r="C863" i="92"/>
  <c r="C807" i="92"/>
  <c r="C1176" i="92"/>
  <c r="B705" i="92"/>
  <c r="C756" i="92"/>
  <c r="C775" i="92"/>
  <c r="B761" i="92"/>
  <c r="C592" i="92"/>
  <c r="C773" i="92"/>
  <c r="B260" i="92"/>
  <c r="B286" i="92"/>
  <c r="C1008" i="92"/>
  <c r="B858" i="92"/>
  <c r="C1149" i="92"/>
  <c r="B797" i="92"/>
  <c r="B792" i="92"/>
  <c r="B755" i="92"/>
  <c r="C843" i="92"/>
  <c r="B818" i="92"/>
  <c r="C997" i="92"/>
  <c r="B853" i="92"/>
  <c r="C744" i="92"/>
  <c r="C725" i="92"/>
  <c r="B1192" i="92"/>
  <c r="B635" i="92"/>
  <c r="B544" i="92"/>
  <c r="B804" i="92"/>
  <c r="B912" i="92"/>
  <c r="B595" i="92"/>
  <c r="B758" i="92"/>
  <c r="B721" i="92"/>
  <c r="C554" i="92"/>
  <c r="B725" i="92"/>
  <c r="B7" i="92"/>
  <c r="B22" i="92"/>
  <c r="B850" i="92"/>
  <c r="B18" i="92"/>
  <c r="C1180" i="92"/>
  <c r="C1041" i="92"/>
  <c r="C529" i="92"/>
  <c r="C337" i="92"/>
  <c r="C540" i="92"/>
  <c r="B1061" i="92"/>
  <c r="B794" i="92"/>
  <c r="B23" i="92"/>
  <c r="B751" i="92"/>
  <c r="B134" i="92"/>
  <c r="B254" i="92"/>
  <c r="B573" i="92"/>
  <c r="C549" i="92"/>
  <c r="B835" i="92"/>
  <c r="C715" i="92"/>
  <c r="B867" i="92"/>
  <c r="B976" i="92"/>
  <c r="C1031" i="92"/>
  <c r="C1012" i="92"/>
  <c r="C135" i="92"/>
  <c r="B1021" i="92"/>
  <c r="B1219" i="92"/>
  <c r="C902" i="92"/>
  <c r="C644" i="92"/>
  <c r="B605" i="92"/>
  <c r="B1182" i="92"/>
  <c r="C255" i="92"/>
  <c r="B1019" i="92"/>
  <c r="C903" i="92"/>
  <c r="B580" i="92"/>
  <c r="C988" i="92"/>
  <c r="C1177" i="92"/>
  <c r="C234" i="92"/>
  <c r="C371" i="92"/>
  <c r="B270" i="92"/>
  <c r="C355" i="92"/>
  <c r="C626" i="92"/>
  <c r="C307" i="92"/>
  <c r="C564" i="92"/>
  <c r="B413" i="92"/>
  <c r="B419" i="92"/>
  <c r="C394" i="92"/>
  <c r="B129" i="92"/>
  <c r="B649" i="92"/>
  <c r="B614" i="92"/>
  <c r="B933" i="92"/>
  <c r="B617" i="92"/>
  <c r="C787" i="92"/>
  <c r="B206" i="92"/>
  <c r="C224" i="92"/>
  <c r="B355" i="92"/>
  <c r="B376" i="92"/>
  <c r="C309" i="92"/>
  <c r="C296" i="92"/>
  <c r="C354" i="92"/>
  <c r="C369" i="92"/>
  <c r="B43" i="92"/>
  <c r="C105" i="92"/>
  <c r="B1154" i="92"/>
  <c r="C1049" i="92"/>
  <c r="B828" i="92"/>
  <c r="C893" i="92"/>
  <c r="B829" i="92"/>
  <c r="B1063" i="92"/>
  <c r="C392" i="92"/>
  <c r="C142" i="92"/>
  <c r="B343" i="92"/>
  <c r="B352" i="92"/>
  <c r="C289" i="92"/>
  <c r="B197" i="92"/>
  <c r="C342" i="92"/>
  <c r="B342" i="92"/>
  <c r="B738" i="92"/>
  <c r="C85" i="92"/>
  <c r="C1134" i="92"/>
  <c r="B1169" i="92"/>
  <c r="B857" i="92"/>
  <c r="B92" i="92"/>
  <c r="B180" i="92"/>
  <c r="B326" i="92"/>
  <c r="B625" i="92"/>
  <c r="B1161" i="92"/>
  <c r="C1160" i="92"/>
  <c r="C1036" i="92"/>
  <c r="B846" i="92"/>
  <c r="B1080" i="92"/>
  <c r="C905" i="92"/>
  <c r="C291" i="92"/>
  <c r="B1183" i="92"/>
  <c r="C1184" i="92"/>
  <c r="C1059" i="92"/>
  <c r="C839" i="92"/>
  <c r="C559" i="92"/>
  <c r="C440" i="92"/>
  <c r="C134" i="92"/>
  <c r="B218" i="92"/>
  <c r="B125" i="92"/>
  <c r="C149" i="92"/>
  <c r="B543" i="92"/>
  <c r="B557" i="92"/>
  <c r="C546" i="92"/>
  <c r="B643" i="92"/>
  <c r="B1000" i="92"/>
  <c r="C699" i="92"/>
  <c r="B1022" i="92"/>
  <c r="C949" i="92"/>
  <c r="B840" i="92"/>
  <c r="B622" i="92"/>
  <c r="B870" i="92"/>
  <c r="C959" i="92"/>
  <c r="B606" i="92"/>
  <c r="C1201" i="92"/>
  <c r="C957" i="92"/>
  <c r="C922" i="92"/>
  <c r="C679" i="92"/>
  <c r="B744" i="92"/>
  <c r="C992" i="92"/>
  <c r="B640" i="92"/>
  <c r="C779" i="92"/>
  <c r="C1023" i="92"/>
  <c r="C646" i="92"/>
  <c r="B817" i="92"/>
  <c r="C1187" i="92"/>
  <c r="B997" i="92"/>
  <c r="B1212" i="92"/>
  <c r="B714" i="92"/>
  <c r="C745" i="92"/>
  <c r="B1135" i="92"/>
  <c r="B32" i="92"/>
  <c r="B283" i="92"/>
  <c r="C207" i="92"/>
  <c r="C282" i="92"/>
  <c r="C11" i="92"/>
  <c r="C792" i="92"/>
  <c r="C743" i="92"/>
  <c r="C746" i="92"/>
  <c r="B669" i="92"/>
  <c r="C891" i="92"/>
  <c r="C1114" i="92"/>
  <c r="C302" i="92"/>
  <c r="C66" i="92"/>
  <c r="B119" i="92"/>
  <c r="C1033" i="92"/>
  <c r="B636" i="92"/>
  <c r="C577" i="92"/>
  <c r="C1191" i="92"/>
  <c r="B799" i="92"/>
  <c r="B1181" i="92"/>
  <c r="B906" i="92"/>
  <c r="B878" i="92"/>
  <c r="B983" i="92"/>
  <c r="B219" i="92"/>
  <c r="C786" i="92"/>
  <c r="C1203" i="92"/>
  <c r="C956" i="92"/>
  <c r="B888" i="92"/>
  <c r="B735" i="92"/>
  <c r="B884" i="92"/>
  <c r="B1152" i="92"/>
  <c r="B1159" i="92"/>
  <c r="B900" i="92"/>
  <c r="C633" i="92"/>
  <c r="B66" i="92"/>
  <c r="C99" i="92"/>
  <c r="B879" i="92"/>
  <c r="B563" i="92"/>
  <c r="C591" i="92"/>
  <c r="B1185" i="92"/>
  <c r="B684" i="92"/>
  <c r="B1050" i="92"/>
  <c r="B877" i="92"/>
  <c r="B849" i="92"/>
  <c r="B1200" i="92"/>
  <c r="C398" i="92"/>
  <c r="B609" i="92"/>
  <c r="C227" i="92"/>
  <c r="C872" i="92"/>
  <c r="C1204" i="92"/>
  <c r="C1171" i="92"/>
  <c r="B874" i="92"/>
  <c r="B953" i="92"/>
  <c r="B1157" i="92"/>
  <c r="C1145" i="92"/>
  <c r="C1156" i="92"/>
  <c r="C292" i="92"/>
  <c r="B572" i="92"/>
  <c r="C913" i="92"/>
  <c r="C493" i="92"/>
  <c r="B478" i="92"/>
  <c r="B915" i="92"/>
  <c r="B833" i="92"/>
  <c r="C1198" i="92"/>
  <c r="B678" i="92"/>
  <c r="B759" i="92"/>
  <c r="B75" i="92"/>
  <c r="B124" i="92"/>
  <c r="B1217" i="92"/>
  <c r="B723" i="92"/>
  <c r="B733" i="92"/>
  <c r="B662" i="92"/>
  <c r="B1180" i="92"/>
  <c r="B558" i="92"/>
  <c r="C916" i="92"/>
  <c r="B35" i="92"/>
  <c r="B935" i="92"/>
  <c r="B1146" i="92"/>
  <c r="B664" i="92"/>
  <c r="C1212" i="92"/>
  <c r="B754" i="92"/>
  <c r="C797" i="92"/>
  <c r="B1023" i="92"/>
  <c r="C790" i="92"/>
  <c r="B1186" i="92"/>
  <c r="B982" i="92"/>
  <c r="B534" i="92"/>
  <c r="C998" i="92"/>
  <c r="C1165" i="92"/>
  <c r="C1224" i="92"/>
  <c r="B443" i="92"/>
  <c r="C14" i="92"/>
  <c r="C103" i="92"/>
  <c r="C421" i="92"/>
  <c r="B64" i="92"/>
  <c r="C400" i="92"/>
  <c r="B181" i="92"/>
  <c r="C16" i="92"/>
  <c r="C29" i="92"/>
  <c r="B193" i="92"/>
  <c r="B631" i="92"/>
  <c r="C904" i="92"/>
  <c r="C551" i="92"/>
  <c r="C1181" i="92"/>
  <c r="C619" i="92"/>
  <c r="C464" i="92"/>
  <c r="B549" i="92"/>
  <c r="C469" i="92"/>
  <c r="B526" i="92"/>
  <c r="B466" i="92"/>
  <c r="B328" i="92"/>
  <c r="B79" i="92"/>
  <c r="B920" i="92"/>
  <c r="C799" i="92"/>
  <c r="B111" i="92"/>
  <c r="C157" i="92"/>
  <c r="C717" i="92"/>
  <c r="C660" i="92"/>
  <c r="C1091" i="92"/>
  <c r="B1043" i="92"/>
  <c r="C1150" i="92"/>
  <c r="B907" i="92"/>
  <c r="B1177" i="92"/>
  <c r="B992" i="92"/>
  <c r="B757" i="92"/>
  <c r="B952" i="92"/>
  <c r="C1161" i="92"/>
  <c r="B1158" i="92"/>
  <c r="C54" i="92"/>
  <c r="B322" i="92"/>
  <c r="C783" i="92"/>
  <c r="C312" i="92"/>
  <c r="C1217" i="92"/>
  <c r="C953" i="92"/>
  <c r="B172" i="92"/>
  <c r="B1011" i="92"/>
  <c r="C1162" i="92"/>
  <c r="C1199" i="92"/>
  <c r="B1141" i="92"/>
  <c r="B661" i="92"/>
  <c r="B76" i="92"/>
  <c r="B569" i="92"/>
  <c r="B1104" i="92"/>
  <c r="C327" i="92"/>
  <c r="I39" i="92" l="1"/>
  <c r="K39" i="92"/>
  <c r="I73" i="92"/>
  <c r="K73" i="92"/>
  <c r="I113" i="92"/>
  <c r="K113" i="92"/>
  <c r="I155" i="92"/>
  <c r="K155" i="92"/>
  <c r="K177" i="92"/>
  <c r="I177" i="92"/>
  <c r="K241" i="92"/>
  <c r="I241" i="92"/>
  <c r="I268" i="92"/>
  <c r="K268" i="92"/>
  <c r="I367" i="92"/>
  <c r="K367" i="92"/>
  <c r="I479" i="92"/>
  <c r="K479" i="92"/>
  <c r="K553" i="92"/>
  <c r="I553" i="92"/>
  <c r="K28" i="92"/>
  <c r="I28" i="92"/>
  <c r="K54" i="92"/>
  <c r="I54" i="92"/>
  <c r="K94" i="92"/>
  <c r="I94" i="92"/>
  <c r="K134" i="92"/>
  <c r="I134" i="92"/>
  <c r="K153" i="92"/>
  <c r="I153" i="92"/>
  <c r="I219" i="92"/>
  <c r="K219" i="92"/>
  <c r="K246" i="92"/>
  <c r="I246" i="92"/>
  <c r="I299" i="92"/>
  <c r="K299" i="92"/>
  <c r="K405" i="92"/>
  <c r="I405" i="92"/>
  <c r="I712" i="92"/>
  <c r="K712" i="92"/>
  <c r="I147" i="92"/>
  <c r="K147" i="92"/>
  <c r="K221" i="92"/>
  <c r="I221" i="92"/>
  <c r="I295" i="92"/>
  <c r="K295" i="92"/>
  <c r="I427" i="92"/>
  <c r="K427" i="92"/>
  <c r="I515" i="92"/>
  <c r="K515" i="92"/>
  <c r="K12" i="92"/>
  <c r="I12" i="92"/>
  <c r="K37" i="92"/>
  <c r="I37" i="92"/>
  <c r="K75" i="92"/>
  <c r="I75" i="92"/>
  <c r="K115" i="92"/>
  <c r="I115" i="92"/>
  <c r="I159" i="92"/>
  <c r="K159" i="92"/>
  <c r="I307" i="92"/>
  <c r="K307" i="92"/>
  <c r="I30" i="92"/>
  <c r="K30" i="92"/>
  <c r="K157" i="92"/>
  <c r="I157" i="92"/>
  <c r="K190" i="92"/>
  <c r="I190" i="92"/>
  <c r="I251" i="92"/>
  <c r="K251" i="92"/>
  <c r="I311" i="92"/>
  <c r="K311" i="92"/>
  <c r="I403" i="92"/>
  <c r="K403" i="92"/>
  <c r="K169" i="92"/>
  <c r="I169" i="92"/>
  <c r="I196" i="92"/>
  <c r="K196" i="92"/>
  <c r="I220" i="92"/>
  <c r="K220" i="92"/>
  <c r="K245" i="92"/>
  <c r="I245" i="92"/>
  <c r="K269" i="92"/>
  <c r="I269" i="92"/>
  <c r="K296" i="92"/>
  <c r="I296" i="92"/>
  <c r="K320" i="92"/>
  <c r="I320" i="92"/>
  <c r="K344" i="92"/>
  <c r="I344" i="92"/>
  <c r="K368" i="92"/>
  <c r="I368" i="92"/>
  <c r="I395" i="92"/>
  <c r="K395" i="92"/>
  <c r="K420" i="92"/>
  <c r="I420" i="92"/>
  <c r="K469" i="92"/>
  <c r="I469" i="92"/>
  <c r="K517" i="92"/>
  <c r="I517" i="92"/>
  <c r="K614" i="92"/>
  <c r="I614" i="92"/>
  <c r="I748" i="92"/>
  <c r="K748" i="92"/>
  <c r="K297" i="92"/>
  <c r="I297" i="92"/>
  <c r="K321" i="92"/>
  <c r="I321" i="92"/>
  <c r="K345" i="92"/>
  <c r="I345" i="92"/>
  <c r="K369" i="92"/>
  <c r="I369" i="92"/>
  <c r="I391" i="92"/>
  <c r="K391" i="92"/>
  <c r="K416" i="92"/>
  <c r="I416" i="92"/>
  <c r="I463" i="92"/>
  <c r="K463" i="92"/>
  <c r="I511" i="92"/>
  <c r="K511" i="92"/>
  <c r="I582" i="92"/>
  <c r="K582" i="92"/>
  <c r="I742" i="92"/>
  <c r="K742" i="92"/>
  <c r="K150" i="92"/>
  <c r="I150" i="92"/>
  <c r="K166" i="92"/>
  <c r="I166" i="92"/>
  <c r="K191" i="92"/>
  <c r="I191" i="92"/>
  <c r="K218" i="92"/>
  <c r="I218" i="92"/>
  <c r="K242" i="92"/>
  <c r="I242" i="92"/>
  <c r="K267" i="92"/>
  <c r="I267" i="92"/>
  <c r="I294" i="92"/>
  <c r="K294" i="92"/>
  <c r="I318" i="92"/>
  <c r="K318" i="92"/>
  <c r="I342" i="92"/>
  <c r="K342" i="92"/>
  <c r="I366" i="92"/>
  <c r="K366" i="92"/>
  <c r="I407" i="92"/>
  <c r="K407" i="92"/>
  <c r="I432" i="92"/>
  <c r="K432" i="92"/>
  <c r="K465" i="92"/>
  <c r="I465" i="92"/>
  <c r="K513" i="92"/>
  <c r="I513" i="92"/>
  <c r="I566" i="92"/>
  <c r="K566" i="92"/>
  <c r="I682" i="92"/>
  <c r="K682" i="92"/>
  <c r="K440" i="92"/>
  <c r="I440" i="92"/>
  <c r="K464" i="92"/>
  <c r="I464" i="92"/>
  <c r="K488" i="92"/>
  <c r="I488" i="92"/>
  <c r="K512" i="92"/>
  <c r="I512" i="92"/>
  <c r="K532" i="92"/>
  <c r="I532" i="92"/>
  <c r="K568" i="92"/>
  <c r="I568" i="92"/>
  <c r="K601" i="92"/>
  <c r="I601" i="92"/>
  <c r="K677" i="92"/>
  <c r="I677" i="92"/>
  <c r="K713" i="92"/>
  <c r="I713" i="92"/>
  <c r="K788" i="92"/>
  <c r="I788" i="92"/>
  <c r="K936" i="92"/>
  <c r="I936" i="92"/>
  <c r="K696" i="92"/>
  <c r="I696" i="92"/>
  <c r="K778" i="92"/>
  <c r="I778" i="92"/>
  <c r="I904" i="92"/>
  <c r="K904" i="92"/>
  <c r="I981" i="92"/>
  <c r="K981" i="92"/>
  <c r="K394" i="92"/>
  <c r="I394" i="92"/>
  <c r="K418" i="92"/>
  <c r="I418" i="92"/>
  <c r="K442" i="92"/>
  <c r="I442" i="92"/>
  <c r="K466" i="92"/>
  <c r="I466" i="92"/>
  <c r="K490" i="92"/>
  <c r="I490" i="92"/>
  <c r="K514" i="92"/>
  <c r="I514" i="92"/>
  <c r="K534" i="92"/>
  <c r="I534" i="92"/>
  <c r="I581" i="92"/>
  <c r="K581" i="92"/>
  <c r="I621" i="92"/>
  <c r="K621" i="92"/>
  <c r="I699" i="92"/>
  <c r="K699" i="92"/>
  <c r="I802" i="92"/>
  <c r="K802" i="92"/>
  <c r="I777" i="92"/>
  <c r="K777" i="92"/>
  <c r="K809" i="92"/>
  <c r="I809" i="92"/>
  <c r="I845" i="92"/>
  <c r="K845" i="92"/>
  <c r="K899" i="92"/>
  <c r="I899" i="92"/>
  <c r="I962" i="92"/>
  <c r="K962" i="92"/>
  <c r="K1092" i="92"/>
  <c r="I1092" i="92"/>
  <c r="K960" i="92"/>
  <c r="I960" i="92"/>
  <c r="K976" i="92"/>
  <c r="I976" i="92"/>
  <c r="K773" i="92"/>
  <c r="I773" i="92"/>
  <c r="K843" i="92"/>
  <c r="I843" i="92"/>
  <c r="I941" i="92"/>
  <c r="K941" i="92"/>
  <c r="K999" i="92"/>
  <c r="I999" i="92"/>
  <c r="I1075" i="92"/>
  <c r="K1075" i="92"/>
  <c r="K1169" i="92"/>
  <c r="I1169" i="92"/>
  <c r="I1350" i="92"/>
  <c r="K1350" i="92"/>
  <c r="I1101" i="92"/>
  <c r="K1101" i="92"/>
  <c r="K1300" i="92"/>
  <c r="I1300" i="92"/>
  <c r="I1376" i="92"/>
  <c r="K1376" i="92"/>
  <c r="K1044" i="92"/>
  <c r="I1044" i="92"/>
  <c r="K1246" i="92"/>
  <c r="I1246" i="92"/>
  <c r="I1237" i="92"/>
  <c r="K1237" i="92"/>
  <c r="I1269" i="92"/>
  <c r="K1269" i="92"/>
  <c r="I1303" i="92"/>
  <c r="K1303" i="92"/>
  <c r="I1323" i="92"/>
  <c r="K1323" i="92"/>
  <c r="K1351" i="92"/>
  <c r="I1351" i="92"/>
  <c r="K1139" i="92"/>
  <c r="I1139" i="92"/>
  <c r="K1250" i="92"/>
  <c r="I1250" i="92"/>
  <c r="K1282" i="92"/>
  <c r="I1282" i="92"/>
  <c r="I1306" i="92"/>
  <c r="K1306" i="92"/>
  <c r="K1334" i="92"/>
  <c r="I1334" i="92"/>
  <c r="K1368" i="92"/>
  <c r="I1368" i="92"/>
  <c r="I928" i="92"/>
  <c r="K928" i="92"/>
  <c r="K961" i="92"/>
  <c r="I961" i="92"/>
  <c r="I1115" i="92"/>
  <c r="K1115" i="92"/>
  <c r="I1241" i="92"/>
  <c r="K1241" i="92"/>
  <c r="I1273" i="92"/>
  <c r="K1273" i="92"/>
  <c r="K1309" i="92"/>
  <c r="I1309" i="92"/>
  <c r="I1348" i="92"/>
  <c r="K1348" i="92"/>
  <c r="I1401" i="92"/>
  <c r="K1401" i="92"/>
  <c r="I1528" i="92"/>
  <c r="K1528" i="92"/>
  <c r="K1231" i="92"/>
  <c r="I1231" i="92"/>
  <c r="K1247" i="92"/>
  <c r="I1247" i="92"/>
  <c r="K1263" i="92"/>
  <c r="I1263" i="92"/>
  <c r="K1279" i="92"/>
  <c r="I1279" i="92"/>
  <c r="K1297" i="92"/>
  <c r="I1297" i="92"/>
  <c r="K1314" i="92"/>
  <c r="I1314" i="92"/>
  <c r="K1333" i="92"/>
  <c r="I1333" i="92"/>
  <c r="K1352" i="92"/>
  <c r="I1352" i="92"/>
  <c r="K1363" i="92"/>
  <c r="I1363" i="92"/>
  <c r="I1381" i="92"/>
  <c r="K1381" i="92"/>
  <c r="I1224" i="92"/>
  <c r="K1224" i="92"/>
  <c r="I1240" i="92"/>
  <c r="K1240" i="92"/>
  <c r="I1256" i="92"/>
  <c r="K1256" i="92"/>
  <c r="I1272" i="92"/>
  <c r="K1272" i="92"/>
  <c r="I1294" i="92"/>
  <c r="K1294" i="92"/>
  <c r="I1311" i="92"/>
  <c r="K1311" i="92"/>
  <c r="I1328" i="92"/>
  <c r="K1328" i="92"/>
  <c r="I1341" i="92"/>
  <c r="K1341" i="92"/>
  <c r="I1355" i="92"/>
  <c r="K1355" i="92"/>
  <c r="I1374" i="92"/>
  <c r="K1374" i="92"/>
  <c r="K1380" i="92"/>
  <c r="I1380" i="92"/>
  <c r="K1398" i="92"/>
  <c r="I1398" i="92"/>
  <c r="K1413" i="92"/>
  <c r="I1413" i="92"/>
  <c r="K1421" i="92"/>
  <c r="I1421" i="92"/>
  <c r="K1429" i="92"/>
  <c r="I1429" i="92"/>
  <c r="K1437" i="92"/>
  <c r="I1437" i="92"/>
  <c r="I1533" i="92"/>
  <c r="K1533" i="92"/>
  <c r="K1385" i="92"/>
  <c r="I1385" i="92"/>
  <c r="K1399" i="92"/>
  <c r="I1399" i="92"/>
  <c r="I1474" i="92"/>
  <c r="K1474" i="92"/>
  <c r="I1545" i="92"/>
  <c r="K1545" i="92"/>
  <c r="I1390" i="92"/>
  <c r="K1390" i="92"/>
  <c r="I1406" i="92"/>
  <c r="K1406" i="92"/>
  <c r="I1416" i="92"/>
  <c r="K1416" i="92"/>
  <c r="I1424" i="92"/>
  <c r="K1424" i="92"/>
  <c r="I1432" i="92"/>
  <c r="K1432" i="92"/>
  <c r="I1487" i="92"/>
  <c r="K1487" i="92"/>
  <c r="K1440" i="92"/>
  <c r="I1440" i="92"/>
  <c r="K1448" i="92"/>
  <c r="I1448" i="92"/>
  <c r="K1456" i="92"/>
  <c r="I1456" i="92"/>
  <c r="K1464" i="92"/>
  <c r="I1464" i="92"/>
  <c r="K1472" i="92"/>
  <c r="I1472" i="92"/>
  <c r="K1494" i="92"/>
  <c r="I1494" i="92"/>
  <c r="K1523" i="92"/>
  <c r="I1523" i="92"/>
  <c r="K1540" i="92"/>
  <c r="I1540" i="92"/>
  <c r="K1553" i="92"/>
  <c r="I1553" i="92"/>
  <c r="K1484" i="92"/>
  <c r="I1484" i="92"/>
  <c r="K1510" i="92"/>
  <c r="I1510" i="92"/>
  <c r="K1526" i="92"/>
  <c r="I1526" i="92"/>
  <c r="K1543" i="92"/>
  <c r="I1543" i="92"/>
  <c r="I1443" i="92"/>
  <c r="K1443" i="92"/>
  <c r="I1451" i="92"/>
  <c r="K1451" i="92"/>
  <c r="I1459" i="92"/>
  <c r="K1459" i="92"/>
  <c r="I1467" i="92"/>
  <c r="K1467" i="92"/>
  <c r="I1479" i="92"/>
  <c r="K1479" i="92"/>
  <c r="I1515" i="92"/>
  <c r="K1515" i="92"/>
  <c r="I1530" i="92"/>
  <c r="K1530" i="92"/>
  <c r="I1544" i="92"/>
  <c r="K1544" i="92"/>
  <c r="I43" i="92"/>
  <c r="K43" i="92"/>
  <c r="I83" i="92"/>
  <c r="K83" i="92"/>
  <c r="I123" i="92"/>
  <c r="K123" i="92"/>
  <c r="I156" i="92"/>
  <c r="K156" i="92"/>
  <c r="I180" i="92"/>
  <c r="K180" i="92"/>
  <c r="K253" i="92"/>
  <c r="I253" i="92"/>
  <c r="I287" i="92"/>
  <c r="K287" i="92"/>
  <c r="I404" i="92"/>
  <c r="K404" i="92"/>
  <c r="I503" i="92"/>
  <c r="K503" i="92"/>
  <c r="I574" i="92"/>
  <c r="K574" i="92"/>
  <c r="I36" i="92"/>
  <c r="K36" i="92"/>
  <c r="K64" i="92"/>
  <c r="I64" i="92"/>
  <c r="K104" i="92"/>
  <c r="I104" i="92"/>
  <c r="K144" i="92"/>
  <c r="I144" i="92"/>
  <c r="K161" i="92"/>
  <c r="I161" i="92"/>
  <c r="I231" i="92"/>
  <c r="K231" i="92"/>
  <c r="K258" i="92"/>
  <c r="I258" i="92"/>
  <c r="I323" i="92"/>
  <c r="K323" i="92"/>
  <c r="I535" i="92"/>
  <c r="K535" i="92"/>
  <c r="I31" i="92"/>
  <c r="K31" i="92"/>
  <c r="K149" i="92"/>
  <c r="I149" i="92"/>
  <c r="I224" i="92"/>
  <c r="K224" i="92"/>
  <c r="I331" i="92"/>
  <c r="K331" i="92"/>
  <c r="I443" i="92"/>
  <c r="K443" i="92"/>
  <c r="K602" i="92"/>
  <c r="I602" i="92"/>
  <c r="K21" i="92"/>
  <c r="I21" i="92"/>
  <c r="K45" i="92"/>
  <c r="I45" i="92"/>
  <c r="K85" i="92"/>
  <c r="I85" i="92"/>
  <c r="K125" i="92"/>
  <c r="I125" i="92"/>
  <c r="K209" i="92"/>
  <c r="I209" i="92"/>
  <c r="I18" i="92"/>
  <c r="K18" i="92"/>
  <c r="K34" i="92"/>
  <c r="I34" i="92"/>
  <c r="K165" i="92"/>
  <c r="I165" i="92"/>
  <c r="I199" i="92"/>
  <c r="K199" i="92"/>
  <c r="I263" i="92"/>
  <c r="K263" i="92"/>
  <c r="I335" i="92"/>
  <c r="K335" i="92"/>
  <c r="I428" i="92"/>
  <c r="K428" i="92"/>
  <c r="K176" i="92"/>
  <c r="I176" i="92"/>
  <c r="K201" i="92"/>
  <c r="I201" i="92"/>
  <c r="K225" i="92"/>
  <c r="I225" i="92"/>
  <c r="K252" i="92"/>
  <c r="I252" i="92"/>
  <c r="K276" i="92"/>
  <c r="I276" i="92"/>
  <c r="K300" i="92"/>
  <c r="I300" i="92"/>
  <c r="K324" i="92"/>
  <c r="I324" i="92"/>
  <c r="K348" i="92"/>
  <c r="I348" i="92"/>
  <c r="K372" i="92"/>
  <c r="I372" i="92"/>
  <c r="K396" i="92"/>
  <c r="I396" i="92"/>
  <c r="K421" i="92"/>
  <c r="I421" i="92"/>
  <c r="K481" i="92"/>
  <c r="I481" i="92"/>
  <c r="K529" i="92"/>
  <c r="I529" i="92"/>
  <c r="K620" i="92"/>
  <c r="I620" i="92"/>
  <c r="I792" i="92"/>
  <c r="K792" i="92"/>
  <c r="K301" i="92"/>
  <c r="I301" i="92"/>
  <c r="K325" i="92"/>
  <c r="I325" i="92"/>
  <c r="K349" i="92"/>
  <c r="I349" i="92"/>
  <c r="K373" i="92"/>
  <c r="I373" i="92"/>
  <c r="K392" i="92"/>
  <c r="I392" i="92"/>
  <c r="K417" i="92"/>
  <c r="I417" i="92"/>
  <c r="I475" i="92"/>
  <c r="K475" i="92"/>
  <c r="I523" i="92"/>
  <c r="K523" i="92"/>
  <c r="K598" i="92"/>
  <c r="I598" i="92"/>
  <c r="I826" i="92"/>
  <c r="K826" i="92"/>
  <c r="K154" i="92"/>
  <c r="I154" i="92"/>
  <c r="K174" i="92"/>
  <c r="I174" i="92"/>
  <c r="K198" i="92"/>
  <c r="I198" i="92"/>
  <c r="I223" i="92"/>
  <c r="K223" i="92"/>
  <c r="I247" i="92"/>
  <c r="K247" i="92"/>
  <c r="K274" i="92"/>
  <c r="I274" i="92"/>
  <c r="I298" i="92"/>
  <c r="K298" i="92"/>
  <c r="I322" i="92"/>
  <c r="K322" i="92"/>
  <c r="I346" i="92"/>
  <c r="K346" i="92"/>
  <c r="I370" i="92"/>
  <c r="K370" i="92"/>
  <c r="I408" i="92"/>
  <c r="K408" i="92"/>
  <c r="K433" i="92"/>
  <c r="I433" i="92"/>
  <c r="K477" i="92"/>
  <c r="I477" i="92"/>
  <c r="K525" i="92"/>
  <c r="I525" i="92"/>
  <c r="K584" i="92"/>
  <c r="I584" i="92"/>
  <c r="I718" i="92"/>
  <c r="K718" i="92"/>
  <c r="K444" i="92"/>
  <c r="I444" i="92"/>
  <c r="K468" i="92"/>
  <c r="I468" i="92"/>
  <c r="K492" i="92"/>
  <c r="I492" i="92"/>
  <c r="K516" i="92"/>
  <c r="I516" i="92"/>
  <c r="K536" i="92"/>
  <c r="I536" i="92"/>
  <c r="K579" i="92"/>
  <c r="I579" i="92"/>
  <c r="K619" i="92"/>
  <c r="I619" i="92"/>
  <c r="K683" i="92"/>
  <c r="I683" i="92"/>
  <c r="K719" i="92"/>
  <c r="I719" i="92"/>
  <c r="K822" i="92"/>
  <c r="I822" i="92"/>
  <c r="I956" i="92"/>
  <c r="K956" i="92"/>
  <c r="K714" i="92"/>
  <c r="I714" i="92"/>
  <c r="K840" i="92"/>
  <c r="I840" i="92"/>
  <c r="K923" i="92"/>
  <c r="I923" i="92"/>
  <c r="K985" i="92"/>
  <c r="I985" i="92"/>
  <c r="K402" i="92"/>
  <c r="I402" i="92"/>
  <c r="K426" i="92"/>
  <c r="I426" i="92"/>
  <c r="I450" i="92"/>
  <c r="K450" i="92"/>
  <c r="I474" i="92"/>
  <c r="K474" i="92"/>
  <c r="I498" i="92"/>
  <c r="K498" i="92"/>
  <c r="I522" i="92"/>
  <c r="K522" i="92"/>
  <c r="I538" i="92"/>
  <c r="K538" i="92"/>
  <c r="K599" i="92"/>
  <c r="I599" i="92"/>
  <c r="I645" i="92"/>
  <c r="K645" i="92"/>
  <c r="I717" i="92"/>
  <c r="K717" i="92"/>
  <c r="I808" i="92"/>
  <c r="K808" i="92"/>
  <c r="K787" i="92"/>
  <c r="I787" i="92"/>
  <c r="K821" i="92"/>
  <c r="I821" i="92"/>
  <c r="K869" i="92"/>
  <c r="I869" i="92"/>
  <c r="K900" i="92"/>
  <c r="I900" i="92"/>
  <c r="I980" i="92"/>
  <c r="K980" i="92"/>
  <c r="I1110" i="92"/>
  <c r="K1110" i="92"/>
  <c r="K966" i="92"/>
  <c r="I966" i="92"/>
  <c r="I993" i="92"/>
  <c r="K993" i="92"/>
  <c r="I789" i="92"/>
  <c r="K789" i="92"/>
  <c r="I873" i="92"/>
  <c r="K873" i="92"/>
  <c r="K942" i="92"/>
  <c r="I942" i="92"/>
  <c r="K1000" i="92"/>
  <c r="I1000" i="92"/>
  <c r="K1076" i="92"/>
  <c r="I1076" i="92"/>
  <c r="K1230" i="92"/>
  <c r="I1230" i="92"/>
  <c r="K1372" i="92"/>
  <c r="I1372" i="92"/>
  <c r="I1221" i="92"/>
  <c r="K1221" i="92"/>
  <c r="I1310" i="92"/>
  <c r="K1310" i="92"/>
  <c r="K1023" i="92"/>
  <c r="I1023" i="92"/>
  <c r="K1111" i="92"/>
  <c r="I1111" i="92"/>
  <c r="K1278" i="92"/>
  <c r="I1278" i="92"/>
  <c r="I1245" i="92"/>
  <c r="K1245" i="92"/>
  <c r="I1277" i="92"/>
  <c r="K1277" i="92"/>
  <c r="K1305" i="92"/>
  <c r="I1305" i="92"/>
  <c r="I1331" i="92"/>
  <c r="K1331" i="92"/>
  <c r="I1365" i="92"/>
  <c r="K1365" i="92"/>
  <c r="K1226" i="92"/>
  <c r="I1226" i="92"/>
  <c r="K1258" i="92"/>
  <c r="I1258" i="92"/>
  <c r="I1289" i="92"/>
  <c r="K1289" i="92"/>
  <c r="I1316" i="92"/>
  <c r="K1316" i="92"/>
  <c r="K1347" i="92"/>
  <c r="I1347" i="92"/>
  <c r="I1387" i="92"/>
  <c r="K1387" i="92"/>
  <c r="I937" i="92"/>
  <c r="K937" i="92"/>
  <c r="K979" i="92"/>
  <c r="I979" i="92"/>
  <c r="I1140" i="92"/>
  <c r="K1140" i="92"/>
  <c r="I1249" i="92"/>
  <c r="K1249" i="92"/>
  <c r="I1281" i="92"/>
  <c r="K1281" i="92"/>
  <c r="K1317" i="92"/>
  <c r="I1317" i="92"/>
  <c r="K1357" i="92"/>
  <c r="I1357" i="92"/>
  <c r="I1397" i="92"/>
  <c r="K1397" i="92"/>
  <c r="K1218" i="92"/>
  <c r="I1218" i="92"/>
  <c r="K1235" i="92"/>
  <c r="I1235" i="92"/>
  <c r="K1251" i="92"/>
  <c r="I1251" i="92"/>
  <c r="K1267" i="92"/>
  <c r="I1267" i="92"/>
  <c r="K1286" i="92"/>
  <c r="I1286" i="92"/>
  <c r="K1301" i="92"/>
  <c r="I1301" i="92"/>
  <c r="K1320" i="92"/>
  <c r="I1320" i="92"/>
  <c r="K1337" i="92"/>
  <c r="I1337" i="92"/>
  <c r="K1354" i="92"/>
  <c r="I1354" i="92"/>
  <c r="K1367" i="92"/>
  <c r="I1367" i="92"/>
  <c r="K1144" i="92"/>
  <c r="I1144" i="92"/>
  <c r="I1228" i="92"/>
  <c r="K1228" i="92"/>
  <c r="I1244" i="92"/>
  <c r="K1244" i="92"/>
  <c r="I1260" i="92"/>
  <c r="K1260" i="92"/>
  <c r="I1276" i="92"/>
  <c r="K1276" i="92"/>
  <c r="I1298" i="92"/>
  <c r="K1298" i="92"/>
  <c r="I1315" i="92"/>
  <c r="K1315" i="92"/>
  <c r="I1332" i="92"/>
  <c r="K1332" i="92"/>
  <c r="I1345" i="92"/>
  <c r="K1345" i="92"/>
  <c r="I1362" i="92"/>
  <c r="K1362" i="92"/>
  <c r="I1377" i="92"/>
  <c r="K1377" i="92"/>
  <c r="K1384" i="92"/>
  <c r="I1384" i="92"/>
  <c r="K1402" i="92"/>
  <c r="I1402" i="92"/>
  <c r="K1415" i="92"/>
  <c r="I1415" i="92"/>
  <c r="K1423" i="92"/>
  <c r="I1423" i="92"/>
  <c r="K1431" i="92"/>
  <c r="I1431" i="92"/>
  <c r="I1478" i="92"/>
  <c r="K1478" i="92"/>
  <c r="I1535" i="92"/>
  <c r="K1535" i="92"/>
  <c r="K1389" i="92"/>
  <c r="I1389" i="92"/>
  <c r="K1403" i="92"/>
  <c r="I1403" i="92"/>
  <c r="I1481" i="92"/>
  <c r="K1481" i="92"/>
  <c r="I1378" i="92"/>
  <c r="K1378" i="92"/>
  <c r="I1394" i="92"/>
  <c r="K1394" i="92"/>
  <c r="I1408" i="92"/>
  <c r="K1408" i="92"/>
  <c r="I1418" i="92"/>
  <c r="K1418" i="92"/>
  <c r="I1426" i="92"/>
  <c r="K1426" i="92"/>
  <c r="I1434" i="92"/>
  <c r="K1434" i="92"/>
  <c r="I1514" i="92"/>
  <c r="K1514" i="92"/>
  <c r="K1442" i="92"/>
  <c r="I1442" i="92"/>
  <c r="K1450" i="92"/>
  <c r="I1450" i="92"/>
  <c r="K1458" i="92"/>
  <c r="I1458" i="92"/>
  <c r="K1466" i="92"/>
  <c r="I1466" i="92"/>
  <c r="K1473" i="92"/>
  <c r="I1473" i="92"/>
  <c r="K1511" i="92"/>
  <c r="I1511" i="92"/>
  <c r="K1527" i="92"/>
  <c r="I1527" i="92"/>
  <c r="K1546" i="92"/>
  <c r="I1546" i="92"/>
  <c r="K1476" i="92"/>
  <c r="I1476" i="92"/>
  <c r="K1486" i="92"/>
  <c r="I1486" i="92"/>
  <c r="K1512" i="92"/>
  <c r="I1512" i="92"/>
  <c r="K1531" i="92"/>
  <c r="I1531" i="92"/>
  <c r="K1547" i="92"/>
  <c r="I1547" i="92"/>
  <c r="I1445" i="92"/>
  <c r="K1445" i="92"/>
  <c r="I1453" i="92"/>
  <c r="K1453" i="92"/>
  <c r="I1461" i="92"/>
  <c r="K1461" i="92"/>
  <c r="I1469" i="92"/>
  <c r="K1469" i="92"/>
  <c r="I1491" i="92"/>
  <c r="K1491" i="92"/>
  <c r="I1521" i="92"/>
  <c r="K1521" i="92"/>
  <c r="I1536" i="92"/>
  <c r="K1536" i="92"/>
  <c r="I1548" i="92"/>
  <c r="K1548" i="92"/>
  <c r="I53" i="92"/>
  <c r="K53" i="92"/>
  <c r="I93" i="92"/>
  <c r="K93" i="92"/>
  <c r="I133" i="92"/>
  <c r="K133" i="92"/>
  <c r="I163" i="92"/>
  <c r="K163" i="92"/>
  <c r="I192" i="92"/>
  <c r="K192" i="92"/>
  <c r="I256" i="92"/>
  <c r="K256" i="92"/>
  <c r="I319" i="92"/>
  <c r="K319" i="92"/>
  <c r="K429" i="92"/>
  <c r="I429" i="92"/>
  <c r="I527" i="92"/>
  <c r="K527" i="92"/>
  <c r="I7" i="92"/>
  <c r="K7" i="92"/>
  <c r="K40" i="92"/>
  <c r="I40" i="92"/>
  <c r="K74" i="92"/>
  <c r="I74" i="92"/>
  <c r="K114" i="92"/>
  <c r="I114" i="92"/>
  <c r="I151" i="92"/>
  <c r="K151" i="92"/>
  <c r="K170" i="92"/>
  <c r="I170" i="92"/>
  <c r="K234" i="92"/>
  <c r="I234" i="92"/>
  <c r="K277" i="92"/>
  <c r="I277" i="92"/>
  <c r="I347" i="92"/>
  <c r="K347" i="92"/>
  <c r="I652" i="92"/>
  <c r="K652" i="92"/>
  <c r="K41" i="92"/>
  <c r="I41" i="92"/>
  <c r="K185" i="92"/>
  <c r="I185" i="92"/>
  <c r="I236" i="92"/>
  <c r="K236" i="92"/>
  <c r="I355" i="92"/>
  <c r="K355" i="92"/>
  <c r="I467" i="92"/>
  <c r="K467" i="92"/>
  <c r="I6" i="92"/>
  <c r="K6" i="92"/>
  <c r="K25" i="92"/>
  <c r="I25" i="92"/>
  <c r="K55" i="92"/>
  <c r="I55" i="92"/>
  <c r="K95" i="92"/>
  <c r="I95" i="92"/>
  <c r="K145" i="92"/>
  <c r="I145" i="92"/>
  <c r="I212" i="92"/>
  <c r="K212" i="92"/>
  <c r="I22" i="92"/>
  <c r="K22" i="92"/>
  <c r="I38" i="92"/>
  <c r="K38" i="92"/>
  <c r="I175" i="92"/>
  <c r="K175" i="92"/>
  <c r="K202" i="92"/>
  <c r="I202" i="92"/>
  <c r="I275" i="92"/>
  <c r="K275" i="92"/>
  <c r="I359" i="92"/>
  <c r="K359" i="92"/>
  <c r="K160" i="92"/>
  <c r="I160" i="92"/>
  <c r="K181" i="92"/>
  <c r="I181" i="92"/>
  <c r="I208" i="92"/>
  <c r="K208" i="92"/>
  <c r="I232" i="92"/>
  <c r="K232" i="92"/>
  <c r="K257" i="92"/>
  <c r="I257" i="92"/>
  <c r="K284" i="92"/>
  <c r="I284" i="92"/>
  <c r="K308" i="92"/>
  <c r="I308" i="92"/>
  <c r="K332" i="92"/>
  <c r="I332" i="92"/>
  <c r="K356" i="92"/>
  <c r="I356" i="92"/>
  <c r="K380" i="92"/>
  <c r="I380" i="92"/>
  <c r="K397" i="92"/>
  <c r="I397" i="92"/>
  <c r="K445" i="92"/>
  <c r="I445" i="92"/>
  <c r="K493" i="92"/>
  <c r="I493" i="92"/>
  <c r="K537" i="92"/>
  <c r="I537" i="92"/>
  <c r="I646" i="92"/>
  <c r="K646" i="92"/>
  <c r="I905" i="92"/>
  <c r="K905" i="92"/>
  <c r="K309" i="92"/>
  <c r="I309" i="92"/>
  <c r="K333" i="92"/>
  <c r="I333" i="92"/>
  <c r="K357" i="92"/>
  <c r="I357" i="92"/>
  <c r="K381" i="92"/>
  <c r="I381" i="92"/>
  <c r="K393" i="92"/>
  <c r="I393" i="92"/>
  <c r="I439" i="92"/>
  <c r="K439" i="92"/>
  <c r="I487" i="92"/>
  <c r="K487" i="92"/>
  <c r="I531" i="92"/>
  <c r="K531" i="92"/>
  <c r="I616" i="92"/>
  <c r="K616" i="92"/>
  <c r="K924" i="92"/>
  <c r="I924" i="92"/>
  <c r="K158" i="92"/>
  <c r="I158" i="92"/>
  <c r="K179" i="92"/>
  <c r="I179" i="92"/>
  <c r="K203" i="92"/>
  <c r="I203" i="92"/>
  <c r="K230" i="92"/>
  <c r="I230" i="92"/>
  <c r="K254" i="92"/>
  <c r="I254" i="92"/>
  <c r="I282" i="92"/>
  <c r="K282" i="92"/>
  <c r="I306" i="92"/>
  <c r="K306" i="92"/>
  <c r="I330" i="92"/>
  <c r="K330" i="92"/>
  <c r="I354" i="92"/>
  <c r="K354" i="92"/>
  <c r="I378" i="92"/>
  <c r="K378" i="92"/>
  <c r="K409" i="92"/>
  <c r="I409" i="92"/>
  <c r="K441" i="92"/>
  <c r="I441" i="92"/>
  <c r="K489" i="92"/>
  <c r="I489" i="92"/>
  <c r="K533" i="92"/>
  <c r="I533" i="92"/>
  <c r="I600" i="92"/>
  <c r="K600" i="92"/>
  <c r="K804" i="92"/>
  <c r="I804" i="92"/>
  <c r="K452" i="92"/>
  <c r="I452" i="92"/>
  <c r="K476" i="92"/>
  <c r="I476" i="92"/>
  <c r="K500" i="92"/>
  <c r="I500" i="92"/>
  <c r="K524" i="92"/>
  <c r="I524" i="92"/>
  <c r="K551" i="92"/>
  <c r="I551" i="92"/>
  <c r="K583" i="92"/>
  <c r="I583" i="92"/>
  <c r="K647" i="92"/>
  <c r="I647" i="92"/>
  <c r="K695" i="92"/>
  <c r="I695" i="92"/>
  <c r="K743" i="92"/>
  <c r="I743" i="92"/>
  <c r="I838" i="92"/>
  <c r="K838" i="92"/>
  <c r="K650" i="92"/>
  <c r="I650" i="92"/>
  <c r="K744" i="92"/>
  <c r="I744" i="92"/>
  <c r="I868" i="92"/>
  <c r="K868" i="92"/>
  <c r="I947" i="92"/>
  <c r="K947" i="92"/>
  <c r="K1343" i="92"/>
  <c r="I1343" i="92"/>
  <c r="I406" i="92"/>
  <c r="K406" i="92"/>
  <c r="I430" i="92"/>
  <c r="K430" i="92"/>
  <c r="K454" i="92"/>
  <c r="I454" i="92"/>
  <c r="K478" i="92"/>
  <c r="I478" i="92"/>
  <c r="K502" i="92"/>
  <c r="I502" i="92"/>
  <c r="K526" i="92"/>
  <c r="I526" i="92"/>
  <c r="K549" i="92"/>
  <c r="I549" i="92"/>
  <c r="K603" i="92"/>
  <c r="I603" i="92"/>
  <c r="I651" i="92"/>
  <c r="K651" i="92"/>
  <c r="I747" i="92"/>
  <c r="K747" i="92"/>
  <c r="K870" i="92"/>
  <c r="I870" i="92"/>
  <c r="K793" i="92"/>
  <c r="I793" i="92"/>
  <c r="K827" i="92"/>
  <c r="I827" i="92"/>
  <c r="K875" i="92"/>
  <c r="I875" i="92"/>
  <c r="K909" i="92"/>
  <c r="I909" i="92"/>
  <c r="K994" i="92"/>
  <c r="I994" i="92"/>
  <c r="I1229" i="92"/>
  <c r="K1229" i="92"/>
  <c r="I974" i="92"/>
  <c r="K974" i="92"/>
  <c r="K1013" i="92"/>
  <c r="I1013" i="92"/>
  <c r="K807" i="92"/>
  <c r="I807" i="92"/>
  <c r="K917" i="92"/>
  <c r="I917" i="92"/>
  <c r="I1143" i="92"/>
  <c r="K1143" i="92"/>
  <c r="I1058" i="92"/>
  <c r="K1058" i="92"/>
  <c r="I1091" i="92"/>
  <c r="K1091" i="92"/>
  <c r="K1262" i="92"/>
  <c r="I1262" i="92"/>
  <c r="I1048" i="92"/>
  <c r="K1048" i="92"/>
  <c r="K1238" i="92"/>
  <c r="I1238" i="92"/>
  <c r="K1338" i="92"/>
  <c r="I1338" i="92"/>
  <c r="K1024" i="92"/>
  <c r="I1024" i="92"/>
  <c r="K1194" i="92"/>
  <c r="I1194" i="92"/>
  <c r="I1293" i="92"/>
  <c r="K1293" i="92"/>
  <c r="I1253" i="92"/>
  <c r="K1253" i="92"/>
  <c r="K1288" i="92"/>
  <c r="I1288" i="92"/>
  <c r="K1313" i="92"/>
  <c r="I1313" i="92"/>
  <c r="I1339" i="92"/>
  <c r="K1339" i="92"/>
  <c r="I1373" i="92"/>
  <c r="K1373" i="92"/>
  <c r="K1234" i="92"/>
  <c r="I1234" i="92"/>
  <c r="K1266" i="92"/>
  <c r="I1266" i="92"/>
  <c r="K1296" i="92"/>
  <c r="I1296" i="92"/>
  <c r="I1322" i="92"/>
  <c r="K1322" i="92"/>
  <c r="I1356" i="92"/>
  <c r="K1356" i="92"/>
  <c r="K903" i="92"/>
  <c r="I903" i="92"/>
  <c r="K943" i="92"/>
  <c r="I943" i="92"/>
  <c r="I995" i="92"/>
  <c r="K995" i="92"/>
  <c r="I1225" i="92"/>
  <c r="K1225" i="92"/>
  <c r="I1257" i="92"/>
  <c r="K1257" i="92"/>
  <c r="K1292" i="92"/>
  <c r="I1292" i="92"/>
  <c r="I1327" i="92"/>
  <c r="K1327" i="92"/>
  <c r="I1361" i="92"/>
  <c r="K1361" i="92"/>
  <c r="I1411" i="92"/>
  <c r="K1411" i="92"/>
  <c r="K1223" i="92"/>
  <c r="I1223" i="92"/>
  <c r="K1239" i="92"/>
  <c r="I1239" i="92"/>
  <c r="K1255" i="92"/>
  <c r="I1255" i="92"/>
  <c r="K1271" i="92"/>
  <c r="I1271" i="92"/>
  <c r="K1287" i="92"/>
  <c r="I1287" i="92"/>
  <c r="K1308" i="92"/>
  <c r="I1308" i="92"/>
  <c r="K1325" i="92"/>
  <c r="I1325" i="92"/>
  <c r="K1342" i="92"/>
  <c r="I1342" i="92"/>
  <c r="K1358" i="92"/>
  <c r="I1358" i="92"/>
  <c r="K1371" i="92"/>
  <c r="I1371" i="92"/>
  <c r="K1170" i="92"/>
  <c r="I1170" i="92"/>
  <c r="I1232" i="92"/>
  <c r="K1232" i="92"/>
  <c r="I1248" i="92"/>
  <c r="K1248" i="92"/>
  <c r="I1264" i="92"/>
  <c r="K1264" i="92"/>
  <c r="I1280" i="92"/>
  <c r="K1280" i="92"/>
  <c r="I1302" i="92"/>
  <c r="K1302" i="92"/>
  <c r="I1321" i="92"/>
  <c r="K1321" i="92"/>
  <c r="I1336" i="92"/>
  <c r="K1336" i="92"/>
  <c r="I1349" i="92"/>
  <c r="K1349" i="92"/>
  <c r="I1366" i="92"/>
  <c r="K1366" i="92"/>
  <c r="I1391" i="92"/>
  <c r="K1391" i="92"/>
  <c r="K1388" i="92"/>
  <c r="I1388" i="92"/>
  <c r="K1404" i="92"/>
  <c r="I1404" i="92"/>
  <c r="K1417" i="92"/>
  <c r="I1417" i="92"/>
  <c r="K1425" i="92"/>
  <c r="I1425" i="92"/>
  <c r="K1433" i="92"/>
  <c r="I1433" i="92"/>
  <c r="I1483" i="92"/>
  <c r="K1483" i="92"/>
  <c r="K1379" i="92"/>
  <c r="I1379" i="92"/>
  <c r="K1393" i="92"/>
  <c r="I1393" i="92"/>
  <c r="K1407" i="92"/>
  <c r="I1407" i="92"/>
  <c r="I1489" i="92"/>
  <c r="K1489" i="92"/>
  <c r="I1382" i="92"/>
  <c r="K1382" i="92"/>
  <c r="I1396" i="92"/>
  <c r="K1396" i="92"/>
  <c r="I1412" i="92"/>
  <c r="K1412" i="92"/>
  <c r="I1420" i="92"/>
  <c r="K1420" i="92"/>
  <c r="I1428" i="92"/>
  <c r="K1428" i="92"/>
  <c r="I1436" i="92"/>
  <c r="K1436" i="92"/>
  <c r="I1516" i="92"/>
  <c r="K1516" i="92"/>
  <c r="K1444" i="92"/>
  <c r="I1444" i="92"/>
  <c r="K1452" i="92"/>
  <c r="I1452" i="92"/>
  <c r="K1460" i="92"/>
  <c r="I1460" i="92"/>
  <c r="K1468" i="92"/>
  <c r="I1468" i="92"/>
  <c r="K1477" i="92"/>
  <c r="I1477" i="92"/>
  <c r="K1517" i="92"/>
  <c r="I1517" i="92"/>
  <c r="K1532" i="92"/>
  <c r="I1532" i="92"/>
  <c r="K1549" i="92"/>
  <c r="I1549" i="92"/>
  <c r="K1480" i="92"/>
  <c r="I1480" i="92"/>
  <c r="K1488" i="92"/>
  <c r="I1488" i="92"/>
  <c r="K1518" i="92"/>
  <c r="I1518" i="92"/>
  <c r="K1537" i="92"/>
  <c r="I1537" i="92"/>
  <c r="I1439" i="92"/>
  <c r="K1439" i="92"/>
  <c r="I1447" i="92"/>
  <c r="K1447" i="92"/>
  <c r="I1455" i="92"/>
  <c r="K1455" i="92"/>
  <c r="I1463" i="92"/>
  <c r="K1463" i="92"/>
  <c r="I1471" i="92"/>
  <c r="K1471" i="92"/>
  <c r="I1493" i="92"/>
  <c r="K1493" i="92"/>
  <c r="I1525" i="92"/>
  <c r="K1525" i="92"/>
  <c r="I1538" i="92"/>
  <c r="K1538" i="92"/>
  <c r="I1550" i="92"/>
  <c r="K1550" i="92"/>
  <c r="I23" i="92"/>
  <c r="K23" i="92"/>
  <c r="I63" i="92"/>
  <c r="K63" i="92"/>
  <c r="I103" i="92"/>
  <c r="K103" i="92"/>
  <c r="I143" i="92"/>
  <c r="K143" i="92"/>
  <c r="I168" i="92"/>
  <c r="K168" i="92"/>
  <c r="K229" i="92"/>
  <c r="I229" i="92"/>
  <c r="K265" i="92"/>
  <c r="I265" i="92"/>
  <c r="I343" i="92"/>
  <c r="K343" i="92"/>
  <c r="I455" i="92"/>
  <c r="K455" i="92"/>
  <c r="I550" i="92"/>
  <c r="K550" i="92"/>
  <c r="K24" i="92"/>
  <c r="I24" i="92"/>
  <c r="K44" i="92"/>
  <c r="I44" i="92"/>
  <c r="K84" i="92"/>
  <c r="I84" i="92"/>
  <c r="K124" i="92"/>
  <c r="I124" i="92"/>
  <c r="K152" i="92"/>
  <c r="I152" i="92"/>
  <c r="I207" i="92"/>
  <c r="K207" i="92"/>
  <c r="I243" i="92"/>
  <c r="K243" i="92"/>
  <c r="K289" i="92"/>
  <c r="I289" i="92"/>
  <c r="I371" i="92"/>
  <c r="K371" i="92"/>
  <c r="I676" i="92"/>
  <c r="K676" i="92"/>
  <c r="K135" i="92"/>
  <c r="I135" i="92"/>
  <c r="K197" i="92"/>
  <c r="I197" i="92"/>
  <c r="K273" i="92"/>
  <c r="I273" i="92"/>
  <c r="I379" i="92"/>
  <c r="K379" i="92"/>
  <c r="I491" i="92"/>
  <c r="K491" i="92"/>
  <c r="I35" i="92"/>
  <c r="K35" i="92"/>
  <c r="K29" i="92"/>
  <c r="I29" i="92"/>
  <c r="K65" i="92"/>
  <c r="I65" i="92"/>
  <c r="K105" i="92"/>
  <c r="I105" i="92"/>
  <c r="K148" i="92"/>
  <c r="I148" i="92"/>
  <c r="I283" i="92"/>
  <c r="K283" i="92"/>
  <c r="I26" i="92"/>
  <c r="K26" i="92"/>
  <c r="I42" i="92"/>
  <c r="K42" i="92"/>
  <c r="I187" i="92"/>
  <c r="K187" i="92"/>
  <c r="K214" i="92"/>
  <c r="I214" i="92"/>
  <c r="K285" i="92"/>
  <c r="I285" i="92"/>
  <c r="I383" i="92"/>
  <c r="K383" i="92"/>
  <c r="I164" i="92"/>
  <c r="K164" i="92"/>
  <c r="K188" i="92"/>
  <c r="I188" i="92"/>
  <c r="K213" i="92"/>
  <c r="I213" i="92"/>
  <c r="K240" i="92"/>
  <c r="I240" i="92"/>
  <c r="K264" i="92"/>
  <c r="I264" i="92"/>
  <c r="K288" i="92"/>
  <c r="I288" i="92"/>
  <c r="K312" i="92"/>
  <c r="I312" i="92"/>
  <c r="K336" i="92"/>
  <c r="I336" i="92"/>
  <c r="K360" i="92"/>
  <c r="I360" i="92"/>
  <c r="K384" i="92"/>
  <c r="I384" i="92"/>
  <c r="I419" i="92"/>
  <c r="K419" i="92"/>
  <c r="K457" i="92"/>
  <c r="I457" i="92"/>
  <c r="K505" i="92"/>
  <c r="I505" i="92"/>
  <c r="K580" i="92"/>
  <c r="I580" i="92"/>
  <c r="I700" i="92"/>
  <c r="K700" i="92"/>
  <c r="I922" i="92"/>
  <c r="K922" i="92"/>
  <c r="K313" i="92"/>
  <c r="I313" i="92"/>
  <c r="K337" i="92"/>
  <c r="I337" i="92"/>
  <c r="K361" i="92"/>
  <c r="I361" i="92"/>
  <c r="K385" i="92"/>
  <c r="I385" i="92"/>
  <c r="I415" i="92"/>
  <c r="K415" i="92"/>
  <c r="I451" i="92"/>
  <c r="K451" i="92"/>
  <c r="I499" i="92"/>
  <c r="K499" i="92"/>
  <c r="K564" i="92"/>
  <c r="I564" i="92"/>
  <c r="I694" i="92"/>
  <c r="K694" i="92"/>
  <c r="K146" i="92"/>
  <c r="I146" i="92"/>
  <c r="K162" i="92"/>
  <c r="I162" i="92"/>
  <c r="K186" i="92"/>
  <c r="I186" i="92"/>
  <c r="K210" i="92"/>
  <c r="I210" i="92"/>
  <c r="I235" i="92"/>
  <c r="K235" i="92"/>
  <c r="K262" i="92"/>
  <c r="I262" i="92"/>
  <c r="K286" i="92"/>
  <c r="I286" i="92"/>
  <c r="I310" i="92"/>
  <c r="K310" i="92"/>
  <c r="I334" i="92"/>
  <c r="K334" i="92"/>
  <c r="I358" i="92"/>
  <c r="K358" i="92"/>
  <c r="I382" i="92"/>
  <c r="K382" i="92"/>
  <c r="I431" i="92"/>
  <c r="K431" i="92"/>
  <c r="K453" i="92"/>
  <c r="I453" i="92"/>
  <c r="K501" i="92"/>
  <c r="I501" i="92"/>
  <c r="K544" i="92"/>
  <c r="I544" i="92"/>
  <c r="I637" i="92"/>
  <c r="K637" i="92"/>
  <c r="I820" i="92"/>
  <c r="K820" i="92"/>
  <c r="K456" i="92"/>
  <c r="I456" i="92"/>
  <c r="K480" i="92"/>
  <c r="I480" i="92"/>
  <c r="K504" i="92"/>
  <c r="I504" i="92"/>
  <c r="K528" i="92"/>
  <c r="I528" i="92"/>
  <c r="I559" i="92"/>
  <c r="K559" i="92"/>
  <c r="I593" i="92"/>
  <c r="K593" i="92"/>
  <c r="K668" i="92"/>
  <c r="I668" i="92"/>
  <c r="K701" i="92"/>
  <c r="I701" i="92"/>
  <c r="K749" i="92"/>
  <c r="I749" i="92"/>
  <c r="I844" i="92"/>
  <c r="K844" i="92"/>
  <c r="K678" i="92"/>
  <c r="I678" i="92"/>
  <c r="K772" i="92"/>
  <c r="I772" i="92"/>
  <c r="I874" i="92"/>
  <c r="K874" i="92"/>
  <c r="I957" i="92"/>
  <c r="K957" i="92"/>
  <c r="K390" i="92"/>
  <c r="I390" i="92"/>
  <c r="K414" i="92"/>
  <c r="I414" i="92"/>
  <c r="I438" i="92"/>
  <c r="K438" i="92"/>
  <c r="I462" i="92"/>
  <c r="K462" i="92"/>
  <c r="I486" i="92"/>
  <c r="K486" i="92"/>
  <c r="I510" i="92"/>
  <c r="K510" i="92"/>
  <c r="I530" i="92"/>
  <c r="K530" i="92"/>
  <c r="K565" i="92"/>
  <c r="I565" i="92"/>
  <c r="I615" i="92"/>
  <c r="K615" i="92"/>
  <c r="I681" i="92"/>
  <c r="K681" i="92"/>
  <c r="I774" i="92"/>
  <c r="K774" i="92"/>
  <c r="K1012" i="92"/>
  <c r="I1012" i="92"/>
  <c r="K803" i="92"/>
  <c r="I803" i="92"/>
  <c r="I839" i="92"/>
  <c r="K839" i="92"/>
  <c r="I898" i="92"/>
  <c r="K898" i="92"/>
  <c r="I938" i="92"/>
  <c r="K938" i="92"/>
  <c r="I1034" i="92"/>
  <c r="K1034" i="92"/>
  <c r="K1254" i="92"/>
  <c r="I1254" i="92"/>
  <c r="K975" i="92"/>
  <c r="I975" i="92"/>
  <c r="K1035" i="92"/>
  <c r="I1035" i="92"/>
  <c r="K825" i="92"/>
  <c r="I825" i="92"/>
  <c r="K918" i="92"/>
  <c r="I918" i="92"/>
  <c r="I998" i="92"/>
  <c r="K998" i="92"/>
  <c r="K1059" i="92"/>
  <c r="I1059" i="92"/>
  <c r="K1102" i="92"/>
  <c r="I1102" i="92"/>
  <c r="I1318" i="92"/>
  <c r="K1318" i="92"/>
  <c r="K1049" i="92"/>
  <c r="I1049" i="92"/>
  <c r="K1270" i="92"/>
  <c r="I1270" i="92"/>
  <c r="K1364" i="92"/>
  <c r="I1364" i="92"/>
  <c r="I1043" i="92"/>
  <c r="K1043" i="92"/>
  <c r="K1222" i="92"/>
  <c r="I1222" i="92"/>
  <c r="K1330" i="92"/>
  <c r="I1330" i="92"/>
  <c r="I1261" i="92"/>
  <c r="K1261" i="92"/>
  <c r="I1295" i="92"/>
  <c r="K1295" i="92"/>
  <c r="K1319" i="92"/>
  <c r="I1319" i="92"/>
  <c r="I1344" i="92"/>
  <c r="K1344" i="92"/>
  <c r="K1114" i="92"/>
  <c r="I1114" i="92"/>
  <c r="K1242" i="92"/>
  <c r="I1242" i="92"/>
  <c r="K1274" i="92"/>
  <c r="I1274" i="92"/>
  <c r="K1304" i="92"/>
  <c r="I1304" i="92"/>
  <c r="K1326" i="92"/>
  <c r="I1326" i="92"/>
  <c r="K1360" i="92"/>
  <c r="I1360" i="92"/>
  <c r="K919" i="92"/>
  <c r="I919" i="92"/>
  <c r="K955" i="92"/>
  <c r="I955" i="92"/>
  <c r="K1045" i="92"/>
  <c r="I1045" i="92"/>
  <c r="I1233" i="92"/>
  <c r="K1233" i="92"/>
  <c r="I1265" i="92"/>
  <c r="K1265" i="92"/>
  <c r="I1299" i="92"/>
  <c r="K1299" i="92"/>
  <c r="I1335" i="92"/>
  <c r="K1335" i="92"/>
  <c r="I1369" i="92"/>
  <c r="K1369" i="92"/>
  <c r="I1485" i="92"/>
  <c r="K1485" i="92"/>
  <c r="K1227" i="92"/>
  <c r="I1227" i="92"/>
  <c r="K1243" i="92"/>
  <c r="I1243" i="92"/>
  <c r="K1259" i="92"/>
  <c r="I1259" i="92"/>
  <c r="K1275" i="92"/>
  <c r="I1275" i="92"/>
  <c r="K1291" i="92"/>
  <c r="I1291" i="92"/>
  <c r="K1312" i="92"/>
  <c r="I1312" i="92"/>
  <c r="K1329" i="92"/>
  <c r="I1329" i="92"/>
  <c r="K1346" i="92"/>
  <c r="I1346" i="92"/>
  <c r="K1359" i="92"/>
  <c r="I1359" i="92"/>
  <c r="K1375" i="92"/>
  <c r="I1375" i="92"/>
  <c r="K1195" i="92"/>
  <c r="I1195" i="92"/>
  <c r="I1236" i="92"/>
  <c r="K1236" i="92"/>
  <c r="I1252" i="92"/>
  <c r="K1252" i="92"/>
  <c r="I1268" i="92"/>
  <c r="K1268" i="92"/>
  <c r="I1290" i="92"/>
  <c r="K1290" i="92"/>
  <c r="I1307" i="92"/>
  <c r="K1307" i="92"/>
  <c r="I1324" i="92"/>
  <c r="K1324" i="92"/>
  <c r="I1340" i="92"/>
  <c r="K1340" i="92"/>
  <c r="I1353" i="92"/>
  <c r="K1353" i="92"/>
  <c r="I1370" i="92"/>
  <c r="K1370" i="92"/>
  <c r="I1405" i="92"/>
  <c r="K1405" i="92"/>
  <c r="K1392" i="92"/>
  <c r="I1392" i="92"/>
  <c r="K1410" i="92"/>
  <c r="I1410" i="92"/>
  <c r="K1419" i="92"/>
  <c r="I1419" i="92"/>
  <c r="K1427" i="92"/>
  <c r="I1427" i="92"/>
  <c r="K1435" i="92"/>
  <c r="I1435" i="92"/>
  <c r="I1524" i="92"/>
  <c r="K1524" i="92"/>
  <c r="K1383" i="92"/>
  <c r="I1383" i="92"/>
  <c r="K1395" i="92"/>
  <c r="I1395" i="92"/>
  <c r="K1409" i="92"/>
  <c r="I1409" i="92"/>
  <c r="I1520" i="92"/>
  <c r="K1520" i="92"/>
  <c r="I1386" i="92"/>
  <c r="K1386" i="92"/>
  <c r="I1400" i="92"/>
  <c r="K1400" i="92"/>
  <c r="I1414" i="92"/>
  <c r="K1414" i="92"/>
  <c r="I1422" i="92"/>
  <c r="K1422" i="92"/>
  <c r="I1430" i="92"/>
  <c r="K1430" i="92"/>
  <c r="K1438" i="92"/>
  <c r="I1438" i="92"/>
  <c r="I1541" i="92"/>
  <c r="K1541" i="92"/>
  <c r="K1446" i="92"/>
  <c r="I1446" i="92"/>
  <c r="K1454" i="92"/>
  <c r="I1454" i="92"/>
  <c r="K1462" i="92"/>
  <c r="I1462" i="92"/>
  <c r="K1470" i="92"/>
  <c r="I1470" i="92"/>
  <c r="K1492" i="92"/>
  <c r="I1492" i="92"/>
  <c r="K1519" i="92"/>
  <c r="I1519" i="92"/>
  <c r="K1534" i="92"/>
  <c r="I1534" i="92"/>
  <c r="K1551" i="92"/>
  <c r="I1551" i="92"/>
  <c r="K1482" i="92"/>
  <c r="I1482" i="92"/>
  <c r="K1490" i="92"/>
  <c r="I1490" i="92"/>
  <c r="K1522" i="92"/>
  <c r="I1522" i="92"/>
  <c r="K1539" i="92"/>
  <c r="I1539" i="92"/>
  <c r="I1441" i="92"/>
  <c r="K1441" i="92"/>
  <c r="I1449" i="92"/>
  <c r="K1449" i="92"/>
  <c r="I1457" i="92"/>
  <c r="K1457" i="92"/>
  <c r="I1465" i="92"/>
  <c r="K1465" i="92"/>
  <c r="I1475" i="92"/>
  <c r="K1475" i="92"/>
  <c r="I1513" i="92"/>
  <c r="K1513" i="92"/>
  <c r="I1529" i="92"/>
  <c r="K1529" i="92"/>
  <c r="I1542" i="92"/>
  <c r="K1542" i="92"/>
  <c r="I1552" i="92"/>
  <c r="K1552" i="92"/>
  <c r="N182" i="94"/>
  <c r="N193" i="94"/>
  <c r="N205" i="94"/>
  <c r="U23" i="12"/>
  <c r="BC16" i="75" l="1"/>
  <c r="AY7" i="75" l="1"/>
  <c r="AY8" i="75"/>
  <c r="AY9" i="75"/>
  <c r="AY10" i="75"/>
  <c r="AY11" i="75"/>
  <c r="AY12" i="75"/>
  <c r="AY13" i="75"/>
  <c r="AY14" i="75"/>
  <c r="AY15" i="75"/>
  <c r="AY6" i="75"/>
  <c r="AX7" i="75"/>
  <c r="AX8" i="75"/>
  <c r="AX9" i="75"/>
  <c r="AX10" i="75"/>
  <c r="AX11" i="75"/>
  <c r="AX12" i="75"/>
  <c r="AX13" i="75"/>
  <c r="AX14" i="75"/>
  <c r="AX15" i="75"/>
  <c r="AX6" i="75"/>
  <c r="F17" i="57"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T321" i="97" s="1"/>
  <c r="Z30" i="97"/>
  <c r="T405" i="97" s="1"/>
  <c r="Z29" i="97"/>
  <c r="T391" i="97" s="1"/>
  <c r="Z28" i="97"/>
  <c r="T377" i="97" s="1"/>
  <c r="Z27" i="97"/>
  <c r="Z33" i="97"/>
  <c r="Z32" i="97"/>
  <c r="Z31" i="97"/>
  <c r="Z34" i="97"/>
  <c r="Z36" i="97"/>
  <c r="Z35" i="97"/>
  <c r="Z37" i="97"/>
  <c r="T501" i="97" s="1"/>
  <c r="O139" i="94"/>
  <c r="I139" i="94"/>
  <c r="E139" i="94"/>
  <c r="E138" i="94"/>
  <c r="S137" i="94"/>
  <c r="O147" i="94"/>
  <c r="I147" i="94"/>
  <c r="E147" i="94"/>
  <c r="E146" i="94"/>
  <c r="S145" i="94"/>
  <c r="O131" i="94"/>
  <c r="I131" i="94"/>
  <c r="E131" i="94"/>
  <c r="E130" i="94"/>
  <c r="S129" i="94"/>
  <c r="O123" i="94"/>
  <c r="I123" i="94"/>
  <c r="E123" i="94"/>
  <c r="E122" i="94"/>
  <c r="S121" i="94"/>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B962" i="92"/>
  <c r="C1024" i="92"/>
  <c r="C947" i="92"/>
  <c r="C1102" i="92"/>
  <c r="B981" i="92"/>
  <c r="C924" i="92"/>
  <c r="C942" i="92"/>
  <c r="B1013" i="92"/>
  <c r="B947" i="92"/>
  <c r="C1092" i="92"/>
  <c r="C980" i="92"/>
  <c r="B923" i="92"/>
  <c r="B966" i="92"/>
  <c r="C1170" i="92"/>
  <c r="B1035" i="92"/>
  <c r="B1102" i="92"/>
  <c r="C961" i="92"/>
  <c r="C923" i="92"/>
  <c r="C962" i="92"/>
  <c r="B928" i="92"/>
  <c r="B1195" i="92"/>
  <c r="B1092" i="92"/>
  <c r="C1013" i="92"/>
  <c r="B943" i="92"/>
  <c r="C966" i="92"/>
  <c r="C928" i="92"/>
  <c r="B1024" i="92"/>
  <c r="C985" i="92"/>
  <c r="B1115" i="92"/>
  <c r="B942" i="92"/>
  <c r="C1115" i="92"/>
  <c r="B980" i="92"/>
  <c r="C1035" i="92"/>
  <c r="C943" i="92"/>
  <c r="B961" i="92"/>
  <c r="B985" i="92"/>
  <c r="C1144" i="92"/>
  <c r="B924" i="92"/>
  <c r="B1170" i="92"/>
  <c r="C981" i="92"/>
  <c r="C1195" i="92"/>
  <c r="B1144" i="92"/>
  <c r="Z4" i="97" l="1"/>
  <c r="T29" i="97" s="1"/>
  <c r="Z6" i="97"/>
  <c r="T57" i="97" s="1"/>
  <c r="Z8" i="97"/>
  <c r="T88" i="97" s="1"/>
  <c r="Z14" i="97"/>
  <c r="Z15" i="97"/>
  <c r="Z16" i="97"/>
  <c r="Z17" i="97"/>
  <c r="Z18" i="97"/>
  <c r="Z19" i="97"/>
  <c r="AB19" i="97" l="1"/>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C808" i="92"/>
  <c r="B826" i="92"/>
  <c r="B793" i="92"/>
  <c r="C793" i="92"/>
  <c r="C827" i="92"/>
  <c r="C826" i="92"/>
  <c r="C809" i="92"/>
  <c r="B827" i="92"/>
  <c r="B808" i="92"/>
  <c r="B809" i="92"/>
  <c r="W6" i="75" l="1"/>
  <c r="S16" i="75" s="1" a="1"/>
  <c r="S16" i="75" s="1"/>
  <c r="W7" i="75"/>
  <c r="W8" i="75"/>
  <c r="W9" i="75"/>
  <c r="W10" i="75"/>
  <c r="W11" i="75"/>
  <c r="W12" i="75"/>
  <c r="W13" i="75"/>
  <c r="W14" i="75"/>
  <c r="W15" i="75"/>
  <c r="E222" i="94"/>
  <c r="AB37" i="97" s="1"/>
  <c r="D499" i="97" s="1"/>
  <c r="E221" i="94"/>
  <c r="AA37" i="97" s="1"/>
  <c r="D497" i="97" s="1"/>
  <c r="E210" i="94"/>
  <c r="E209" i="94"/>
  <c r="E198" i="94"/>
  <c r="E197" i="94"/>
  <c r="E187" i="94"/>
  <c r="E186" i="94"/>
  <c r="E179" i="94"/>
  <c r="E178" i="94"/>
  <c r="E170" i="94"/>
  <c r="E163" i="94"/>
  <c r="E162" i="94"/>
  <c r="E155" i="94"/>
  <c r="E154" i="94"/>
  <c r="E115" i="94"/>
  <c r="E114" i="94"/>
  <c r="E101" i="94"/>
  <c r="E100" i="94"/>
  <c r="E87" i="94"/>
  <c r="E86" i="94"/>
  <c r="E73" i="94"/>
  <c r="E72" i="94"/>
  <c r="E59" i="94"/>
  <c r="E58" i="94"/>
  <c r="E45" i="94"/>
  <c r="E44" i="94"/>
  <c r="E31" i="94"/>
  <c r="E30" i="94"/>
  <c r="E16" i="94"/>
  <c r="K180" i="94"/>
  <c r="P3" i="75" l="1"/>
  <c r="P4" i="75"/>
  <c r="R17" i="75"/>
  <c r="T15" i="94" l="1"/>
  <c r="O115" i="94"/>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T163" i="97" s="1"/>
  <c r="Z12" i="97"/>
  <c r="T148" i="97" s="1"/>
  <c r="Z11" i="97"/>
  <c r="T132" i="97" s="1"/>
  <c r="Z10" i="97"/>
  <c r="T117" i="97" s="1"/>
  <c r="Z9" i="97"/>
  <c r="T103" i="97" s="1"/>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B682" i="92"/>
  <c r="C683" i="92"/>
  <c r="C682" i="92"/>
  <c r="C700" i="92"/>
  <c r="C778" i="92"/>
  <c r="B701" i="92"/>
  <c r="B778" i="92"/>
  <c r="C701" i="92"/>
  <c r="B683" i="92"/>
  <c r="B700" i="92"/>
  <c r="O89" i="94" l="1"/>
  <c r="O19" i="94"/>
  <c r="O33" i="94"/>
  <c r="O47" i="94"/>
  <c r="O61" i="94"/>
  <c r="O75" i="94"/>
  <c r="Z7" i="97"/>
  <c r="T72" i="97" s="1"/>
  <c r="Z5" i="97"/>
  <c r="T43" i="97" s="1"/>
  <c r="Z3" i="97"/>
  <c r="T15" i="97" s="1"/>
  <c r="AB7" i="97" l="1"/>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C602" i="92"/>
  <c r="B584" i="92"/>
  <c r="C583" i="92"/>
  <c r="B583" i="92"/>
  <c r="B603" i="92"/>
  <c r="B568" i="92"/>
  <c r="B582" i="92"/>
  <c r="C601" i="92"/>
  <c r="C603" i="92"/>
  <c r="C568" i="92"/>
  <c r="C582" i="92"/>
  <c r="B553" i="92"/>
  <c r="C553" i="92"/>
  <c r="B602" i="92"/>
  <c r="B601" i="92"/>
  <c r="C584" i="92"/>
  <c r="K215" i="94" l="1"/>
  <c r="G187" i="94"/>
  <c r="O187" i="94" l="1"/>
  <c r="AE15" i="12"/>
  <c r="E27" i="12"/>
  <c r="C16" i="36"/>
  <c r="C17" i="36"/>
  <c r="C18" i="36"/>
  <c r="C19" i="36"/>
  <c r="C20" i="36"/>
  <c r="C21" i="36"/>
  <c r="C22" i="36"/>
  <c r="C23" i="36"/>
  <c r="C24" i="36"/>
  <c r="C15" i="36"/>
  <c r="D42" i="95"/>
  <c r="D41" i="95"/>
  <c r="D40" i="95"/>
  <c r="D32" i="95"/>
  <c r="D31" i="95"/>
  <c r="D30" i="95"/>
  <c r="D29" i="95"/>
  <c r="B42" i="95"/>
  <c r="D22" i="95"/>
  <c r="B22" i="95" s="1"/>
  <c r="D21" i="95"/>
  <c r="B21" i="95" s="1"/>
  <c r="D20" i="95"/>
  <c r="D19" i="95"/>
  <c r="B20" i="95"/>
  <c r="B32" i="95"/>
  <c r="K94" i="94" l="1"/>
  <c r="K66" i="94"/>
  <c r="C20" i="95" l="1"/>
  <c r="L20" i="95"/>
  <c r="L19" i="95"/>
  <c r="D84" i="95"/>
  <c r="P38" i="95" s="1"/>
  <c r="B82" i="95"/>
  <c r="O36" i="95" s="1"/>
  <c r="D78" i="95"/>
  <c r="B76" i="95"/>
  <c r="A74" i="95"/>
  <c r="D72" i="95"/>
  <c r="P49" i="95" s="1"/>
  <c r="D71" i="95"/>
  <c r="O52" i="95" s="1"/>
  <c r="B71" i="95"/>
  <c r="D70" i="95"/>
  <c r="B70" i="95"/>
  <c r="D69" i="95"/>
  <c r="O51" i="95" s="1"/>
  <c r="B69" i="95"/>
  <c r="P47" i="95" s="1"/>
  <c r="B68" i="95"/>
  <c r="O45" i="95" s="1"/>
  <c r="D64" i="95"/>
  <c r="B60" i="95"/>
  <c r="B62" i="95" s="1"/>
  <c r="B59" i="95"/>
  <c r="D55" i="95"/>
  <c r="K38" i="95" s="1"/>
  <c r="C55" i="95"/>
  <c r="K39" i="95" s="1"/>
  <c r="B54" i="95"/>
  <c r="J37" i="95" s="1"/>
  <c r="B53" i="95"/>
  <c r="D48" i="95"/>
  <c r="V39" i="95" s="1"/>
  <c r="C48" i="95"/>
  <c r="V38" i="95" s="1"/>
  <c r="B47" i="95"/>
  <c r="T37" i="95" s="1"/>
  <c r="B46" i="95"/>
  <c r="T36" i="95" s="1"/>
  <c r="V22" i="95"/>
  <c r="B41" i="95"/>
  <c r="U21" i="95" s="1"/>
  <c r="B40" i="95"/>
  <c r="U20" i="95" s="1"/>
  <c r="B37" i="95"/>
  <c r="T16" i="95" s="1"/>
  <c r="L36" i="95"/>
  <c r="J36" i="95"/>
  <c r="K36" i="95" s="1"/>
  <c r="B36" i="95"/>
  <c r="Q21" i="95"/>
  <c r="B31" i="95"/>
  <c r="P21" i="95" s="1"/>
  <c r="B30" i="95"/>
  <c r="P20" i="95" s="1"/>
  <c r="U29" i="95"/>
  <c r="B27" i="95"/>
  <c r="O16" i="95" s="1"/>
  <c r="V26" i="95"/>
  <c r="T26" i="95"/>
  <c r="U26" i="95" s="1"/>
  <c r="K26" i="95"/>
  <c r="J26" i="95"/>
  <c r="B26" i="95"/>
  <c r="K16" i="95"/>
  <c r="B15" i="95"/>
  <c r="J15" i="95" s="1"/>
  <c r="V14" i="95"/>
  <c r="T14" i="95"/>
  <c r="U14" i="95" s="1"/>
  <c r="Q14" i="95"/>
  <c r="O14" i="95"/>
  <c r="P14" i="95" s="1"/>
  <c r="L14" i="95"/>
  <c r="J14" i="95"/>
  <c r="K14" i="95" s="1"/>
  <c r="B14" i="95"/>
  <c r="F11" i="95"/>
  <c r="G10" i="95"/>
  <c r="F10" i="95"/>
  <c r="B10" i="95"/>
  <c r="G9" i="95"/>
  <c r="F9" i="95"/>
  <c r="B9" i="95"/>
  <c r="G8" i="95"/>
  <c r="F8" i="95"/>
  <c r="B8" i="95"/>
  <c r="S7" i="95"/>
  <c r="G7" i="95"/>
  <c r="F7" i="95"/>
  <c r="B7" i="95"/>
  <c r="G5" i="95"/>
  <c r="D5" i="95" s="1"/>
  <c r="L4" i="95"/>
  <c r="B52" i="95" s="1"/>
  <c r="B4" i="95"/>
  <c r="L3" i="95"/>
  <c r="B6" i="95"/>
  <c r="B5" i="95"/>
  <c r="C41" i="95"/>
  <c r="C31" i="95"/>
  <c r="Q19" i="95"/>
  <c r="U22" i="95"/>
  <c r="Q22" i="95"/>
  <c r="P22" i="95"/>
  <c r="L22" i="95"/>
  <c r="V21" i="95"/>
  <c r="V20" i="95"/>
  <c r="Q20" i="95"/>
  <c r="K20" i="95"/>
  <c r="V19" i="95"/>
  <c r="U19" i="95"/>
  <c r="P19" i="95"/>
  <c r="H4" i="94"/>
  <c r="H3" i="94"/>
  <c r="S196" i="94"/>
  <c r="O179" i="94"/>
  <c r="S169" i="94"/>
  <c r="S161" i="94"/>
  <c r="O155" i="94"/>
  <c r="S153" i="94"/>
  <c r="S113" i="94"/>
  <c r="J103" i="94"/>
  <c r="S99" i="94"/>
  <c r="J89" i="94"/>
  <c r="S85" i="94"/>
  <c r="I80" i="94"/>
  <c r="J75" i="94"/>
  <c r="S71" i="94"/>
  <c r="I66" i="94"/>
  <c r="J61" i="94"/>
  <c r="S57" i="94"/>
  <c r="I52" i="94"/>
  <c r="J48" i="94"/>
  <c r="S43" i="94"/>
  <c r="I38" i="94"/>
  <c r="E37" i="94"/>
  <c r="J34" i="94"/>
  <c r="S29" i="94"/>
  <c r="I24" i="94"/>
  <c r="G22" i="95"/>
  <c r="G21" i="95"/>
  <c r="J20" i="94"/>
  <c r="G20" i="95"/>
  <c r="O171" i="94" l="1"/>
  <c r="O210" i="94"/>
  <c r="O198" i="94"/>
  <c r="C40" i="95"/>
  <c r="C30" i="95"/>
  <c r="C29" i="95"/>
  <c r="I31" i="95"/>
  <c r="O49" i="95"/>
  <c r="C39" i="95"/>
  <c r="N49" i="95"/>
  <c r="I30" i="95"/>
  <c r="J31" i="95"/>
  <c r="N48" i="95"/>
  <c r="C62" i="95"/>
  <c r="Q29" i="95" s="1"/>
  <c r="J30" i="95"/>
  <c r="O48" i="95"/>
  <c r="K29" i="95"/>
  <c r="L21" i="95"/>
  <c r="B13" i="95"/>
  <c r="O13" i="95"/>
  <c r="B25" i="95"/>
  <c r="T25" i="95"/>
  <c r="K21" i="95"/>
  <c r="J35" i="95"/>
  <c r="T35" i="95"/>
  <c r="B75" i="95"/>
  <c r="J13" i="95"/>
  <c r="T13" i="95"/>
  <c r="O43" i="95"/>
  <c r="B45" i="95"/>
  <c r="B58" i="95"/>
  <c r="B67" i="95"/>
  <c r="S4" i="95"/>
  <c r="G6" i="95"/>
  <c r="J20" i="95"/>
  <c r="J25" i="95"/>
  <c r="O28" i="95"/>
  <c r="P28" i="95" s="1"/>
  <c r="O29" i="95" s="1"/>
  <c r="P29" i="95" s="1"/>
  <c r="O30" i="95" s="1"/>
  <c r="P30" i="95" s="1"/>
  <c r="O31" i="95" s="1"/>
  <c r="P31" i="95" s="1"/>
  <c r="O32" i="95" s="1"/>
  <c r="P32" i="95" s="1"/>
  <c r="C19" i="95"/>
  <c r="B35" i="95"/>
  <c r="O35" i="95"/>
  <c r="O227" i="94" l="1"/>
  <c r="E23" i="12" s="1"/>
  <c r="Q30" i="95"/>
  <c r="Q31" i="95"/>
  <c r="Q32" i="95"/>
  <c r="D67" i="95"/>
  <c r="D58" i="95"/>
  <c r="D45" i="95"/>
  <c r="Q43" i="95"/>
  <c r="L25" i="95"/>
  <c r="V13" i="95"/>
  <c r="D13" i="95"/>
  <c r="L13" i="95" s="1"/>
  <c r="D75" i="95"/>
  <c r="V35" i="95"/>
  <c r="L35" i="95"/>
  <c r="Q13" i="95"/>
  <c r="V25" i="95"/>
  <c r="D25" i="95"/>
  <c r="D52" i="95"/>
  <c r="Q35" i="95"/>
  <c r="D35" i="95"/>
  <c r="K22" i="95"/>
  <c r="C21" i="95"/>
  <c r="Q28" i="95"/>
  <c r="S6" i="95" l="1"/>
  <c r="N23" i="12"/>
  <c r="AG1" i="75"/>
  <c r="AG15" i="75" s="1"/>
  <c r="JI15" i="72" s="1"/>
  <c r="AG10" i="75" l="1"/>
  <c r="EX22" i="72" s="1"/>
  <c r="AG8" i="75"/>
  <c r="DD20" i="72" s="1"/>
  <c r="AG9" i="75"/>
  <c r="EA17" i="72" s="1"/>
  <c r="AG11" i="75"/>
  <c r="FU19" i="72" s="1"/>
  <c r="AG13" i="75"/>
  <c r="HO21" i="72" s="1"/>
  <c r="AG6" i="75"/>
  <c r="BJ14" i="72" s="1"/>
  <c r="AG14" i="75"/>
  <c r="IL18" i="72" s="1"/>
  <c r="AG12" i="75"/>
  <c r="GR16" i="72" s="1"/>
  <c r="AG7" i="75"/>
  <c r="CG15" i="72" s="1"/>
  <c r="JI22" i="72"/>
  <c r="JI21" i="72"/>
  <c r="JI28" i="72"/>
  <c r="JI20" i="72"/>
  <c r="JI14" i="72"/>
  <c r="JI27" i="72"/>
  <c r="JI19" i="72"/>
  <c r="JI30" i="72"/>
  <c r="JI34" i="72"/>
  <c r="JI26" i="72"/>
  <c r="JI18" i="72"/>
  <c r="JI29" i="72"/>
  <c r="JI33" i="72"/>
  <c r="JI25" i="72"/>
  <c r="JI17" i="72"/>
  <c r="JI32" i="72"/>
  <c r="JI24" i="72"/>
  <c r="JI16" i="72"/>
  <c r="JI31" i="72"/>
  <c r="JI23" i="72"/>
  <c r="IL16" i="72"/>
  <c r="IL29" i="72"/>
  <c r="IL34" i="72"/>
  <c r="HO28" i="72"/>
  <c r="HO20" i="72"/>
  <c r="HO14" i="72"/>
  <c r="HO27" i="72"/>
  <c r="HO19" i="72"/>
  <c r="HO34" i="72"/>
  <c r="HO26" i="72"/>
  <c r="HO18" i="72"/>
  <c r="HO25" i="72"/>
  <c r="HO17" i="72"/>
  <c r="HO32" i="72"/>
  <c r="HO24" i="72"/>
  <c r="HO16" i="72"/>
  <c r="HO33" i="72"/>
  <c r="HO31" i="72"/>
  <c r="HO23" i="72"/>
  <c r="HO15" i="72"/>
  <c r="HO30" i="72"/>
  <c r="HO22" i="72"/>
  <c r="HO29" i="72"/>
  <c r="FU18" i="72"/>
  <c r="FU17" i="72"/>
  <c r="FU34" i="72"/>
  <c r="FU23" i="72"/>
  <c r="FU15" i="72"/>
  <c r="FU22" i="72"/>
  <c r="FU26" i="72"/>
  <c r="FU21" i="72"/>
  <c r="FU28" i="72"/>
  <c r="FU27" i="72"/>
  <c r="EX21" i="72"/>
  <c r="EX28" i="72"/>
  <c r="EX14" i="72"/>
  <c r="EX27" i="72"/>
  <c r="EX19" i="72"/>
  <c r="EX20" i="72"/>
  <c r="EX34" i="72"/>
  <c r="EX26" i="72"/>
  <c r="EX18" i="72"/>
  <c r="EX29" i="72"/>
  <c r="EX32" i="72"/>
  <c r="EX24" i="72"/>
  <c r="EX16" i="72"/>
  <c r="EX33" i="72"/>
  <c r="EX31" i="72"/>
  <c r="EX23" i="72"/>
  <c r="EX15" i="72"/>
  <c r="EX25" i="72"/>
  <c r="EX17" i="72"/>
  <c r="EX30" i="72"/>
  <c r="EA16" i="72"/>
  <c r="EA15" i="72"/>
  <c r="EA30" i="72"/>
  <c r="EA21" i="72"/>
  <c r="EA28" i="72"/>
  <c r="EA14" i="72"/>
  <c r="EA27" i="72"/>
  <c r="EA26" i="72"/>
  <c r="EA18" i="72"/>
  <c r="EA25" i="72"/>
  <c r="DD14" i="72"/>
  <c r="DD34" i="72"/>
  <c r="DD26" i="72"/>
  <c r="DD25" i="72"/>
  <c r="DD17" i="72"/>
  <c r="DD16" i="72"/>
  <c r="DD31" i="72"/>
  <c r="DD30" i="72"/>
  <c r="DD22" i="72"/>
  <c r="DD28" i="72"/>
  <c r="CG30" i="72"/>
  <c r="CG29" i="72"/>
  <c r="CG21" i="72"/>
  <c r="CG28" i="72"/>
  <c r="CG20" i="72"/>
  <c r="CG14" i="72"/>
  <c r="CG27" i="72"/>
  <c r="CG19" i="72"/>
  <c r="CG34" i="72"/>
  <c r="CG26" i="72"/>
  <c r="CG18" i="72"/>
  <c r="CG22" i="72"/>
  <c r="CG33" i="72"/>
  <c r="CG25" i="72"/>
  <c r="CG17" i="72"/>
  <c r="CG32" i="72"/>
  <c r="CG24" i="72"/>
  <c r="CG16" i="72"/>
  <c r="CG31" i="72"/>
  <c r="CG23" i="72"/>
  <c r="BJ27" i="72"/>
  <c r="BJ20" i="72"/>
  <c r="BJ34" i="72"/>
  <c r="BJ26" i="72"/>
  <c r="BJ28" i="72"/>
  <c r="BJ33" i="72"/>
  <c r="BJ25" i="72"/>
  <c r="BJ32" i="72"/>
  <c r="BJ24" i="72"/>
  <c r="BJ16" i="72"/>
  <c r="BJ31" i="72"/>
  <c r="BJ23" i="72"/>
  <c r="BJ30" i="72"/>
  <c r="BJ29" i="72"/>
  <c r="BJ21" i="72"/>
  <c r="JB2" i="72"/>
  <c r="IE2" i="72"/>
  <c r="HH2" i="72"/>
  <c r="GK2" i="72"/>
  <c r="FN2" i="72"/>
  <c r="EQ2" i="72"/>
  <c r="DT2" i="72"/>
  <c r="CW2" i="72"/>
  <c r="BZ2" i="72"/>
  <c r="BC2" i="72"/>
  <c r="DD21" i="72" l="1"/>
  <c r="DD15" i="72"/>
  <c r="DD24" i="72"/>
  <c r="DD33" i="72"/>
  <c r="DD19" i="72"/>
  <c r="EA33" i="72"/>
  <c r="EA34" i="72"/>
  <c r="EA32" i="72"/>
  <c r="EA29" i="72"/>
  <c r="EA23" i="72"/>
  <c r="FU14" i="72"/>
  <c r="FU29" i="72"/>
  <c r="FU30" i="72"/>
  <c r="FU31" i="72"/>
  <c r="FU25" i="72"/>
  <c r="IL19" i="72"/>
  <c r="IL24" i="72"/>
  <c r="BJ22" i="72"/>
  <c r="BJ15" i="72"/>
  <c r="BJ17" i="72"/>
  <c r="BJ18" i="72"/>
  <c r="BJ19" i="72"/>
  <c r="DD29" i="72"/>
  <c r="DD23" i="72"/>
  <c r="DD32" i="72"/>
  <c r="DD18" i="72"/>
  <c r="DD27" i="72"/>
  <c r="EA24" i="72"/>
  <c r="EA19" i="72"/>
  <c r="EA20" i="72"/>
  <c r="EA22" i="72"/>
  <c r="EA31" i="72"/>
  <c r="FU20" i="72"/>
  <c r="FU24" i="72"/>
  <c r="FU32" i="72"/>
  <c r="FU16" i="72"/>
  <c r="FU33" i="72"/>
  <c r="IL21" i="72"/>
  <c r="GR14" i="72"/>
  <c r="GR32" i="72"/>
  <c r="GR23" i="72"/>
  <c r="GR25" i="72"/>
  <c r="GR20" i="72"/>
  <c r="GR31" i="72"/>
  <c r="IL27" i="72"/>
  <c r="IL22" i="72"/>
  <c r="IL32" i="72"/>
  <c r="GR33" i="72"/>
  <c r="GR28" i="72"/>
  <c r="IL14" i="72"/>
  <c r="IL30" i="72"/>
  <c r="GR18" i="72"/>
  <c r="GR21" i="72"/>
  <c r="IL25" i="72"/>
  <c r="IL17" i="72"/>
  <c r="GR27" i="72"/>
  <c r="GR17" i="72"/>
  <c r="GR26" i="72"/>
  <c r="GR29" i="72"/>
  <c r="IL20" i="72"/>
  <c r="IL15" i="72"/>
  <c r="GR15" i="72"/>
  <c r="GR34" i="72"/>
  <c r="GR22" i="72"/>
  <c r="IL28" i="72"/>
  <c r="IL23" i="72"/>
  <c r="GR24" i="72"/>
  <c r="GR19" i="72"/>
  <c r="GR30" i="72"/>
  <c r="IL26" i="72"/>
  <c r="IL33" i="72"/>
  <c r="IL31" i="72"/>
  <c r="AA39" i="72" a="1"/>
  <c r="AA39" i="72" s="1"/>
  <c r="AP7" i="75" l="1"/>
  <c r="AP8" i="75"/>
  <c r="AP9" i="75"/>
  <c r="AP10" i="75"/>
  <c r="AP11" i="75"/>
  <c r="AP12" i="75"/>
  <c r="AP13" i="75"/>
  <c r="AP14" i="75"/>
  <c r="AP15" i="75"/>
  <c r="AP6" i="75"/>
  <c r="AW1" i="72"/>
  <c r="G18" i="89" l="1"/>
  <c r="U5" i="90"/>
  <c r="U3" i="90" s="1"/>
  <c r="U4" i="90"/>
  <c r="U2" i="90" s="1"/>
  <c r="P13" i="90" l="1"/>
  <c r="P12" i="90"/>
  <c r="P11" i="90"/>
  <c r="C18" i="69" l="1"/>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B5" i="89" l="1"/>
  <c r="F10" i="89"/>
  <c r="E10" i="89"/>
  <c r="G15" i="57"/>
  <c r="K24" i="57" l="1"/>
  <c r="K25" i="57"/>
  <c r="K26" i="57"/>
  <c r="K27" i="57"/>
  <c r="K28" i="57"/>
  <c r="K29" i="57"/>
  <c r="K30" i="57"/>
  <c r="K31" i="57"/>
  <c r="K32" i="57"/>
  <c r="K23" i="57"/>
  <c r="E171" i="94" l="1"/>
  <c r="E17" i="94"/>
  <c r="L25" i="57"/>
  <c r="M5" i="90"/>
  <c r="L30" i="57"/>
  <c r="L24" i="57"/>
  <c r="L29" i="57"/>
  <c r="L32" i="57"/>
  <c r="L28" i="57"/>
  <c r="L31" i="57"/>
  <c r="L27" i="57"/>
  <c r="L23" i="57"/>
  <c r="L26" i="57"/>
  <c r="G26" i="74"/>
  <c r="Z9"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Z15" i="74" l="1"/>
  <c r="Z14" i="74"/>
  <c r="Z13" i="74"/>
  <c r="Z12" i="74"/>
  <c r="Z11" i="74"/>
  <c r="Q14" i="57"/>
  <c r="F19" i="57" l="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E32" i="57" l="1"/>
  <c r="E31" i="57"/>
  <c r="E30" i="57"/>
  <c r="E29" i="57"/>
  <c r="E28" i="57"/>
  <c r="E27" i="57"/>
  <c r="E26" i="57"/>
  <c r="E25" i="57"/>
  <c r="E24" i="57"/>
  <c r="E23" i="57"/>
  <c r="F23" i="57" s="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U40" i="61" l="1"/>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F6" i="75"/>
  <c r="L6" i="75" l="1"/>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L4" i="94" l="1"/>
  <c r="L3" i="94" s="1"/>
  <c r="B3" i="95"/>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26"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16" i="75" s="1"/>
  <c r="BB9" i="75"/>
  <c r="BD9" i="75" s="1"/>
  <c r="BA14" i="75"/>
  <c r="BB13" i="75"/>
  <c r="BD13" i="75" s="1"/>
  <c r="BD6" i="75" l="1"/>
  <c r="BD16" i="75" s="1"/>
  <c r="E36" i="1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C15" i="75" l="1"/>
  <c r="B15" i="75" s="1"/>
  <c r="AC7" i="75"/>
  <c r="B7" i="75" s="1"/>
  <c r="D96" i="61" s="1"/>
  <c r="J45" i="95" s="1"/>
  <c r="AC8" i="75"/>
  <c r="B8" i="75" s="1"/>
  <c r="D97" i="61" s="1"/>
  <c r="J46" i="95" s="1"/>
  <c r="AC9" i="75"/>
  <c r="B9" i="75" s="1"/>
  <c r="D98" i="61" s="1"/>
  <c r="J47" i="95" s="1"/>
  <c r="AC10" i="75"/>
  <c r="B10" i="75" s="1"/>
  <c r="D99" i="61" s="1"/>
  <c r="J48" i="95" s="1"/>
  <c r="AC11" i="75"/>
  <c r="B11" i="75" s="1"/>
  <c r="D100" i="61" s="1"/>
  <c r="J49" i="95" s="1"/>
  <c r="AC12" i="75"/>
  <c r="B12" i="75" s="1"/>
  <c r="D101" i="61" s="1"/>
  <c r="J50" i="95" s="1"/>
  <c r="AC13" i="75"/>
  <c r="B13" i="75" s="1"/>
  <c r="D102" i="61" s="1"/>
  <c r="J51" i="95" s="1"/>
  <c r="AC14" i="75"/>
  <c r="B14" i="75" s="1"/>
  <c r="D103" i="61" s="1"/>
  <c r="J52" i="95" s="1"/>
  <c r="AC6" i="75"/>
  <c r="B6" i="75" s="1"/>
  <c r="D95" i="61" l="1"/>
  <c r="D104" i="61"/>
  <c r="J53" i="95" s="1"/>
  <c r="H4" i="70"/>
  <c r="H3" i="70" s="1"/>
  <c r="L6" i="95" l="1"/>
  <c r="J44" i="95"/>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J17" i="36" l="1"/>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B17" i="72" a="1"/>
  <c r="EB17" i="72" s="1"/>
  <c r="EB23" i="72" a="1"/>
  <c r="EB23" i="72" s="1"/>
  <c r="EB21" i="72" a="1"/>
  <c r="EB21" i="72" s="1"/>
  <c r="EB29" i="72" a="1"/>
  <c r="EB29" i="72" s="1"/>
  <c r="EB18" i="72" a="1"/>
  <c r="EB18" i="72" s="1"/>
  <c r="EB24" i="72" a="1"/>
  <c r="EB24" i="72" s="1"/>
  <c r="EB19" i="72" a="1"/>
  <c r="EB19" i="72" s="1"/>
  <c r="EB20" i="72" a="1"/>
  <c r="EB20" i="72" s="1"/>
  <c r="EB22" i="72" a="1"/>
  <c r="EB22" i="72" s="1"/>
  <c r="EB31" i="72" a="1"/>
  <c r="EB31" i="72" s="1"/>
  <c r="EB28" i="72" a="1"/>
  <c r="EB28" i="72" s="1"/>
  <c r="EB16" i="72" a="1"/>
  <c r="EB16" i="72" s="1"/>
  <c r="EB27" i="72" a="1"/>
  <c r="EB27" i="72" s="1"/>
  <c r="EB25" i="72" a="1"/>
  <c r="EB25" i="72" s="1"/>
  <c r="EB30" i="72" a="1"/>
  <c r="EB30" i="72" s="1"/>
  <c r="EB14" i="72" a="1"/>
  <c r="EB14" i="72" s="1"/>
  <c r="EB33" i="72" a="1"/>
  <c r="EB33" i="72" s="1"/>
  <c r="EB15" i="72" a="1"/>
  <c r="EB15" i="72" s="1"/>
  <c r="EB32" i="72" a="1"/>
  <c r="EB32" i="72" s="1"/>
  <c r="EB26" i="72" a="1"/>
  <c r="EB26" i="72" s="1"/>
  <c r="EB34" i="72" a="1"/>
  <c r="EB34" i="72" s="1"/>
  <c r="EY22" i="72" a="1"/>
  <c r="EY22" i="72" s="1"/>
  <c r="EY18" i="72" a="1"/>
  <c r="EY18" i="72" s="1"/>
  <c r="EY23" i="72" a="1"/>
  <c r="EY23" i="72" s="1"/>
  <c r="EZ23" i="72" s="1"/>
  <c r="FH23" i="72" s="1" a="1"/>
  <c r="FH23" i="72" s="1"/>
  <c r="EY32" i="72" a="1"/>
  <c r="EY32" i="72" s="1"/>
  <c r="EY21" i="72" a="1"/>
  <c r="EY21" i="72" s="1"/>
  <c r="EY26" i="72" a="1"/>
  <c r="EY26" i="72" s="1"/>
  <c r="EY31" i="72" a="1"/>
  <c r="EY31" i="72" s="1"/>
  <c r="EY30" i="72" a="1"/>
  <c r="EY30" i="72" s="1"/>
  <c r="EY17" i="72" a="1"/>
  <c r="EY17" i="72" s="1"/>
  <c r="EY34" i="72" a="1"/>
  <c r="EY34" i="72" s="1"/>
  <c r="EY14" i="72" a="1"/>
  <c r="EY14" i="72" s="1"/>
  <c r="EZ14" i="72" s="1"/>
  <c r="FH14" i="72" s="1" a="1"/>
  <c r="FH14" i="72" s="1"/>
  <c r="EY27" i="72" a="1"/>
  <c r="EY27" i="72" s="1"/>
  <c r="EY25" i="72" a="1"/>
  <c r="EY25" i="72" s="1"/>
  <c r="EY33" i="72" a="1"/>
  <c r="EY33" i="72" s="1"/>
  <c r="EY29" i="72" a="1"/>
  <c r="EY29" i="72" s="1"/>
  <c r="EY20" i="72" a="1"/>
  <c r="EY20" i="72" s="1"/>
  <c r="EY16" i="72" a="1"/>
  <c r="EY16" i="72" s="1"/>
  <c r="EY28" i="72" a="1"/>
  <c r="EY28" i="72" s="1"/>
  <c r="EY19" i="72" a="1"/>
  <c r="EY19" i="72" s="1"/>
  <c r="EY15" i="72" a="1"/>
  <c r="EY15" i="72" s="1"/>
  <c r="EY24" i="72" a="1"/>
  <c r="EY24" i="72" s="1"/>
  <c r="CH15" i="72" a="1"/>
  <c r="CH15" i="72" s="1"/>
  <c r="CH33" i="72" a="1"/>
  <c r="CH33" i="72" s="1"/>
  <c r="CH23" i="72" a="1"/>
  <c r="CH23" i="72" s="1"/>
  <c r="CH14" i="72" a="1"/>
  <c r="CH14" i="72" s="1"/>
  <c r="CH32" i="72" a="1"/>
  <c r="CH32" i="72" s="1"/>
  <c r="CH27" i="72" a="1"/>
  <c r="CH27" i="72" s="1"/>
  <c r="CI27" i="72" s="1"/>
  <c r="CQ27" i="72" s="1" a="1"/>
  <c r="CQ27" i="72" s="1"/>
  <c r="CH20" i="72" a="1"/>
  <c r="CH20" i="72" s="1"/>
  <c r="CH22" i="72" a="1"/>
  <c r="CH22" i="72" s="1"/>
  <c r="CH31" i="72" a="1"/>
  <c r="CH31" i="72" s="1"/>
  <c r="CH28" i="72" a="1"/>
  <c r="CH28" i="72" s="1"/>
  <c r="CH18" i="72" a="1"/>
  <c r="CH18" i="72" s="1"/>
  <c r="CH25" i="72" a="1"/>
  <c r="CH25" i="72" s="1"/>
  <c r="CH21" i="72" a="1"/>
  <c r="CH21" i="72" s="1"/>
  <c r="CH16" i="72" a="1"/>
  <c r="CH16" i="72" s="1"/>
  <c r="CH26" i="72" a="1"/>
  <c r="CH26" i="72" s="1"/>
  <c r="CH24" i="72" a="1"/>
  <c r="CH24" i="72" s="1"/>
  <c r="CH29" i="72" a="1"/>
  <c r="CH29" i="72" s="1"/>
  <c r="CH34" i="72" a="1"/>
  <c r="CH34" i="72" s="1"/>
  <c r="CH30" i="72" a="1"/>
  <c r="CH30" i="72" s="1"/>
  <c r="CH17" i="72" a="1"/>
  <c r="CH17" i="72" s="1"/>
  <c r="CH19" i="72" a="1"/>
  <c r="CH19" i="72" s="1"/>
  <c r="FV19" i="72" a="1"/>
  <c r="FV19" i="72" s="1"/>
  <c r="FW19" i="72" s="1"/>
  <c r="GE19" i="72" s="1" a="1"/>
  <c r="GE19" i="72" s="1"/>
  <c r="FV16" i="72" a="1"/>
  <c r="FV16" i="72" s="1"/>
  <c r="FV33" i="72" a="1"/>
  <c r="FV33" i="72" s="1"/>
  <c r="FV15" i="72" a="1"/>
  <c r="FV15" i="72" s="1"/>
  <c r="FV18" i="72" a="1"/>
  <c r="FV18" i="72" s="1"/>
  <c r="FV26" i="72" a="1"/>
  <c r="FV26" i="72" s="1"/>
  <c r="FV27" i="72" a="1"/>
  <c r="FV27" i="72" s="1"/>
  <c r="FV34" i="72" a="1"/>
  <c r="FV34" i="72" s="1"/>
  <c r="FV22" i="72" a="1"/>
  <c r="FV22" i="72" s="1"/>
  <c r="FW22" i="72" s="1"/>
  <c r="GE22" i="72" s="1" a="1"/>
  <c r="GE22" i="72" s="1"/>
  <c r="FV14" i="72" a="1"/>
  <c r="FV14" i="72" s="1"/>
  <c r="FV17" i="72" a="1"/>
  <c r="FV17" i="72" s="1"/>
  <c r="FV30" i="72" a="1"/>
  <c r="FV30" i="72" s="1"/>
  <c r="FV21" i="72" a="1"/>
  <c r="FV21" i="72" s="1"/>
  <c r="FV29" i="72" a="1"/>
  <c r="FV29" i="72" s="1"/>
  <c r="FV25" i="72" a="1"/>
  <c r="FV25" i="72" s="1"/>
  <c r="FV23" i="72" a="1"/>
  <c r="FV23" i="72" s="1"/>
  <c r="FV31" i="72" a="1"/>
  <c r="FV31" i="72" s="1"/>
  <c r="FW31" i="72" s="1"/>
  <c r="GE31" i="72" s="1" a="1"/>
  <c r="GE31" i="72" s="1"/>
  <c r="FV20" i="72" a="1"/>
  <c r="FV20" i="72" s="1"/>
  <c r="FV24" i="72" a="1"/>
  <c r="FV24" i="72" s="1"/>
  <c r="FV32" i="72" a="1"/>
  <c r="FV32" i="72" s="1"/>
  <c r="FV28" i="72" a="1"/>
  <c r="FV28" i="72" s="1"/>
  <c r="FW28" i="72" s="1"/>
  <c r="GE28" i="72" s="1" a="1"/>
  <c r="GE28" i="72" s="1"/>
  <c r="DS5" i="72"/>
  <c r="HP21" i="72" a="1"/>
  <c r="HP21" i="72" s="1"/>
  <c r="HP19" i="72" a="1"/>
  <c r="HP19" i="72" s="1"/>
  <c r="HP24" i="72" a="1"/>
  <c r="HP24" i="72" s="1"/>
  <c r="HQ24" i="72" s="1"/>
  <c r="HY24" i="72" s="1" a="1"/>
  <c r="HY24" i="72" s="1"/>
  <c r="HP22" i="72" a="1"/>
  <c r="HP22" i="72" s="1"/>
  <c r="HP23" i="72" a="1"/>
  <c r="HP23" i="72" s="1"/>
  <c r="HP31" i="72" a="1"/>
  <c r="HP31" i="72" s="1"/>
  <c r="HP18" i="72" a="1"/>
  <c r="HP18" i="72" s="1"/>
  <c r="HP27" i="72" a="1"/>
  <c r="HP27" i="72" s="1"/>
  <c r="HP32" i="72" a="1"/>
  <c r="HP32" i="72" s="1"/>
  <c r="HP14" i="72" a="1"/>
  <c r="HP14" i="72" s="1"/>
  <c r="HP30" i="72" a="1"/>
  <c r="HP30" i="72" s="1"/>
  <c r="HQ30" i="72" s="1"/>
  <c r="HY30" i="72" s="1" a="1"/>
  <c r="HY30" i="72" s="1"/>
  <c r="HP33" i="72" a="1"/>
  <c r="HP33" i="72" s="1"/>
  <c r="HP17" i="72" a="1"/>
  <c r="HP17" i="72" s="1"/>
  <c r="HP15" i="72" a="1"/>
  <c r="HP15" i="72" s="1"/>
  <c r="HP34" i="72" a="1"/>
  <c r="HP34" i="72" s="1"/>
  <c r="HQ34" i="72" s="1"/>
  <c r="HY34" i="72" s="1" a="1"/>
  <c r="HY34" i="72" s="1"/>
  <c r="HP20" i="72" a="1"/>
  <c r="HP20" i="72" s="1"/>
  <c r="HP25" i="72" a="1"/>
  <c r="HP25" i="72" s="1"/>
  <c r="HP28" i="72" a="1"/>
  <c r="HP28" i="72" s="1"/>
  <c r="HP16" i="72" a="1"/>
  <c r="HP16" i="72" s="1"/>
  <c r="HQ16" i="72" s="1"/>
  <c r="HY16" i="72" s="1" a="1"/>
  <c r="HY16" i="72" s="1"/>
  <c r="HP29" i="72" a="1"/>
  <c r="HP29" i="72" s="1"/>
  <c r="HQ29" i="72" s="1"/>
  <c r="HY29" i="72" s="1" a="1"/>
  <c r="HY29" i="72" s="1"/>
  <c r="HP26" i="72" a="1"/>
  <c r="HP26" i="72" s="1"/>
  <c r="GS16" i="72" a="1"/>
  <c r="GS16" i="72" s="1"/>
  <c r="GS30" i="72" a="1"/>
  <c r="GS30" i="72" s="1"/>
  <c r="GT30" i="72" s="1"/>
  <c r="HB30" i="72" s="1" a="1"/>
  <c r="HB30" i="72" s="1"/>
  <c r="GS15" i="72" a="1"/>
  <c r="GS15" i="72" s="1"/>
  <c r="GS29" i="72" a="1"/>
  <c r="GS29" i="72" s="1"/>
  <c r="GS34" i="72" a="1"/>
  <c r="GS34" i="72" s="1"/>
  <c r="GS22" i="72" a="1"/>
  <c r="GS22" i="72" s="1"/>
  <c r="GT22" i="72" s="1"/>
  <c r="HB22" i="72" s="1" a="1"/>
  <c r="HB22" i="72" s="1"/>
  <c r="GS17" i="72" a="1"/>
  <c r="GS17" i="72" s="1"/>
  <c r="GT17" i="72" s="1"/>
  <c r="HB17" i="72" s="1" a="1"/>
  <c r="HB17" i="72" s="1"/>
  <c r="GS26" i="72" a="1"/>
  <c r="GS26" i="72" s="1"/>
  <c r="GS14" i="72" a="1"/>
  <c r="GS14" i="72" s="1"/>
  <c r="GS23" i="72" a="1"/>
  <c r="GS23" i="72" s="1"/>
  <c r="GT23" i="72" s="1"/>
  <c r="HB23" i="72" s="1" a="1"/>
  <c r="HB23" i="72" s="1"/>
  <c r="GS25" i="72" a="1"/>
  <c r="GS25" i="72" s="1"/>
  <c r="GS32" i="72" a="1"/>
  <c r="GS32" i="72" s="1"/>
  <c r="GS20" i="72" a="1"/>
  <c r="GS20" i="72" s="1"/>
  <c r="GS33" i="72" a="1"/>
  <c r="GS33" i="72" s="1"/>
  <c r="GT33" i="72" s="1"/>
  <c r="HB33" i="72" s="1" a="1"/>
  <c r="HB33" i="72" s="1"/>
  <c r="GS31" i="72" a="1"/>
  <c r="GS31" i="72" s="1"/>
  <c r="GS28" i="72" a="1"/>
  <c r="GS28" i="72" s="1"/>
  <c r="GS18" i="72" a="1"/>
  <c r="GS18" i="72" s="1"/>
  <c r="GS24" i="72" a="1"/>
  <c r="GS24" i="72" s="1"/>
  <c r="GT24" i="72" s="1"/>
  <c r="HB24" i="72" s="1" a="1"/>
  <c r="HB24" i="72" s="1"/>
  <c r="GS21" i="72" a="1"/>
  <c r="GS21" i="72" s="1"/>
  <c r="GS19" i="72" a="1"/>
  <c r="GS19" i="72" s="1"/>
  <c r="GS27" i="72" a="1"/>
  <c r="GS27" i="72" s="1"/>
  <c r="BK14" i="72" a="1"/>
  <c r="BK14" i="72" s="1"/>
  <c r="BK31" i="72" a="1"/>
  <c r="BK31" i="72" s="1"/>
  <c r="BK24" i="72" a="1"/>
  <c r="BK24" i="72" s="1"/>
  <c r="BK32" i="72" a="1"/>
  <c r="BK32" i="72" s="1"/>
  <c r="BK20" i="72" a="1"/>
  <c r="BK20" i="72" s="1"/>
  <c r="BK15" i="72" a="1"/>
  <c r="BK15" i="72" s="1"/>
  <c r="BK28" i="72" a="1"/>
  <c r="BK28" i="72" s="1"/>
  <c r="BL28" i="72" s="1"/>
  <c r="BT28" i="72" s="1" a="1"/>
  <c r="BT28" i="72" s="1"/>
  <c r="BK34" i="72" a="1"/>
  <c r="BK34" i="72" s="1"/>
  <c r="BK18" i="72" a="1"/>
  <c r="BK18" i="72" s="1"/>
  <c r="BL18" i="72" s="1"/>
  <c r="BT18" i="72" s="1" a="1"/>
  <c r="BT18" i="72" s="1"/>
  <c r="BK17" i="72" a="1"/>
  <c r="BK17" i="72" s="1"/>
  <c r="BK16" i="72" a="1"/>
  <c r="BK16" i="72" s="1"/>
  <c r="BK19" i="72" a="1"/>
  <c r="BK19" i="72" s="1"/>
  <c r="BK30" i="72" a="1"/>
  <c r="BK30" i="72" s="1"/>
  <c r="BL30" i="72" s="1"/>
  <c r="BT30" i="72" s="1" a="1"/>
  <c r="BT30" i="72" s="1"/>
  <c r="BK33" i="72" a="1"/>
  <c r="BK33" i="72" s="1"/>
  <c r="BL33" i="72" s="1"/>
  <c r="BT33" i="72" s="1" a="1"/>
  <c r="BT33" i="72" s="1"/>
  <c r="BK25" i="72" a="1"/>
  <c r="BK25" i="72" s="1"/>
  <c r="BL25" i="72" s="1"/>
  <c r="BT25" i="72" s="1" a="1"/>
  <c r="BT25" i="72" s="1"/>
  <c r="BK29" i="72" a="1"/>
  <c r="BK29" i="72" s="1"/>
  <c r="BK26" i="72" a="1"/>
  <c r="BK26" i="72" s="1"/>
  <c r="BL26" i="72" s="1"/>
  <c r="BT26" i="72" s="1" a="1"/>
  <c r="BT26" i="72" s="1"/>
  <c r="BK27" i="72" a="1"/>
  <c r="BK27" i="72" s="1"/>
  <c r="BL27" i="72" s="1"/>
  <c r="BT27" i="72" s="1" a="1"/>
  <c r="BT27" i="72" s="1"/>
  <c r="BK23" i="72" a="1"/>
  <c r="BK23" i="72" s="1"/>
  <c r="BL23" i="72" s="1"/>
  <c r="BT23" i="72" s="1" a="1"/>
  <c r="BT23" i="72" s="1"/>
  <c r="BK22" i="72" a="1"/>
  <c r="BK22" i="72" s="1"/>
  <c r="BL22" i="72" s="1"/>
  <c r="BT22" i="72" s="1" a="1"/>
  <c r="BT22" i="72" s="1"/>
  <c r="BK21" i="72" a="1"/>
  <c r="BK21" i="72" s="1"/>
  <c r="BL21" i="72" s="1"/>
  <c r="BT21" i="72" s="1" a="1"/>
  <c r="BT21" i="72" s="1"/>
  <c r="IM18" i="72" a="1"/>
  <c r="IM18" i="72" s="1"/>
  <c r="IM24" i="72" a="1"/>
  <c r="IM24" i="72" s="1"/>
  <c r="IM23" i="72" a="1"/>
  <c r="IM23" i="72" s="1"/>
  <c r="IM27" i="72" a="1"/>
  <c r="IM27" i="72" s="1"/>
  <c r="IN27" i="72" s="1"/>
  <c r="IV27" i="72" s="1" a="1"/>
  <c r="IV27" i="72" s="1"/>
  <c r="IM26" i="72" a="1"/>
  <c r="IM26" i="72" s="1"/>
  <c r="IN26" i="72" s="1"/>
  <c r="IV26" i="72" s="1" a="1"/>
  <c r="IV26" i="72" s="1"/>
  <c r="IM22" i="72" a="1"/>
  <c r="IM22" i="72" s="1"/>
  <c r="IN22" i="72" s="1"/>
  <c r="IV22" i="72" s="1" a="1"/>
  <c r="IV22" i="72" s="1"/>
  <c r="IM14" i="72" a="1"/>
  <c r="IM14" i="72" s="1"/>
  <c r="IN14" i="72" s="1"/>
  <c r="IV14" i="72" s="1" a="1"/>
  <c r="IV14" i="72" s="1"/>
  <c r="IM32" i="72" a="1"/>
  <c r="IM32" i="72" s="1"/>
  <c r="IN32" i="72" s="1"/>
  <c r="IV32" i="72" s="1" a="1"/>
  <c r="IV32" i="72" s="1"/>
  <c r="IM30" i="72" a="1"/>
  <c r="IM30" i="72" s="1"/>
  <c r="IM25" i="72" a="1"/>
  <c r="IM25" i="72" s="1"/>
  <c r="IM17" i="72" a="1"/>
  <c r="IM17" i="72" s="1"/>
  <c r="IM33" i="72" a="1"/>
  <c r="IM33" i="72" s="1"/>
  <c r="IN33" i="72" s="1"/>
  <c r="IV33" i="72" s="1" a="1"/>
  <c r="IV33" i="72" s="1"/>
  <c r="IM21" i="72" a="1"/>
  <c r="IM21" i="72" s="1"/>
  <c r="IN21" i="72" s="1"/>
  <c r="IV21" i="72" s="1" a="1"/>
  <c r="IV21" i="72" s="1"/>
  <c r="IM34" i="72" a="1"/>
  <c r="IM34" i="72" s="1"/>
  <c r="IN34" i="72" s="1"/>
  <c r="IV34" i="72" s="1" a="1"/>
  <c r="IV34" i="72" s="1"/>
  <c r="IM31" i="72" a="1"/>
  <c r="IM31" i="72" s="1"/>
  <c r="IN31" i="72" s="1"/>
  <c r="IV31" i="72" s="1" a="1"/>
  <c r="IV31" i="72" s="1"/>
  <c r="IM16" i="72" a="1"/>
  <c r="IM16" i="72" s="1"/>
  <c r="IN16" i="72" s="1"/>
  <c r="IV16" i="72" s="1" a="1"/>
  <c r="IV16" i="72" s="1"/>
  <c r="IM19" i="72" a="1"/>
  <c r="IM19" i="72" s="1"/>
  <c r="IM20" i="72" a="1"/>
  <c r="IM20" i="72" s="1"/>
  <c r="IM29" i="72" a="1"/>
  <c r="IM29" i="72" s="1"/>
  <c r="IM15" i="72" a="1"/>
  <c r="IM15" i="72" s="1"/>
  <c r="IN15" i="72" s="1"/>
  <c r="IV15" i="72" s="1" a="1"/>
  <c r="IV15" i="72" s="1"/>
  <c r="IM28" i="72" a="1"/>
  <c r="IM28" i="72" s="1"/>
  <c r="IN28" i="72" s="1"/>
  <c r="IV28" i="72" s="1" a="1"/>
  <c r="IV28" i="72" s="1"/>
  <c r="JJ15" i="72" a="1"/>
  <c r="JJ15" i="72" s="1"/>
  <c r="JK15" i="72" s="1"/>
  <c r="JS15" i="72" s="1" a="1"/>
  <c r="JS15" i="72" s="1"/>
  <c r="JJ16" i="72" a="1"/>
  <c r="JJ16" i="72" s="1"/>
  <c r="JK16" i="72" s="1"/>
  <c r="JS16" i="72" s="1" a="1"/>
  <c r="JS16" i="72" s="1"/>
  <c r="JJ25" i="72" a="1"/>
  <c r="JJ25" i="72" s="1"/>
  <c r="JK25" i="72" s="1"/>
  <c r="JS25" i="72" s="1" a="1"/>
  <c r="JS25" i="72" s="1"/>
  <c r="JJ26" i="72" a="1"/>
  <c r="JJ26" i="72" s="1"/>
  <c r="JJ24" i="72" a="1"/>
  <c r="JJ24" i="72" s="1"/>
  <c r="JJ21" i="72" a="1"/>
  <c r="JJ21" i="72" s="1"/>
  <c r="JK21" i="72" s="1"/>
  <c r="JS21" i="72" s="1" a="1"/>
  <c r="JS21" i="72" s="1"/>
  <c r="JJ27" i="72" a="1"/>
  <c r="JJ27" i="72" s="1"/>
  <c r="JK27" i="72" s="1"/>
  <c r="JS27" i="72" s="1" a="1"/>
  <c r="JS27" i="72" s="1"/>
  <c r="JJ34" i="72" a="1"/>
  <c r="JJ34" i="72" s="1"/>
  <c r="JK34" i="72" s="1"/>
  <c r="JS34" i="72" s="1" a="1"/>
  <c r="JS34" i="72" s="1"/>
  <c r="JJ33" i="72" a="1"/>
  <c r="JJ33" i="72" s="1"/>
  <c r="JK33" i="72" s="1"/>
  <c r="JS33" i="72" s="1" a="1"/>
  <c r="JS33" i="72" s="1"/>
  <c r="JJ23" i="72" a="1"/>
  <c r="JJ23" i="72" s="1"/>
  <c r="JK23" i="72" s="1"/>
  <c r="JS23" i="72" s="1" a="1"/>
  <c r="JS23" i="72" s="1"/>
  <c r="JJ22" i="72" a="1"/>
  <c r="JJ22" i="72" s="1"/>
  <c r="JK22" i="72" s="1"/>
  <c r="JS22" i="72" s="1" a="1"/>
  <c r="JS22" i="72" s="1"/>
  <c r="JJ14" i="72" a="1"/>
  <c r="JJ14" i="72" s="1"/>
  <c r="JK14" i="72" s="1"/>
  <c r="JS14" i="72" s="1" a="1"/>
  <c r="JS14" i="72" s="1"/>
  <c r="JJ29" i="72" a="1"/>
  <c r="JJ29" i="72" s="1"/>
  <c r="JK29" i="72" s="1"/>
  <c r="JS29" i="72" s="1" a="1"/>
  <c r="JS29" i="72" s="1"/>
  <c r="JJ31" i="72" a="1"/>
  <c r="JJ31" i="72" s="1"/>
  <c r="JK31" i="72" s="1"/>
  <c r="JS31" i="72" s="1" a="1"/>
  <c r="JS31" i="72" s="1"/>
  <c r="JJ17" i="72" a="1"/>
  <c r="JJ17" i="72" s="1"/>
  <c r="JK17" i="72" s="1"/>
  <c r="JS17" i="72" s="1" a="1"/>
  <c r="JS17" i="72" s="1"/>
  <c r="JJ20" i="72" a="1"/>
  <c r="JJ20" i="72" s="1"/>
  <c r="JK20" i="72" s="1"/>
  <c r="JS20" i="72" s="1" a="1"/>
  <c r="JS20" i="72" s="1"/>
  <c r="JJ18" i="72" a="1"/>
  <c r="JJ18" i="72" s="1"/>
  <c r="JK18" i="72" s="1"/>
  <c r="JS18" i="72" s="1" a="1"/>
  <c r="JS18" i="72" s="1"/>
  <c r="JJ32" i="72" a="1"/>
  <c r="JJ32" i="72" s="1"/>
  <c r="JK32" i="72" s="1"/>
  <c r="JS32" i="72" s="1" a="1"/>
  <c r="JS32" i="72" s="1"/>
  <c r="JJ28" i="72" a="1"/>
  <c r="JJ28" i="72" s="1"/>
  <c r="JK28" i="72" s="1"/>
  <c r="JS28" i="72" s="1" a="1"/>
  <c r="JS28" i="72" s="1"/>
  <c r="JJ30" i="72" a="1"/>
  <c r="JJ30" i="72" s="1"/>
  <c r="JK30" i="72" s="1"/>
  <c r="JS30" i="72" s="1" a="1"/>
  <c r="JS30" i="72" s="1"/>
  <c r="JJ19" i="72" a="1"/>
  <c r="JJ19" i="72" s="1"/>
  <c r="JK19" i="72" s="1"/>
  <c r="JS19" i="72" s="1" a="1"/>
  <c r="JS19" i="72" s="1"/>
  <c r="DE20" i="72" a="1"/>
  <c r="DE20" i="72" s="1"/>
  <c r="DF20" i="72" s="1"/>
  <c r="DN20" i="72" s="1" a="1"/>
  <c r="DN20" i="72" s="1"/>
  <c r="DE29" i="72" a="1"/>
  <c r="DE29" i="72" s="1"/>
  <c r="DF29" i="72" s="1"/>
  <c r="DN29" i="72" s="1" a="1"/>
  <c r="DN29" i="72" s="1"/>
  <c r="DE18" i="72" a="1"/>
  <c r="DE18" i="72" s="1"/>
  <c r="DF18" i="72" s="1"/>
  <c r="DN18" i="72" s="1" a="1"/>
  <c r="DN18" i="72" s="1"/>
  <c r="DE31" i="72" a="1"/>
  <c r="DE31" i="72" s="1"/>
  <c r="DF31" i="72" s="1"/>
  <c r="DN31" i="72" s="1" a="1"/>
  <c r="DN31" i="72" s="1"/>
  <c r="DE27" i="72" a="1"/>
  <c r="DE27" i="72" s="1"/>
  <c r="DF27" i="72" s="1"/>
  <c r="DN27" i="72" s="1" a="1"/>
  <c r="DN27" i="72" s="1"/>
  <c r="DE26" i="72" a="1"/>
  <c r="DE26" i="72" s="1"/>
  <c r="DF26" i="72" s="1"/>
  <c r="DN26" i="72" s="1" a="1"/>
  <c r="DN26" i="72" s="1"/>
  <c r="DE22" i="72" a="1"/>
  <c r="DE22" i="72" s="1"/>
  <c r="DF22" i="72" s="1"/>
  <c r="DN22" i="72" s="1" a="1"/>
  <c r="DN22" i="72" s="1"/>
  <c r="DE17" i="72" a="1"/>
  <c r="DE17" i="72" s="1"/>
  <c r="DF17" i="72" s="1"/>
  <c r="DN17" i="72" s="1" a="1"/>
  <c r="DN17" i="72" s="1"/>
  <c r="DE30" i="72" a="1"/>
  <c r="DE30" i="72" s="1"/>
  <c r="DF30" i="72" s="1"/>
  <c r="DN30" i="72" s="1" a="1"/>
  <c r="DN30" i="72" s="1"/>
  <c r="DE32" i="72" a="1"/>
  <c r="DE32" i="72" s="1"/>
  <c r="DF32" i="72" s="1"/>
  <c r="DN32" i="72" s="1" a="1"/>
  <c r="DN32" i="72" s="1"/>
  <c r="DE14" i="72" a="1"/>
  <c r="DE14" i="72" s="1"/>
  <c r="DF14" i="72" s="1"/>
  <c r="DN14" i="72" s="1" a="1"/>
  <c r="DN14" i="72" s="1"/>
  <c r="DE25" i="72" a="1"/>
  <c r="DE25" i="72" s="1"/>
  <c r="DF25" i="72" s="1"/>
  <c r="DN25" i="72" s="1" a="1"/>
  <c r="DN25" i="72" s="1"/>
  <c r="DE15" i="72" a="1"/>
  <c r="DE15" i="72" s="1"/>
  <c r="DF15" i="72" s="1"/>
  <c r="DN15" i="72" s="1" a="1"/>
  <c r="DN15" i="72" s="1"/>
  <c r="DE28" i="72" a="1"/>
  <c r="DE28" i="72" s="1"/>
  <c r="DF28" i="72" s="1"/>
  <c r="DN28" i="72" s="1" a="1"/>
  <c r="DN28" i="72" s="1"/>
  <c r="DE21" i="72" a="1"/>
  <c r="DE21" i="72" s="1"/>
  <c r="DF21" i="72" s="1"/>
  <c r="DN21" i="72" s="1" a="1"/>
  <c r="DN21" i="72" s="1"/>
  <c r="DE33" i="72" a="1"/>
  <c r="DE33" i="72" s="1"/>
  <c r="DF33" i="72" s="1"/>
  <c r="DN33" i="72" s="1" a="1"/>
  <c r="DN33" i="72" s="1"/>
  <c r="DE16" i="72" a="1"/>
  <c r="DE16" i="72" s="1"/>
  <c r="DF16" i="72" s="1"/>
  <c r="DN16" i="72" s="1" a="1"/>
  <c r="DN16" i="72" s="1"/>
  <c r="DE24" i="72" a="1"/>
  <c r="DE24" i="72" s="1"/>
  <c r="DF24" i="72" s="1"/>
  <c r="DN24" i="72" s="1" a="1"/>
  <c r="DN24" i="72" s="1"/>
  <c r="DE34" i="72" a="1"/>
  <c r="DE34" i="72" s="1"/>
  <c r="DF34" i="72" s="1"/>
  <c r="DN34" i="72" s="1" a="1"/>
  <c r="DN34" i="72" s="1"/>
  <c r="DE19" i="72" a="1"/>
  <c r="DE19" i="72" s="1"/>
  <c r="DF19" i="72" s="1"/>
  <c r="DN19" i="72" s="1" a="1"/>
  <c r="DN19" i="72" s="1"/>
  <c r="DE23" i="72" a="1"/>
  <c r="DE23" i="72" s="1"/>
  <c r="DF23" i="72" s="1"/>
  <c r="DN23" i="72" s="1" a="1"/>
  <c r="DN23" i="72" s="1"/>
  <c r="EP5" i="72"/>
  <c r="FM5" i="72"/>
  <c r="JK26" i="72"/>
  <c r="JS26" i="72" s="1" a="1"/>
  <c r="JS26" i="72" s="1"/>
  <c r="JK24" i="72"/>
  <c r="JS24" i="72" s="1" a="1"/>
  <c r="JS24" i="72" s="1"/>
  <c r="IN23" i="72"/>
  <c r="IV23" i="72" s="1" a="1"/>
  <c r="IV23" i="72" s="1"/>
  <c r="IN18" i="72"/>
  <c r="IV18" i="72" s="1" a="1"/>
  <c r="IV18" i="72" s="1"/>
  <c r="IN29" i="72"/>
  <c r="IV29" i="72" s="1" a="1"/>
  <c r="IV29" i="72" s="1"/>
  <c r="IN19" i="72"/>
  <c r="IV19" i="72" s="1" a="1"/>
  <c r="IV19" i="72" s="1"/>
  <c r="IN17" i="72"/>
  <c r="IV17" i="72" s="1" a="1"/>
  <c r="IV17" i="72" s="1"/>
  <c r="IN25" i="72"/>
  <c r="IV25" i="72" s="1" a="1"/>
  <c r="IV25" i="72" s="1"/>
  <c r="IN24" i="72"/>
  <c r="IV24" i="72" s="1" a="1"/>
  <c r="IV24" i="72" s="1"/>
  <c r="HQ32" i="72"/>
  <c r="HY32" i="72" s="1" a="1"/>
  <c r="HY32" i="72" s="1"/>
  <c r="HQ28" i="72"/>
  <c r="HY28" i="72" s="1" a="1"/>
  <c r="HY28" i="72" s="1"/>
  <c r="HQ15" i="72"/>
  <c r="HY15" i="72" s="1" a="1"/>
  <c r="HY15" i="72" s="1"/>
  <c r="HQ17" i="72"/>
  <c r="HY17" i="72" s="1" a="1"/>
  <c r="HY17" i="72" s="1"/>
  <c r="HQ25" i="72"/>
  <c r="HY25" i="72" s="1" a="1"/>
  <c r="HY25" i="72" s="1"/>
  <c r="HQ33" i="72"/>
  <c r="HY33" i="72" s="1" a="1"/>
  <c r="HY33" i="72" s="1"/>
  <c r="HQ14" i="72"/>
  <c r="HY14" i="72" s="1" a="1"/>
  <c r="HY14" i="72" s="1"/>
  <c r="HQ27" i="72"/>
  <c r="HY27" i="72" s="1" a="1"/>
  <c r="HY27" i="72" s="1"/>
  <c r="HQ21" i="72"/>
  <c r="HY21" i="72" s="1" a="1"/>
  <c r="HY21" i="72" s="1"/>
  <c r="HQ31" i="72"/>
  <c r="HY31" i="72" s="1" a="1"/>
  <c r="HY31" i="72" s="1"/>
  <c r="GT19" i="72"/>
  <c r="HB19" i="72" s="1" a="1"/>
  <c r="HB19" i="72" s="1"/>
  <c r="GT28" i="72"/>
  <c r="HB28" i="72" s="1" a="1"/>
  <c r="HB28" i="72" s="1"/>
  <c r="GT31" i="72"/>
  <c r="HB31" i="72" s="1" a="1"/>
  <c r="HB31" i="72" s="1"/>
  <c r="GT14" i="72"/>
  <c r="HB14" i="72" s="1" a="1"/>
  <c r="HB14" i="72" s="1"/>
  <c r="GT20" i="72"/>
  <c r="HB20" i="72" s="1" a="1"/>
  <c r="HB20" i="72" s="1"/>
  <c r="GT26" i="72"/>
  <c r="HB26" i="72" s="1" a="1"/>
  <c r="HB26" i="72" s="1"/>
  <c r="GT27" i="72"/>
  <c r="HB27" i="72" s="1" a="1"/>
  <c r="HB27" i="72" s="1"/>
  <c r="GT34" i="72"/>
  <c r="HB34" i="72" s="1" a="1"/>
  <c r="HB34" i="72" s="1"/>
  <c r="GT21" i="72"/>
  <c r="HB21" i="72" s="1" a="1"/>
  <c r="HB21" i="72" s="1"/>
  <c r="GT32" i="72"/>
  <c r="HB32" i="72" s="1" a="1"/>
  <c r="HB32" i="72" s="1"/>
  <c r="GT25" i="72"/>
  <c r="HB25" i="72" s="1" a="1"/>
  <c r="HB25" i="72" s="1"/>
  <c r="FW33" i="72"/>
  <c r="GE33" i="72" s="1" a="1"/>
  <c r="GE33" i="72" s="1"/>
  <c r="FW32" i="72"/>
  <c r="GE32" i="72" s="1" a="1"/>
  <c r="GE32" i="72" s="1"/>
  <c r="FW20" i="72"/>
  <c r="GE20" i="72" s="1" a="1"/>
  <c r="GE20" i="72" s="1"/>
  <c r="FW17" i="72"/>
  <c r="GE17" i="72" s="1" a="1"/>
  <c r="GE17" i="72" s="1"/>
  <c r="FW34" i="72"/>
  <c r="GE34" i="72" s="1" a="1"/>
  <c r="GE34" i="72" s="1"/>
  <c r="FW30" i="72"/>
  <c r="GE30" i="72" s="1" a="1"/>
  <c r="GE30" i="72" s="1"/>
  <c r="FW16" i="72"/>
  <c r="GE16" i="72" s="1" a="1"/>
  <c r="GE16" i="72" s="1"/>
  <c r="FW21" i="72"/>
  <c r="GE21" i="72" s="1" a="1"/>
  <c r="GE21" i="72" s="1"/>
  <c r="FW27" i="72"/>
  <c r="GE27" i="72" s="1" a="1"/>
  <c r="GE27" i="72" s="1"/>
  <c r="FW14" i="72"/>
  <c r="GE14" i="72" s="1" a="1"/>
  <c r="GE14" i="72" s="1"/>
  <c r="FW24" i="72"/>
  <c r="GE24" i="72" s="1" a="1"/>
  <c r="GE24" i="72" s="1"/>
  <c r="FW18" i="72"/>
  <c r="GE18" i="72" s="1" a="1"/>
  <c r="GE18" i="72" s="1"/>
  <c r="FW23" i="72"/>
  <c r="GE23" i="72" s="1" a="1"/>
  <c r="GE23" i="72" s="1"/>
  <c r="FW26" i="72"/>
  <c r="GE26" i="72" s="1" a="1"/>
  <c r="GE26" i="72" s="1"/>
  <c r="EZ18" i="72"/>
  <c r="FH18" i="72" s="1" a="1"/>
  <c r="FH18" i="72" s="1"/>
  <c r="EZ28" i="72"/>
  <c r="FH28" i="72" s="1" a="1"/>
  <c r="FH28" i="72" s="1"/>
  <c r="EZ24" i="72"/>
  <c r="FH24" i="72" s="1" a="1"/>
  <c r="FH24" i="72" s="1"/>
  <c r="EZ16" i="72"/>
  <c r="FH16" i="72" s="1" a="1"/>
  <c r="FH16" i="72" s="1"/>
  <c r="EZ25" i="72"/>
  <c r="FH25" i="72" s="1" a="1"/>
  <c r="FH25" i="72" s="1"/>
  <c r="EZ19" i="72"/>
  <c r="FH19" i="72" s="1" a="1"/>
  <c r="FH19" i="72" s="1"/>
  <c r="EZ29" i="72"/>
  <c r="FH29" i="72" s="1" a="1"/>
  <c r="FH29" i="72" s="1"/>
  <c r="EZ32" i="72"/>
  <c r="FH32" i="72" s="1" a="1"/>
  <c r="FH32" i="72" s="1"/>
  <c r="EZ17" i="72"/>
  <c r="FH17" i="72" s="1" a="1"/>
  <c r="FH17" i="72" s="1"/>
  <c r="EZ22" i="72"/>
  <c r="FH22" i="72" s="1" a="1"/>
  <c r="FH22" i="72" s="1"/>
  <c r="EZ33" i="72"/>
  <c r="FH33" i="72" s="1" a="1"/>
  <c r="FH33" i="72" s="1"/>
  <c r="EZ27" i="72"/>
  <c r="FH27" i="72" s="1" a="1"/>
  <c r="FH27" i="72" s="1"/>
  <c r="EZ20" i="72"/>
  <c r="FH20" i="72" s="1" a="1"/>
  <c r="FH20" i="72" s="1"/>
  <c r="EZ15" i="72"/>
  <c r="FH15" i="72" s="1" a="1"/>
  <c r="FH15" i="72" s="1"/>
  <c r="EC22" i="72"/>
  <c r="EK22" i="72" s="1" a="1"/>
  <c r="EK22" i="72" s="1"/>
  <c r="EC26" i="72"/>
  <c r="EK26" i="72" s="1" a="1"/>
  <c r="EK26" i="72" s="1"/>
  <c r="EC24" i="72"/>
  <c r="EK24" i="72" s="1" a="1"/>
  <c r="EK24" i="72" s="1"/>
  <c r="EC30" i="72"/>
  <c r="EK30" i="72" s="1" a="1"/>
  <c r="EK30" i="72" s="1"/>
  <c r="EC28" i="72"/>
  <c r="EK28" i="72" s="1" a="1"/>
  <c r="EK28" i="72" s="1"/>
  <c r="EC18" i="72"/>
  <c r="EK18" i="72" s="1" a="1"/>
  <c r="EK18" i="72" s="1"/>
  <c r="EC33" i="72"/>
  <c r="EK33" i="72" s="1" a="1"/>
  <c r="EK33" i="72" s="1"/>
  <c r="EC32" i="72"/>
  <c r="EK32" i="72" s="1" a="1"/>
  <c r="EK32" i="72" s="1"/>
  <c r="EC14" i="72"/>
  <c r="EK14" i="72" s="1" a="1"/>
  <c r="EK14" i="72" s="1"/>
  <c r="EC20" i="72"/>
  <c r="EK20" i="72" s="1" a="1"/>
  <c r="EK20" i="72" s="1"/>
  <c r="EC34" i="72"/>
  <c r="EK34" i="72" s="1" a="1"/>
  <c r="EK34" i="72" s="1"/>
  <c r="EC31" i="72"/>
  <c r="EK31" i="72" s="1" a="1"/>
  <c r="EK31" i="72" s="1"/>
  <c r="EC23" i="72"/>
  <c r="EK23" i="72" s="1" a="1"/>
  <c r="EK23" i="72" s="1"/>
  <c r="EC19" i="72"/>
  <c r="EK19" i="72" s="1" a="1"/>
  <c r="EK19" i="72" s="1"/>
  <c r="EC16" i="72"/>
  <c r="EK16" i="72" s="1" a="1"/>
  <c r="EK16" i="72" s="1"/>
  <c r="EC29" i="72"/>
  <c r="EK29" i="72" s="1" a="1"/>
  <c r="EK29" i="72" s="1"/>
  <c r="EC15" i="72"/>
  <c r="EK15" i="72" s="1" a="1"/>
  <c r="EK15" i="72" s="1"/>
  <c r="EC25" i="72"/>
  <c r="EK25" i="72" s="1" a="1"/>
  <c r="EK25" i="72" s="1"/>
  <c r="CI25" i="72"/>
  <c r="CQ25" i="72" s="1" a="1"/>
  <c r="CQ25" i="72" s="1"/>
  <c r="CI16" i="72"/>
  <c r="CQ16" i="72" s="1" a="1"/>
  <c r="CQ16" i="72" s="1"/>
  <c r="CI28" i="72"/>
  <c r="CQ28" i="72" s="1" a="1"/>
  <c r="CQ28" i="72" s="1"/>
  <c r="CI34" i="72"/>
  <c r="CQ34" i="72" s="1" a="1"/>
  <c r="CQ34" i="72" s="1"/>
  <c r="CI17" i="72"/>
  <c r="CQ17" i="72" s="1" a="1"/>
  <c r="CQ17" i="72" s="1"/>
  <c r="CI20" i="72"/>
  <c r="CQ20" i="72" s="1" a="1"/>
  <c r="CQ20" i="72" s="1"/>
  <c r="CI31" i="72"/>
  <c r="CQ31" i="72" s="1" a="1"/>
  <c r="CQ31" i="72" s="1"/>
  <c r="CI14" i="72"/>
  <c r="CQ14" i="72" s="1" a="1"/>
  <c r="CQ14" i="72" s="1"/>
  <c r="CI18" i="72"/>
  <c r="CQ18" i="72" s="1" a="1"/>
  <c r="CQ18" i="72" s="1"/>
  <c r="CI24" i="72"/>
  <c r="CQ24" i="72" s="1" a="1"/>
  <c r="CQ24" i="72" s="1"/>
  <c r="CI23" i="72"/>
  <c r="CQ23" i="72" s="1" a="1"/>
  <c r="CQ23" i="72" s="1"/>
  <c r="CI19" i="72"/>
  <c r="CQ19" i="72" s="1" a="1"/>
  <c r="CQ19" i="72" s="1"/>
  <c r="CI32" i="72"/>
  <c r="CQ32" i="72" s="1" a="1"/>
  <c r="CQ32" i="72" s="1"/>
  <c r="CI30" i="72"/>
  <c r="CQ30" i="72" s="1" a="1"/>
  <c r="CQ30" i="72" s="1"/>
  <c r="CI15" i="72"/>
  <c r="CQ15" i="72" s="1" a="1"/>
  <c r="CQ15" i="72" s="1"/>
  <c r="CI26" i="72"/>
  <c r="CQ26" i="72" s="1" a="1"/>
  <c r="CQ26" i="72" s="1"/>
  <c r="CI29" i="72"/>
  <c r="CQ29" i="72" s="1" a="1"/>
  <c r="CQ29" i="72" s="1"/>
  <c r="BL16" i="72"/>
  <c r="BT16" i="72" s="1" a="1"/>
  <c r="BT16" i="72" s="1"/>
  <c r="BL20" i="72"/>
  <c r="BT20" i="72" s="1" a="1"/>
  <c r="BT20" i="72" s="1"/>
  <c r="BL24" i="72"/>
  <c r="BT24" i="72" s="1" a="1"/>
  <c r="BT24" i="72" s="1"/>
  <c r="BL31" i="72"/>
  <c r="BT31" i="72" s="1" a="1"/>
  <c r="BT31" i="72" s="1"/>
  <c r="BL32" i="72"/>
  <c r="BT32" i="72" s="1" a="1"/>
  <c r="BT32" i="72" s="1"/>
  <c r="BL34" i="72"/>
  <c r="BT34" i="72" s="1" a="1"/>
  <c r="BT34" i="72" s="1"/>
  <c r="BL17" i="72"/>
  <c r="BT17" i="72" s="1" a="1"/>
  <c r="BT17" i="72" s="1"/>
  <c r="BL29" i="72"/>
  <c r="BT29" i="72" s="1" a="1"/>
  <c r="BT29" i="72" s="1"/>
  <c r="BL15" i="72"/>
  <c r="BT15" i="72" s="1" a="1"/>
  <c r="BT15" i="72" s="1"/>
  <c r="BL19" i="72"/>
  <c r="BT19" i="72" s="1" a="1"/>
  <c r="BT19" i="72" s="1"/>
  <c r="IN30" i="72"/>
  <c r="IV30" i="72" s="1" a="1"/>
  <c r="IV30" i="72" s="1"/>
  <c r="IN20" i="72"/>
  <c r="IV20" i="72" s="1" a="1"/>
  <c r="IV20" i="72" s="1"/>
  <c r="HQ22" i="72"/>
  <c r="HY22" i="72" s="1" a="1"/>
  <c r="HY22" i="72" s="1"/>
  <c r="HQ23" i="72"/>
  <c r="HY23" i="72" s="1" a="1"/>
  <c r="HY23" i="72" s="1"/>
  <c r="HQ19" i="72"/>
  <c r="HY19" i="72" s="1" a="1"/>
  <c r="HY19" i="72" s="1"/>
  <c r="HQ18" i="72"/>
  <c r="HY18" i="72" s="1" a="1"/>
  <c r="HY18" i="72" s="1"/>
  <c r="GT16" i="72"/>
  <c r="HB16" i="72" s="1" a="1"/>
  <c r="HB16" i="72" s="1"/>
  <c r="FW25" i="72"/>
  <c r="GE25" i="72" s="1" a="1"/>
  <c r="GE25" i="72" s="1"/>
  <c r="FW15" i="72"/>
  <c r="GE15" i="72" s="1" a="1"/>
  <c r="GE15" i="72" s="1"/>
  <c r="FW29" i="72"/>
  <c r="GE29" i="72" s="1" a="1"/>
  <c r="GE29" i="72" s="1"/>
  <c r="EZ26" i="72"/>
  <c r="FH26" i="72" s="1" a="1"/>
  <c r="FH26" i="72" s="1"/>
  <c r="EZ30" i="72"/>
  <c r="FH30" i="72" s="1" a="1"/>
  <c r="FH30" i="72" s="1"/>
  <c r="EZ34" i="72"/>
  <c r="FH34" i="72" s="1" a="1"/>
  <c r="FH34" i="72" s="1"/>
  <c r="EC27" i="72"/>
  <c r="EK27" i="72" s="1" a="1"/>
  <c r="EK27" i="72" s="1"/>
  <c r="EC17" i="72"/>
  <c r="EK17" i="72" s="1" a="1"/>
  <c r="EK17" i="72" s="1"/>
  <c r="CI33" i="72"/>
  <c r="CQ33" i="72" s="1" a="1"/>
  <c r="CQ33" i="72" s="1"/>
  <c r="CI22" i="72"/>
  <c r="CQ22" i="72" s="1" a="1"/>
  <c r="CQ22" i="72" s="1"/>
  <c r="EC21" i="72"/>
  <c r="EK21" i="72" s="1" a="1"/>
  <c r="EK21" i="72" s="1"/>
  <c r="EZ31" i="72"/>
  <c r="FH31" i="72" s="1" a="1"/>
  <c r="FH31" i="72" s="1"/>
  <c r="EZ21" i="72"/>
  <c r="FH21" i="72" s="1" a="1"/>
  <c r="FH21" i="72" s="1"/>
  <c r="HQ20" i="72"/>
  <c r="HY20" i="72" s="1" a="1"/>
  <c r="HY20" i="72" s="1"/>
  <c r="HQ26" i="72"/>
  <c r="HY26" i="72" s="1" a="1"/>
  <c r="HY26" i="72" s="1"/>
  <c r="GT18" i="72"/>
  <c r="HB18" i="72" s="1" a="1"/>
  <c r="HB18" i="72" s="1"/>
  <c r="GT29" i="72"/>
  <c r="HB29" i="72" s="1" a="1"/>
  <c r="HB29" i="72" s="1"/>
  <c r="GT15" i="72"/>
  <c r="HB15" i="72" s="1" a="1"/>
  <c r="HB15" i="72" s="1"/>
  <c r="CI21" i="72"/>
  <c r="CQ21" i="72" s="1" a="1"/>
  <c r="CQ21" i="72" s="1"/>
  <c r="JA7" i="72"/>
  <c r="JA53" i="72"/>
  <c r="ID7" i="72"/>
  <c r="ID53" i="72"/>
  <c r="HG7" i="72"/>
  <c r="HG53" i="72"/>
  <c r="GJ7" i="72"/>
  <c r="GJ53" i="72"/>
  <c r="FM7" i="72"/>
  <c r="FM53" i="72"/>
  <c r="EP7" i="72"/>
  <c r="EP53" i="72"/>
  <c r="DS7" i="72"/>
  <c r="DS53" i="72"/>
  <c r="CV7" i="72"/>
  <c r="CV53" i="72"/>
  <c r="BY7" i="72"/>
  <c r="BY53" i="72"/>
  <c r="BB48" i="72"/>
  <c r="BB53" i="72"/>
  <c r="K17" i="75"/>
  <c r="D227" i="94" s="1"/>
  <c r="AM7" i="75"/>
  <c r="AN7" i="75" s="1"/>
  <c r="AM6" i="75"/>
  <c r="AN6" i="75" s="1"/>
  <c r="AE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H18" i="89" s="1"/>
  <c r="Y7" i="75"/>
  <c r="HG48" i="72"/>
  <c r="DS48" i="72"/>
  <c r="GJ48" i="72"/>
  <c r="EP48" i="72"/>
  <c r="ID48" i="72"/>
  <c r="JA48" i="72"/>
  <c r="FM48" i="72"/>
  <c r="CV48" i="72"/>
  <c r="AE9" i="75"/>
  <c r="AE6" i="75"/>
  <c r="AE11" i="75"/>
  <c r="AE14" i="75"/>
  <c r="AE13" i="75"/>
  <c r="AE7" i="75"/>
  <c r="AE12" i="75"/>
  <c r="AE10" i="75"/>
  <c r="AE15" i="75"/>
  <c r="FM47" i="72"/>
  <c r="BY44" i="72"/>
  <c r="BY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D18" i="72" l="1"/>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77" i="94"/>
  <c r="S220" i="94"/>
  <c r="GZ29" i="72" a="1"/>
  <c r="GZ29" i="72" s="1"/>
  <c r="GY29" i="72" a="1"/>
  <c r="GY29" i="72" s="1"/>
  <c r="GG29" i="72" a="1"/>
  <c r="GG29" i="72" s="1"/>
  <c r="GX29" i="72" a="1"/>
  <c r="GX29" i="72" s="1"/>
  <c r="GW29" i="72" a="1"/>
  <c r="GW29" i="72" s="1"/>
  <c r="GV29" i="72" a="1"/>
  <c r="GV29" i="72" s="1"/>
  <c r="GU29" i="72" a="1"/>
  <c r="GU29" i="72" s="1"/>
  <c r="HA29" i="72" a="1"/>
  <c r="HA29" i="72" s="1"/>
  <c r="CP22" i="72" a="1"/>
  <c r="CP22" i="72" s="1"/>
  <c r="CL22" i="72" a="1"/>
  <c r="CL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B30" i="72" a="1"/>
  <c r="FB30" i="72" s="1"/>
  <c r="FG30" i="72" a="1"/>
  <c r="FG30" i="72" s="1"/>
  <c r="FA30" i="72" a="1"/>
  <c r="FA30" i="72" s="1"/>
  <c r="EM30" i="72" a="1"/>
  <c r="EM30" i="72" s="1"/>
  <c r="FE30" i="72" a="1"/>
  <c r="FE30"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T20" i="72" a="1"/>
  <c r="IT20" i="72" s="1"/>
  <c r="IA20" i="72" a="1"/>
  <c r="IA20" i="72" s="1"/>
  <c r="IS20" i="72" a="1"/>
  <c r="IS20" i="72" s="1"/>
  <c r="IR20" i="72" a="1"/>
  <c r="IR20" i="72" s="1"/>
  <c r="IQ20" i="72" a="1"/>
  <c r="IQ20" i="72" s="1"/>
  <c r="BM19" i="72" a="1"/>
  <c r="BM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AY28" i="72" a="1"/>
  <c r="AY28" i="72" s="1"/>
  <c r="BO28" i="72" a="1"/>
  <c r="BO28" i="72" s="1"/>
  <c r="BS28" i="72" a="1"/>
  <c r="BS28" i="72" s="1"/>
  <c r="BN28" i="72" a="1"/>
  <c r="BN28" i="72" s="1"/>
  <c r="BS20" i="72" a="1"/>
  <c r="BS20" i="72" s="1"/>
  <c r="BO20" i="72" a="1"/>
  <c r="BO20" i="72" s="1"/>
  <c r="AY20" i="72" a="1"/>
  <c r="AY20" i="72" s="1"/>
  <c r="BP20" i="72" a="1"/>
  <c r="BP20" i="72" s="1"/>
  <c r="BN20" i="72" a="1"/>
  <c r="BN20" i="72" s="1"/>
  <c r="BR20" i="72" a="1"/>
  <c r="BR20" i="72" s="1"/>
  <c r="BM20" i="72" a="1"/>
  <c r="BM20" i="72" s="1"/>
  <c r="BQ20" i="72" a="1"/>
  <c r="BQ20" i="72" s="1"/>
  <c r="CP32" i="72" a="1"/>
  <c r="CP32" i="72" s="1"/>
  <c r="CL32" i="72" a="1"/>
  <c r="CL32" i="72" s="1"/>
  <c r="BV32" i="72" a="1"/>
  <c r="BV32" i="72" s="1"/>
  <c r="CJ32" i="72" a="1"/>
  <c r="CJ32" i="72" s="1"/>
  <c r="CO32" i="72" a="1"/>
  <c r="CO32" i="72" s="1"/>
  <c r="CN32" i="72" a="1"/>
  <c r="CN32" i="72" s="1"/>
  <c r="CM32" i="72" a="1"/>
  <c r="CM32" i="72" s="1"/>
  <c r="CK32" i="72" a="1"/>
  <c r="CK32"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M33" i="72" a="1"/>
  <c r="DM33" i="72" s="1"/>
  <c r="EG29" i="72" a="1"/>
  <c r="EG29" i="72" s="1"/>
  <c r="EF29" i="72" a="1"/>
  <c r="EF29" i="72" s="1"/>
  <c r="EJ29" i="72" a="1"/>
  <c r="EJ29" i="72" s="1"/>
  <c r="EI29" i="72" a="1"/>
  <c r="EI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FE14" i="72" a="1"/>
  <c r="FE14" i="72" s="1"/>
  <c r="FA14" i="72" a="1"/>
  <c r="FA14" i="72" s="1"/>
  <c r="FC14" i="72" a="1"/>
  <c r="FC14" i="72" s="1"/>
  <c r="FF14" i="72" a="1"/>
  <c r="FF14" i="72" s="1"/>
  <c r="FD14" i="72" a="1"/>
  <c r="FD14" i="72" s="1"/>
  <c r="FG14" i="72" a="1"/>
  <c r="FG14" i="72" s="1"/>
  <c r="EM14" i="72" a="1"/>
  <c r="EM14" i="72" s="1"/>
  <c r="FB14" i="72" a="1"/>
  <c r="FB14" i="72" s="1"/>
  <c r="FE32" i="72" a="1"/>
  <c r="FE32" i="72" s="1"/>
  <c r="FA32" i="72" a="1"/>
  <c r="FA32" i="72" s="1"/>
  <c r="FC32" i="72" a="1"/>
  <c r="FC32" i="72" s="1"/>
  <c r="FG32" i="72" a="1"/>
  <c r="FG32" i="72" s="1"/>
  <c r="FF32" i="72" a="1"/>
  <c r="FF32" i="72" s="1"/>
  <c r="FD32" i="72" a="1"/>
  <c r="FD32" i="72" s="1"/>
  <c r="FB32" i="72" a="1"/>
  <c r="FB32" i="72" s="1"/>
  <c r="EM32" i="72" a="1"/>
  <c r="EM32" i="72" s="1"/>
  <c r="GB26" i="72" a="1"/>
  <c r="GB26" i="72" s="1"/>
  <c r="GA26" i="72" a="1"/>
  <c r="GA26" i="72" s="1"/>
  <c r="FJ26" i="72" a="1"/>
  <c r="FJ26" i="72" s="1"/>
  <c r="FZ26" i="72" a="1"/>
  <c r="FZ26" i="72" s="1"/>
  <c r="GD26" i="72" a="1"/>
  <c r="GD26" i="72" s="1"/>
  <c r="FY26" i="72" a="1"/>
  <c r="FY26" i="72" s="1"/>
  <c r="GC26" i="72" a="1"/>
  <c r="GC26" i="72" s="1"/>
  <c r="FX26" i="72" a="1"/>
  <c r="FX26"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X27" i="72" a="1"/>
  <c r="GX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GX19" i="72" a="1"/>
  <c r="GX19" i="72" s="1"/>
  <c r="GV19" i="72" a="1"/>
  <c r="GV19" i="72" s="1"/>
  <c r="HU24" i="72" a="1"/>
  <c r="HU24" i="72" s="1"/>
  <c r="HD24" i="72" a="1"/>
  <c r="HD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N27" i="72" a="1"/>
  <c r="JN27" i="72" s="1"/>
  <c r="JR27" i="72" a="1"/>
  <c r="JR27"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O33" i="72" a="1"/>
  <c r="CO33" i="72" s="1"/>
  <c r="CM33" i="72" a="1"/>
  <c r="CM33" i="72" s="1"/>
  <c r="FF26" i="72" a="1"/>
  <c r="FF26" i="72" s="1"/>
  <c r="FA26" i="72" a="1"/>
  <c r="FA26" i="72" s="1"/>
  <c r="FE26" i="72" a="1"/>
  <c r="FE26" i="72" s="1"/>
  <c r="FD26" i="72" a="1"/>
  <c r="FD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U19" i="72" a="1"/>
  <c r="HU19" i="72" s="1"/>
  <c r="HT19" i="72" a="1"/>
  <c r="HT19" i="72" s="1"/>
  <c r="HD19" i="72" a="1"/>
  <c r="HD19" i="72" s="1"/>
  <c r="IO30" i="72" a="1"/>
  <c r="IO30" i="72" s="1"/>
  <c r="IS30" i="72" a="1"/>
  <c r="IS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P15" i="72" a="1"/>
  <c r="BP15" i="72" s="1"/>
  <c r="AY15" i="72" a="1"/>
  <c r="AY15" i="72" s="1"/>
  <c r="BQ33" i="72" a="1"/>
  <c r="BQ33" i="72" s="1"/>
  <c r="BM33" i="72" a="1"/>
  <c r="BM33" i="72" s="1"/>
  <c r="BS33" i="72" a="1"/>
  <c r="BS33" i="72" s="1"/>
  <c r="AY33" i="72" a="1"/>
  <c r="AY33" i="72" s="1"/>
  <c r="BR33" i="72" a="1"/>
  <c r="BR33" i="72" s="1"/>
  <c r="BP33" i="72" a="1"/>
  <c r="BP33" i="72" s="1"/>
  <c r="BO33" i="72" a="1"/>
  <c r="BO33" i="72" s="1"/>
  <c r="BN33" i="72" a="1"/>
  <c r="BN33" i="72" s="1"/>
  <c r="BR16" i="72" a="1"/>
  <c r="BR16" i="72" s="1"/>
  <c r="BM16" i="72" a="1"/>
  <c r="BM16" i="72" s="1"/>
  <c r="BQ16" i="72" a="1"/>
  <c r="BQ16" i="72" s="1"/>
  <c r="BP16" i="72" a="1"/>
  <c r="BP16" i="72" s="1"/>
  <c r="AY16" i="72" a="1"/>
  <c r="AY16" i="72" s="1"/>
  <c r="BS16" i="72" a="1"/>
  <c r="BS16" i="72" s="1"/>
  <c r="BN16" i="72" a="1"/>
  <c r="BN16" i="72" s="1"/>
  <c r="BO16" i="72" a="1"/>
  <c r="BO16" i="72" s="1"/>
  <c r="CN19" i="72" a="1"/>
  <c r="CN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O34" i="72" a="1"/>
  <c r="CO3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H20" i="72" a="1"/>
  <c r="DH20" i="72" s="1"/>
  <c r="DL20" i="72" a="1"/>
  <c r="DL20" i="72" s="1"/>
  <c r="DG20" i="72" a="1"/>
  <c r="DG20"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D15" i="72" a="1"/>
  <c r="FD15"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C34" i="72" a="1"/>
  <c r="GC34" i="72" s="1"/>
  <c r="GB34" i="72" a="1"/>
  <c r="GB34" i="72" s="1"/>
  <c r="GA34" i="72" a="1"/>
  <c r="GA34" i="72" s="1"/>
  <c r="FY34" i="72" a="1"/>
  <c r="FY34"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S17" i="72" a="1"/>
  <c r="HS17" i="72" s="1"/>
  <c r="IR28" i="72" a="1"/>
  <c r="IR28" i="72" s="1"/>
  <c r="IQ28" i="72" a="1"/>
  <c r="IQ28" i="72" s="1"/>
  <c r="IU28" i="72" a="1"/>
  <c r="IU28" i="72" s="1"/>
  <c r="IP28" i="72" a="1"/>
  <c r="IP28" i="72" s="1"/>
  <c r="IA28" i="72" a="1"/>
  <c r="IA28" i="72" s="1"/>
  <c r="IS28" i="72" a="1"/>
  <c r="IS28" i="72" s="1"/>
  <c r="IO28" i="72" a="1"/>
  <c r="IO28" i="72" s="1"/>
  <c r="IT28" i="72" a="1"/>
  <c r="IT28" i="72" s="1"/>
  <c r="IQ18" i="72" a="1"/>
  <c r="IQ18" i="72" s="1"/>
  <c r="IT18" i="72" a="1"/>
  <c r="IT18" i="72" s="1"/>
  <c r="IS18" i="72" a="1"/>
  <c r="IS18" i="72" s="1"/>
  <c r="IR18" i="72" a="1"/>
  <c r="IR18" i="72" s="1"/>
  <c r="IP18" i="72" a="1"/>
  <c r="IP18" i="72" s="1"/>
  <c r="IO18" i="72" a="1"/>
  <c r="IO18" i="72" s="1"/>
  <c r="IA18" i="72" a="1"/>
  <c r="IA18" i="72" s="1"/>
  <c r="IU18" i="72" a="1"/>
  <c r="IU18" i="72" s="1"/>
  <c r="JQ23" i="72" a="1"/>
  <c r="JQ23" i="72" s="1"/>
  <c r="JL23" i="72" a="1"/>
  <c r="JL23" i="72" s="1"/>
  <c r="JO23" i="72" a="1"/>
  <c r="JO23" i="72" s="1"/>
  <c r="JN23" i="72" a="1"/>
  <c r="JN23" i="72" s="1"/>
  <c r="JM23" i="72" a="1"/>
  <c r="JM23" i="72" s="1"/>
  <c r="JR23" i="72" a="1"/>
  <c r="JR23" i="72" s="1"/>
  <c r="JP23" i="72" a="1"/>
  <c r="JP23" i="72" s="1"/>
  <c r="IX23" i="72" a="1"/>
  <c r="IX23" i="72" s="1"/>
  <c r="JQ29" i="72" a="1"/>
  <c r="JQ29" i="72" s="1"/>
  <c r="JM29" i="72" a="1"/>
  <c r="JM29" i="72" s="1"/>
  <c r="JO29" i="72" a="1"/>
  <c r="JO29" i="72" s="1"/>
  <c r="IX29" i="72" a="1"/>
  <c r="IX29" i="72" s="1"/>
  <c r="JL29" i="72" a="1"/>
  <c r="JL29" i="72" s="1"/>
  <c r="JR29" i="72" a="1"/>
  <c r="JR29" i="72" s="1"/>
  <c r="JP29" i="72" a="1"/>
  <c r="JP29" i="72" s="1"/>
  <c r="JN29" i="72" a="1"/>
  <c r="JN29"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FJ29" i="72" a="1"/>
  <c r="FJ29"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M22" i="72" a="1"/>
  <c r="BM22" i="72" s="1"/>
  <c r="BR22" i="72" a="1"/>
  <c r="BR22"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K23" i="72" a="1"/>
  <c r="CK23" i="72" s="1"/>
  <c r="CO23" i="72" a="1"/>
  <c r="CO23" i="72" s="1"/>
  <c r="CJ23" i="72" a="1"/>
  <c r="CJ23" i="72" s="1"/>
  <c r="CN28" i="72" a="1"/>
  <c r="CN28" i="72" s="1"/>
  <c r="CM28" i="72" a="1"/>
  <c r="CM28" i="72" s="1"/>
  <c r="BV28" i="72" a="1"/>
  <c r="BV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M21" i="72" a="1"/>
  <c r="DM21" i="72" s="1"/>
  <c r="DI21" i="72" a="1"/>
  <c r="DI21" i="72" s="1"/>
  <c r="DK34" i="72" a="1"/>
  <c r="DK34" i="72" s="1"/>
  <c r="DG34" i="72" a="1"/>
  <c r="DG34" i="72" s="1"/>
  <c r="DM34" i="72" a="1"/>
  <c r="DM34" i="72" s="1"/>
  <c r="CS34" i="72" a="1"/>
  <c r="CS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J18" i="72" a="1"/>
  <c r="EJ18" i="72" s="1"/>
  <c r="EI18" i="72" a="1"/>
  <c r="EI18" i="72" s="1"/>
  <c r="EH18" i="72" a="1"/>
  <c r="EH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B20" i="72" a="1"/>
  <c r="FB20" i="72" s="1"/>
  <c r="FG19" i="72" a="1"/>
  <c r="FG19" i="72" s="1"/>
  <c r="FC19" i="72" a="1"/>
  <c r="FC19" i="72" s="1"/>
  <c r="EM19" i="72" a="1"/>
  <c r="EM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FJ18" i="72" a="1"/>
  <c r="FJ18" i="72" s="1"/>
  <c r="GB17" i="72" a="1"/>
  <c r="GB17" i="72" s="1"/>
  <c r="GD17" i="72" a="1"/>
  <c r="GD17" i="72" s="1"/>
  <c r="FX17" i="72" a="1"/>
  <c r="FX17" i="72" s="1"/>
  <c r="GC17" i="72" a="1"/>
  <c r="GC17" i="72" s="1"/>
  <c r="GA17" i="72" a="1"/>
  <c r="GA17" i="72" s="1"/>
  <c r="FJ17" i="72" a="1"/>
  <c r="FJ17" i="72" s="1"/>
  <c r="FZ17" i="72" a="1"/>
  <c r="FZ17" i="72" s="1"/>
  <c r="FY17" i="72" a="1"/>
  <c r="FY17" i="72" s="1"/>
  <c r="GY32" i="72" a="1"/>
  <c r="GY32" i="72" s="1"/>
  <c r="GU32" i="72" a="1"/>
  <c r="GU32" i="72" s="1"/>
  <c r="HA32" i="72" a="1"/>
  <c r="HA32" i="72" s="1"/>
  <c r="GG32" i="72" a="1"/>
  <c r="GG32" i="72" s="1"/>
  <c r="GV32" i="72" a="1"/>
  <c r="GV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GW22" i="72" a="1"/>
  <c r="GW22" i="72" s="1"/>
  <c r="GV22" i="72" a="1"/>
  <c r="GV22" i="72" s="1"/>
  <c r="HV21" i="72" a="1"/>
  <c r="HV21" i="72" s="1"/>
  <c r="HR21" i="72" a="1"/>
  <c r="HR21" i="72" s="1"/>
  <c r="HT21" i="72" a="1"/>
  <c r="HT21" i="72" s="1"/>
  <c r="HS21" i="72" a="1"/>
  <c r="HS21" i="72" s="1"/>
  <c r="HX21" i="72" a="1"/>
  <c r="HX21" i="72" s="1"/>
  <c r="HW21" i="72" a="1"/>
  <c r="HW21" i="72" s="1"/>
  <c r="HD21" i="72" a="1"/>
  <c r="HD21" i="72" s="1"/>
  <c r="HU21" i="72" a="1"/>
  <c r="HU21" i="72" s="1"/>
  <c r="HX34" i="72" a="1"/>
  <c r="HX34" i="72" s="1"/>
  <c r="HT34" i="72" a="1"/>
  <c r="HT34" i="72" s="1"/>
  <c r="HD34" i="72" a="1"/>
  <c r="HD34" i="72" s="1"/>
  <c r="HW34" i="72" a="1"/>
  <c r="HW34" i="72" s="1"/>
  <c r="HV34" i="72" a="1"/>
  <c r="HV34" i="72" s="1"/>
  <c r="HU34" i="72" a="1"/>
  <c r="HU34" i="72" s="1"/>
  <c r="HS34" i="72" a="1"/>
  <c r="HS34" i="72" s="1"/>
  <c r="HR34" i="72" a="1"/>
  <c r="HR34"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A27" i="72" a="1"/>
  <c r="IA27" i="72" s="1"/>
  <c r="JR24" i="72" a="1"/>
  <c r="JR24" i="72" s="1"/>
  <c r="JM24" i="72" a="1"/>
  <c r="JM24" i="72" s="1"/>
  <c r="JQ24" i="72" a="1"/>
  <c r="JQ24" i="72" s="1"/>
  <c r="JL24" i="72" a="1"/>
  <c r="JL24" i="72" s="1"/>
  <c r="JN24" i="72" a="1"/>
  <c r="JN24" i="72" s="1"/>
  <c r="IX24" i="72" a="1"/>
  <c r="IX24" i="72" s="1"/>
  <c r="JP24" i="72" a="1"/>
  <c r="JP24" i="72" s="1"/>
  <c r="JO24" i="72" a="1"/>
  <c r="JO24"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V20" i="72" a="1"/>
  <c r="HV20" i="72" s="1"/>
  <c r="HD20" i="72" a="1"/>
  <c r="HD20" i="72" s="1"/>
  <c r="DI26" i="72" a="1"/>
  <c r="DI26" i="72" s="1"/>
  <c r="DM26" i="72" a="1"/>
  <c r="DM26" i="72" s="1"/>
  <c r="DH26" i="72" a="1"/>
  <c r="DH26" i="72" s="1"/>
  <c r="DL26" i="72" a="1"/>
  <c r="DL26" i="72" s="1"/>
  <c r="DG26" i="72" a="1"/>
  <c r="DG26" i="72" s="1"/>
  <c r="DJ26" i="72" a="1"/>
  <c r="DJ26" i="72" s="1"/>
  <c r="DK26" i="72" a="1"/>
  <c r="DK26" i="72" s="1"/>
  <c r="CS26" i="72" a="1"/>
  <c r="CS26" i="72" s="1"/>
  <c r="GC31" i="72" a="1"/>
  <c r="GC31" i="72" s="1"/>
  <c r="FY31" i="72" a="1"/>
  <c r="FY31" i="72" s="1"/>
  <c r="GB31" i="72" a="1"/>
  <c r="GB31" i="72" s="1"/>
  <c r="GA31" i="72" a="1"/>
  <c r="GA31" i="72" s="1"/>
  <c r="FJ31" i="72" a="1"/>
  <c r="FJ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U22" i="72" a="1"/>
  <c r="HU22" i="72" s="1"/>
  <c r="JQ17" i="72" a="1"/>
  <c r="JQ17" i="72" s="1"/>
  <c r="JP17" i="72" a="1"/>
  <c r="JP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AY29" i="72" a="1"/>
  <c r="AY29" i="72" s="1"/>
  <c r="BR29" i="72" a="1"/>
  <c r="BR29" i="72" s="1"/>
  <c r="BQ27" i="72" a="1"/>
  <c r="BQ27" i="72" s="1"/>
  <c r="BP27" i="72" a="1"/>
  <c r="BP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P29" i="72" a="1"/>
  <c r="CP29" i="72" s="1"/>
  <c r="BV29" i="72" a="1"/>
  <c r="BV29" i="72" s="1"/>
  <c r="CK29" i="72" a="1"/>
  <c r="CK29" i="72" s="1"/>
  <c r="CM24" i="72" a="1"/>
  <c r="CM24" i="72" s="1"/>
  <c r="BV24" i="72" a="1"/>
  <c r="BV24" i="72" s="1"/>
  <c r="CP24" i="72" a="1"/>
  <c r="CP24" i="72" s="1"/>
  <c r="CL24" i="72" a="1"/>
  <c r="CL24" i="72" s="1"/>
  <c r="CK24" i="72" a="1"/>
  <c r="CK24" i="72" s="1"/>
  <c r="CJ24" i="72" a="1"/>
  <c r="CJ24" i="72" s="1"/>
  <c r="CO24" i="72" a="1"/>
  <c r="CO24" i="72" s="1"/>
  <c r="CN24" i="72" a="1"/>
  <c r="CN24" i="72" s="1"/>
  <c r="CJ16" i="72" a="1"/>
  <c r="CJ16" i="72" s="1"/>
  <c r="CN16" i="72" a="1"/>
  <c r="CN16" i="72" s="1"/>
  <c r="CM16" i="72" a="1"/>
  <c r="CM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J14" i="72" a="1"/>
  <c r="DJ14" i="72" s="1"/>
  <c r="CS14" i="72" a="1"/>
  <c r="CS14"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EM27" i="72" a="1"/>
  <c r="EM27" i="72" s="1"/>
  <c r="FC27" i="72" a="1"/>
  <c r="FC27" i="72" s="1"/>
  <c r="FG27" i="72" a="1"/>
  <c r="FG27"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B20" i="72" a="1"/>
  <c r="GB20" i="72" s="1"/>
  <c r="FX20" i="72" a="1"/>
  <c r="FX20" i="72" s="1"/>
  <c r="GD20" i="72" a="1"/>
  <c r="GD20" i="72" s="1"/>
  <c r="FY20" i="72" a="1"/>
  <c r="FY20" i="72" s="1"/>
  <c r="GC20" i="72" a="1"/>
  <c r="GC20" i="72" s="1"/>
  <c r="GA20" i="72" a="1"/>
  <c r="GA20" i="72" s="1"/>
  <c r="FJ20" i="72" a="1"/>
  <c r="FJ20" i="72" s="1"/>
  <c r="FZ20" i="72" a="1"/>
  <c r="FZ20" i="72" s="1"/>
  <c r="GX17" i="72" a="1"/>
  <c r="GX17" i="72" s="1"/>
  <c r="GZ17" i="72" a="1"/>
  <c r="GZ17" i="72" s="1"/>
  <c r="GW17" i="72" a="1"/>
  <c r="GW17" i="72" s="1"/>
  <c r="GV17" i="72" a="1"/>
  <c r="GV17" i="72" s="1"/>
  <c r="GU17" i="72" a="1"/>
  <c r="GU17" i="72" s="1"/>
  <c r="HA17" i="72" a="1"/>
  <c r="HA17" i="72" s="1"/>
  <c r="GY17" i="72" a="1"/>
  <c r="GY17" i="72" s="1"/>
  <c r="GG17" i="72" a="1"/>
  <c r="GG17" i="72" s="1"/>
  <c r="HA30" i="72" a="1"/>
  <c r="HA30" i="72" s="1"/>
  <c r="GY30" i="72" a="1"/>
  <c r="GY30" i="72" s="1"/>
  <c r="GX30" i="72" a="1"/>
  <c r="GX30" i="72" s="1"/>
  <c r="GU30" i="72" a="1"/>
  <c r="GU30" i="72" s="1"/>
  <c r="GZ30" i="72" a="1"/>
  <c r="GZ30" i="72" s="1"/>
  <c r="GG30" i="72" a="1"/>
  <c r="GG30" i="72" s="1"/>
  <c r="GW30" i="72" a="1"/>
  <c r="GW30" i="72" s="1"/>
  <c r="GV30" i="72" a="1"/>
  <c r="GV30" i="72" s="1"/>
  <c r="HU27" i="72" a="1"/>
  <c r="HU27" i="72" s="1"/>
  <c r="HD27" i="72" a="1"/>
  <c r="HD27" i="72" s="1"/>
  <c r="HT27" i="72" a="1"/>
  <c r="HT27" i="72" s="1"/>
  <c r="HX27" i="72" a="1"/>
  <c r="HX27" i="72" s="1"/>
  <c r="HS27" i="72" a="1"/>
  <c r="HS27" i="72" s="1"/>
  <c r="HW27" i="72" a="1"/>
  <c r="HW27" i="72" s="1"/>
  <c r="HR27" i="72" a="1"/>
  <c r="HR27" i="72" s="1"/>
  <c r="HV27" i="72" a="1"/>
  <c r="HV27" i="72" s="1"/>
  <c r="HU15" i="72" a="1"/>
  <c r="HU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P34" i="72" a="1"/>
  <c r="JP34" i="72" s="1"/>
  <c r="JO34" i="72" a="1"/>
  <c r="JO34" i="72" s="1"/>
  <c r="JL34" i="72" a="1"/>
  <c r="JL34" i="72" s="1"/>
  <c r="JR32" i="72" a="1"/>
  <c r="JR32" i="72" s="1"/>
  <c r="JN32" i="72" a="1"/>
  <c r="JN32" i="72" s="1"/>
  <c r="IX32" i="72" a="1"/>
  <c r="IX32" i="72" s="1"/>
  <c r="JL32" i="72" a="1"/>
  <c r="JL32" i="72" s="1"/>
  <c r="JQ32" i="72" a="1"/>
  <c r="JQ32" i="72" s="1"/>
  <c r="JP32" i="72" a="1"/>
  <c r="JP32" i="72" s="1"/>
  <c r="JO32" i="72" a="1"/>
  <c r="JO32" i="72" s="1"/>
  <c r="JM32" i="72" a="1"/>
  <c r="JM32"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L32" i="72" a="1"/>
  <c r="DL32" i="72" s="1"/>
  <c r="DJ32" i="72" a="1"/>
  <c r="DJ32" i="72" s="1"/>
  <c r="GC15" i="72" a="1"/>
  <c r="GC15" i="72" s="1"/>
  <c r="FX15" i="72" a="1"/>
  <c r="FX15" i="72" s="1"/>
  <c r="GB15" i="72" a="1"/>
  <c r="GB15" i="72" s="1"/>
  <c r="GD15" i="72" a="1"/>
  <c r="GD15" i="72" s="1"/>
  <c r="GA15" i="72" a="1"/>
  <c r="GA15" i="72" s="1"/>
  <c r="FJ15" i="72" a="1"/>
  <c r="FJ15" i="72" s="1"/>
  <c r="FY15" i="72" a="1"/>
  <c r="FY15" i="72" s="1"/>
  <c r="FZ15" i="72" a="1"/>
  <c r="FZ15" i="72" s="1"/>
  <c r="IR16" i="72" a="1"/>
  <c r="IR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N18" i="72" a="1"/>
  <c r="BN18" i="72" s="1"/>
  <c r="BM18" i="72" a="1"/>
  <c r="BM18" i="72" s="1"/>
  <c r="CM26" i="72" a="1"/>
  <c r="CM26" i="72" s="1"/>
  <c r="BV26" i="72" a="1"/>
  <c r="BV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J18" i="72" a="1"/>
  <c r="CJ18" i="72" s="1"/>
  <c r="CP18" i="72" a="1"/>
  <c r="CP18" i="72" s="1"/>
  <c r="CO18" i="72" a="1"/>
  <c r="CO18" i="72" s="1"/>
  <c r="BV18" i="72" a="1"/>
  <c r="BV18" i="72" s="1"/>
  <c r="CP25" i="72" a="1"/>
  <c r="CP25" i="72" s="1"/>
  <c r="CL25" i="72" a="1"/>
  <c r="CL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H17" i="72" a="1"/>
  <c r="DH17" i="72" s="1"/>
  <c r="ED31" i="72" a="1"/>
  <c r="ED31" i="72" s="1"/>
  <c r="EH31" i="72" a="1"/>
  <c r="EH31" i="72" s="1"/>
  <c r="EG31" i="72" a="1"/>
  <c r="EG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F30" i="72" a="1"/>
  <c r="EF30" i="72" s="1"/>
  <c r="FE33" i="72" a="1"/>
  <c r="FE33" i="72" s="1"/>
  <c r="FA33" i="72" a="1"/>
  <c r="FA33" i="72" s="1"/>
  <c r="FG33" i="72" a="1"/>
  <c r="FG33" i="72" s="1"/>
  <c r="EM33" i="72" a="1"/>
  <c r="EM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EM16" i="72" a="1"/>
  <c r="EM16" i="72" s="1"/>
  <c r="FD16" i="72" a="1"/>
  <c r="FD16"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FZ28" i="72" a="1"/>
  <c r="FZ28" i="72" s="1"/>
  <c r="GD28" i="72" a="1"/>
  <c r="GD28" i="72" s="1"/>
  <c r="FY28" i="72" a="1"/>
  <c r="FY28" i="72" s="1"/>
  <c r="GX24" i="72" a="1"/>
  <c r="GX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GV20" i="72" a="1"/>
  <c r="GV20" i="72" s="1"/>
  <c r="GZ20" i="72" a="1"/>
  <c r="GZ20" i="72" s="1"/>
  <c r="GU20" i="72" a="1"/>
  <c r="GU20" i="72" s="1"/>
  <c r="GY20" i="72" a="1"/>
  <c r="GY20" i="72" s="1"/>
  <c r="GX20" i="72" a="1"/>
  <c r="GX20"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U28" i="72" a="1"/>
  <c r="HU28" i="72" s="1"/>
  <c r="HS28" i="72" a="1"/>
  <c r="HS28" i="72" s="1"/>
  <c r="HX28" i="72" a="1"/>
  <c r="HX28" i="72" s="1"/>
  <c r="HW28" i="72" a="1"/>
  <c r="HW28" i="72" s="1"/>
  <c r="HD28" i="72" a="1"/>
  <c r="HD28" i="72" s="1"/>
  <c r="HT28" i="72" a="1"/>
  <c r="HT28" i="72" s="1"/>
  <c r="IS22" i="72" a="1"/>
  <c r="IS22" i="72" s="1"/>
  <c r="IO22" i="72" a="1"/>
  <c r="IO22" i="72" s="1"/>
  <c r="IQ22" i="72" a="1"/>
  <c r="IQ22" i="72" s="1"/>
  <c r="IP22" i="72" a="1"/>
  <c r="IP22" i="72" s="1"/>
  <c r="IU22" i="72" a="1"/>
  <c r="IU22" i="72" s="1"/>
  <c r="IT22" i="72" a="1"/>
  <c r="IT22" i="72" s="1"/>
  <c r="IA22" i="72" a="1"/>
  <c r="IA22" i="72" s="1"/>
  <c r="IR22" i="72" a="1"/>
  <c r="IR22"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R28" i="72" a="1"/>
  <c r="JR28" i="72" s="1"/>
  <c r="IX28" i="72" a="1"/>
  <c r="IX28" i="72" s="1"/>
  <c r="JO28" i="72" a="1"/>
  <c r="JO28" i="72" s="1"/>
  <c r="JQ26" i="72" a="1"/>
  <c r="JQ26" i="72" s="1"/>
  <c r="JL26" i="72" a="1"/>
  <c r="JL26" i="72" s="1"/>
  <c r="JP26" i="72" a="1"/>
  <c r="JP26" i="72" s="1"/>
  <c r="JO26" i="72" a="1"/>
  <c r="JO26" i="72" s="1"/>
  <c r="IX26" i="72" a="1"/>
  <c r="IX26" i="72" s="1"/>
  <c r="JN26" i="72" a="1"/>
  <c r="JN26" i="72" s="1"/>
  <c r="JR26" i="72" a="1"/>
  <c r="JR26" i="72" s="1"/>
  <c r="JM26" i="72" a="1"/>
  <c r="JM26" i="72" s="1"/>
  <c r="JP31" i="72" a="1"/>
  <c r="JP31" i="72" s="1"/>
  <c r="JN31" i="72" a="1"/>
  <c r="JN31" i="72" s="1"/>
  <c r="JL31" i="72" a="1"/>
  <c r="JL31" i="72" s="1"/>
  <c r="JR31" i="72" a="1"/>
  <c r="JR31" i="72" s="1"/>
  <c r="JQ31" i="72" a="1"/>
  <c r="JQ31" i="72" s="1"/>
  <c r="IX31" i="72" a="1"/>
  <c r="IX31" i="72" s="1"/>
  <c r="JO31" i="72" a="1"/>
  <c r="JO31" i="72" s="1"/>
  <c r="JM31" i="72" a="1"/>
  <c r="JM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BQ34" i="72" a="1"/>
  <c r="BQ34" i="72" s="1"/>
  <c r="BM34" i="72" a="1"/>
  <c r="BM34" i="72" s="1"/>
  <c r="BO34" i="72" a="1"/>
  <c r="BO34" i="72" s="1"/>
  <c r="BN34" i="72" a="1"/>
  <c r="BN34" i="72" s="1"/>
  <c r="AY34" i="72" a="1"/>
  <c r="AY34" i="72" s="1"/>
  <c r="BS34" i="72" a="1"/>
  <c r="BS34" i="72" s="1"/>
  <c r="BR34" i="72" a="1"/>
  <c r="BR34" i="72" s="1"/>
  <c r="BP34" i="72" a="1"/>
  <c r="BP34" i="72" s="1"/>
  <c r="BP26" i="72" a="1"/>
  <c r="BP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M14" i="72" a="1"/>
  <c r="CM14" i="72" s="1"/>
  <c r="CN14" i="72" a="1"/>
  <c r="CN14" i="72" s="1"/>
  <c r="DH31" i="72" a="1"/>
  <c r="DH31" i="72" s="1"/>
  <c r="DL31" i="72" a="1"/>
  <c r="DL31" i="72" s="1"/>
  <c r="DK31" i="72" a="1"/>
  <c r="DK31" i="72" s="1"/>
  <c r="DJ31" i="72" a="1"/>
  <c r="DJ31" i="72" s="1"/>
  <c r="CS31" i="72" a="1"/>
  <c r="CS31" i="72" s="1"/>
  <c r="DM31" i="72" a="1"/>
  <c r="DM31" i="72" s="1"/>
  <c r="DI31" i="72" a="1"/>
  <c r="DI31" i="72" s="1"/>
  <c r="DG31" i="72" a="1"/>
  <c r="DG31" i="72" s="1"/>
  <c r="DJ16" i="72" a="1"/>
  <c r="DJ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L22" i="72" a="1"/>
  <c r="DL22" i="72" s="1"/>
  <c r="CS22" i="72" a="1"/>
  <c r="CS22" i="72" s="1"/>
  <c r="DJ22" i="72" a="1"/>
  <c r="DJ22" i="72" s="1"/>
  <c r="DI22" i="72" a="1"/>
  <c r="DI22" i="72" s="1"/>
  <c r="EJ34" i="72" a="1"/>
  <c r="EJ34" i="72" s="1"/>
  <c r="EF34" i="72" a="1"/>
  <c r="EF34" i="72" s="1"/>
  <c r="DP34" i="72" a="1"/>
  <c r="DP34" i="72" s="1"/>
  <c r="EH34" i="72" a="1"/>
  <c r="EH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I24" i="72" a="1"/>
  <c r="EI24" i="72" s="1"/>
  <c r="EH24" i="72" a="1"/>
  <c r="EH24" i="72" s="1"/>
  <c r="EF24" i="72" a="1"/>
  <c r="EF24" i="72" s="1"/>
  <c r="FE22" i="72" a="1"/>
  <c r="FE22" i="72" s="1"/>
  <c r="FA22" i="72" a="1"/>
  <c r="FA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X27" i="72" a="1"/>
  <c r="FX27" i="72" s="1"/>
  <c r="GB27" i="72" a="1"/>
  <c r="GB27" i="72" s="1"/>
  <c r="GA27" i="72" a="1"/>
  <c r="GA27" i="72" s="1"/>
  <c r="FJ27" i="72" a="1"/>
  <c r="FJ27" i="72" s="1"/>
  <c r="FZ27" i="72" a="1"/>
  <c r="FZ27" i="72" s="1"/>
  <c r="GD27" i="72" a="1"/>
  <c r="GD27" i="72" s="1"/>
  <c r="FY27" i="72" a="1"/>
  <c r="FY27" i="72" s="1"/>
  <c r="GC27" i="72" a="1"/>
  <c r="GC27" i="72" s="1"/>
  <c r="GD32" i="72" a="1"/>
  <c r="GD32" i="72" s="1"/>
  <c r="FZ32" i="72" a="1"/>
  <c r="FZ32" i="72" s="1"/>
  <c r="FJ32" i="72" a="1"/>
  <c r="FJ32" i="72" s="1"/>
  <c r="FX32" i="72" a="1"/>
  <c r="FX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GZ14" i="72" a="1"/>
  <c r="GZ14" i="72" s="1"/>
  <c r="GV14" i="72" a="1"/>
  <c r="GV14" i="72" s="1"/>
  <c r="GY14" i="72" a="1"/>
  <c r="GY14" i="72" s="1"/>
  <c r="GU14" i="72" a="1"/>
  <c r="GU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X32" i="72" a="1"/>
  <c r="HX32" i="72" s="1"/>
  <c r="HT32" i="72" a="1"/>
  <c r="HT32" i="72" s="1"/>
  <c r="HD32" i="72" a="1"/>
  <c r="HD32" i="72" s="1"/>
  <c r="HV32" i="72" a="1"/>
  <c r="HV32" i="72" s="1"/>
  <c r="HU32" i="72" a="1"/>
  <c r="HU32" i="72" s="1"/>
  <c r="HS32" i="72" a="1"/>
  <c r="HS32" i="72" s="1"/>
  <c r="HR32" i="72" a="1"/>
  <c r="HR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T14" i="72" a="1"/>
  <c r="IT14" i="72" s="1"/>
  <c r="IP14" i="72" a="1"/>
  <c r="IP14" i="72" s="1"/>
  <c r="IS14" i="72" a="1"/>
  <c r="IS14" i="72" s="1"/>
  <c r="IO14" i="72" a="1"/>
  <c r="IO14" i="72" s="1"/>
  <c r="IU14" i="72" a="1"/>
  <c r="IU14" i="72" s="1"/>
  <c r="IR14" i="72" a="1"/>
  <c r="IR14" i="72" s="1"/>
  <c r="IQ14" i="72" a="1"/>
  <c r="IQ14" i="72" s="1"/>
  <c r="IA14" i="72" a="1"/>
  <c r="IA14" i="72" s="1"/>
  <c r="JM18" i="72" a="1"/>
  <c r="JM18" i="72" s="1"/>
  <c r="JL18" i="72" a="1"/>
  <c r="JL18" i="72" s="1"/>
  <c r="JO18" i="72" a="1"/>
  <c r="JO18" i="72" s="1"/>
  <c r="JN18" i="72" a="1"/>
  <c r="JN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IX15" i="72" a="1"/>
  <c r="IX15" i="72" s="1"/>
  <c r="CO21" i="72" a="1"/>
  <c r="CO21" i="72" s="1"/>
  <c r="CN21" i="72" a="1"/>
  <c r="CN21" i="72" s="1"/>
  <c r="CM21" i="72" a="1"/>
  <c r="CM21" i="72" s="1"/>
  <c r="BV21" i="72" a="1"/>
  <c r="BV21" i="72" s="1"/>
  <c r="CK21" i="72" a="1"/>
  <c r="CK21" i="72" s="1"/>
  <c r="CJ21" i="72" a="1"/>
  <c r="CJ21" i="72" s="1"/>
  <c r="CP21" i="72" a="1"/>
  <c r="CP21" i="72" s="1"/>
  <c r="CL21" i="72" a="1"/>
  <c r="CL21" i="72" s="1"/>
  <c r="EE21" i="72" a="1"/>
  <c r="EE21" i="72" s="1"/>
  <c r="EJ21" i="72" a="1"/>
  <c r="EJ21" i="72" s="1"/>
  <c r="ED21" i="72" a="1"/>
  <c r="ED21" i="72" s="1"/>
  <c r="EH21" i="72" a="1"/>
  <c r="EH21" i="72" s="1"/>
  <c r="EF21" i="72" a="1"/>
  <c r="EF21" i="72" s="1"/>
  <c r="DP21" i="72" a="1"/>
  <c r="DP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F27" i="72" a="1"/>
  <c r="EF27" i="72" s="1"/>
  <c r="GU16" i="72" a="1"/>
  <c r="GU16" i="72" s="1"/>
  <c r="GY16" i="72" a="1"/>
  <c r="GY16" i="72" s="1"/>
  <c r="GX16" i="72" a="1"/>
  <c r="GX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A26" i="72" a="1"/>
  <c r="IA26" i="72" s="1"/>
  <c r="IQ26" i="72" a="1"/>
  <c r="IQ26" i="72" s="1"/>
  <c r="JO30" i="72" a="1"/>
  <c r="JO30" i="72" s="1"/>
  <c r="JN30" i="72" a="1"/>
  <c r="JN30" i="72" s="1"/>
  <c r="JR30" i="72" a="1"/>
  <c r="JR30" i="72" s="1"/>
  <c r="JM30" i="72" a="1"/>
  <c r="JM30" i="72" s="1"/>
  <c r="JQ30" i="72" a="1"/>
  <c r="JQ30" i="72" s="1"/>
  <c r="JP30" i="72" a="1"/>
  <c r="JP30" i="72" s="1"/>
  <c r="JL30" i="72" a="1"/>
  <c r="JL30" i="72" s="1"/>
  <c r="IX30" i="72" a="1"/>
  <c r="IX30" i="72" s="1"/>
  <c r="BQ32" i="72" a="1"/>
  <c r="BQ32" i="72" s="1"/>
  <c r="BM32" i="72" a="1"/>
  <c r="BM32" i="72" s="1"/>
  <c r="BS32" i="72" a="1"/>
  <c r="BS32" i="72" s="1"/>
  <c r="BP32" i="72" a="1"/>
  <c r="BP32" i="72" s="1"/>
  <c r="AY32" i="72" a="1"/>
  <c r="AY32" i="72" s="1"/>
  <c r="BR32" i="72" a="1"/>
  <c r="BR32" i="72" s="1"/>
  <c r="BO32" i="72" a="1"/>
  <c r="BO32" i="72" s="1"/>
  <c r="BN32" i="72" a="1"/>
  <c r="BN32" i="72" s="1"/>
  <c r="BO30" i="72" a="1"/>
  <c r="BO30" i="72" s="1"/>
  <c r="BQ30" i="72" a="1"/>
  <c r="BQ30" i="72" s="1"/>
  <c r="BM30" i="72" a="1"/>
  <c r="BM30" i="72" s="1"/>
  <c r="BP30" i="72" a="1"/>
  <c r="BP30" i="72" s="1"/>
  <c r="AY30" i="72" a="1"/>
  <c r="AY30" i="72" s="1"/>
  <c r="BS30" i="72" a="1"/>
  <c r="BS30" i="72" s="1"/>
  <c r="BR30" i="72" a="1"/>
  <c r="BR30" i="72" s="1"/>
  <c r="BN30" i="72" a="1"/>
  <c r="BN30"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BV31" i="72" a="1"/>
  <c r="BV31" i="72" s="1"/>
  <c r="CO31" i="72" a="1"/>
  <c r="CO31" i="72" s="1"/>
  <c r="CM31" i="72" a="1"/>
  <c r="CM31" i="72" s="1"/>
  <c r="DL30" i="72" a="1"/>
  <c r="DL30" i="72" s="1"/>
  <c r="DI30" i="72" a="1"/>
  <c r="DI30" i="72" s="1"/>
  <c r="DK30" i="72" a="1"/>
  <c r="DK30" i="72" s="1"/>
  <c r="CS30" i="72" a="1"/>
  <c r="CS30" i="72" s="1"/>
  <c r="DH30" i="72" a="1"/>
  <c r="DH30" i="72" s="1"/>
  <c r="DM30" i="72" a="1"/>
  <c r="DM30" i="72" s="1"/>
  <c r="DG30" i="72" a="1"/>
  <c r="DG30" i="72" s="1"/>
  <c r="DJ30" i="72" a="1"/>
  <c r="DJ30"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F26" i="72" a="1"/>
  <c r="EF26" i="72" s="1"/>
  <c r="EJ26" i="72" a="1"/>
  <c r="EJ26" i="72" s="1"/>
  <c r="FA17" i="72" a="1"/>
  <c r="FA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EM28" i="72" a="1"/>
  <c r="EM28" i="72" s="1"/>
  <c r="FC28" i="72" a="1"/>
  <c r="FC28"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C33" i="72" a="1"/>
  <c r="GC33" i="72" s="1"/>
  <c r="GA33" i="72" a="1"/>
  <c r="GA33" i="72" s="1"/>
  <c r="FY33" i="72" a="1"/>
  <c r="FY33" i="72" s="1"/>
  <c r="GY34" i="72" a="1"/>
  <c r="GY34" i="72" s="1"/>
  <c r="GU34" i="72" a="1"/>
  <c r="GU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W25" i="72" a="1"/>
  <c r="HW25" i="72" s="1"/>
  <c r="HV25" i="72" a="1"/>
  <c r="HV25" i="72" s="1"/>
  <c r="HT25" i="72" a="1"/>
  <c r="HT25" i="72" s="1"/>
  <c r="HR29" i="72" a="1"/>
  <c r="HR29" i="72" s="1"/>
  <c r="HU29" i="72" a="1"/>
  <c r="HU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IX16" i="72" a="1"/>
  <c r="IX16" i="72" s="1"/>
  <c r="JO16" i="72" a="1"/>
  <c r="JO16" i="72" s="1"/>
  <c r="GY15" i="72" a="1"/>
  <c r="GY15" i="72" s="1"/>
  <c r="GX15" i="72" a="1"/>
  <c r="GX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J15" i="72" a="1"/>
  <c r="DJ15" i="72" s="1"/>
  <c r="DM15" i="72" a="1"/>
  <c r="DM15" i="72" s="1"/>
  <c r="DI15" i="72" a="1"/>
  <c r="DI15" i="72" s="1"/>
  <c r="CS15" i="72" a="1"/>
  <c r="CS15" i="72" s="1"/>
  <c r="FE34" i="72" a="1"/>
  <c r="FE34" i="72" s="1"/>
  <c r="FA34" i="72" a="1"/>
  <c r="FA34" i="72" s="1"/>
  <c r="FC34" i="72" a="1"/>
  <c r="FC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A33" i="72" a="1"/>
  <c r="HA33" i="72" s="1"/>
  <c r="GZ33" i="72" a="1"/>
  <c r="GZ33" i="72" s="1"/>
  <c r="IS34" i="72" a="1"/>
  <c r="IS34" i="72" s="1"/>
  <c r="IO34" i="72" a="1"/>
  <c r="IO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O23" i="72" a="1"/>
  <c r="BO23" i="72" s="1"/>
  <c r="BN23" i="72" a="1"/>
  <c r="BN23" i="72" s="1"/>
  <c r="BS23" i="72" a="1"/>
  <c r="BS23" i="72" s="1"/>
  <c r="BR23" i="72" a="1"/>
  <c r="BR23"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N20" i="72" a="1"/>
  <c r="CN20" i="72" s="1"/>
  <c r="CJ20" i="72" a="1"/>
  <c r="CJ20" i="72" s="1"/>
  <c r="CM20" i="72" a="1"/>
  <c r="CM20" i="72" s="1"/>
  <c r="BV20" i="72" a="1"/>
  <c r="BV20" i="72" s="1"/>
  <c r="CL20" i="72" a="1"/>
  <c r="CL20" i="72" s="1"/>
  <c r="CP20" i="72" a="1"/>
  <c r="CP20" i="72" s="1"/>
  <c r="CK20" i="72" a="1"/>
  <c r="CK20" i="72" s="1"/>
  <c r="CO20" i="72" a="1"/>
  <c r="CO20" i="72" s="1"/>
  <c r="DH25" i="72" a="1"/>
  <c r="DH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I14" i="72" a="1"/>
  <c r="EI14" i="72" s="1"/>
  <c r="EE14" i="72" a="1"/>
  <c r="EE14" i="72" s="1"/>
  <c r="ED14" i="72" a="1"/>
  <c r="ED14" i="72" s="1"/>
  <c r="EG14" i="72" a="1"/>
  <c r="EG14" i="72" s="1"/>
  <c r="EJ22" i="72" a="1"/>
  <c r="EJ22" i="72" s="1"/>
  <c r="EF22" i="72" a="1"/>
  <c r="EF22" i="72" s="1"/>
  <c r="DP22" i="72" a="1"/>
  <c r="DP22" i="72" s="1"/>
  <c r="EG22" i="72" a="1"/>
  <c r="EG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C23" i="72" a="1"/>
  <c r="FC23" i="72" s="1"/>
  <c r="FF18" i="72" a="1"/>
  <c r="FF18" i="72" s="1"/>
  <c r="FE18" i="72" a="1"/>
  <c r="FE18" i="72" s="1"/>
  <c r="FD18" i="72" a="1"/>
  <c r="FD18" i="72" s="1"/>
  <c r="FC18" i="72" a="1"/>
  <c r="FC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FJ16" i="72" a="1"/>
  <c r="FJ16" i="72" s="1"/>
  <c r="GD16" i="72" a="1"/>
  <c r="GD16" i="72" s="1"/>
  <c r="FZ16" i="72" a="1"/>
  <c r="FZ16" i="72" s="1"/>
  <c r="GB19" i="72" a="1"/>
  <c r="GB19" i="72" s="1"/>
  <c r="FX19" i="72" a="1"/>
  <c r="FX19" i="72" s="1"/>
  <c r="GC19" i="72" a="1"/>
  <c r="GC19" i="72" s="1"/>
  <c r="GD19" i="72" a="1"/>
  <c r="GD19" i="72" s="1"/>
  <c r="GA19" i="72" a="1"/>
  <c r="GA19" i="72" s="1"/>
  <c r="FZ19" i="72" a="1"/>
  <c r="FZ19" i="72" s="1"/>
  <c r="FY19" i="72" a="1"/>
  <c r="FY19" i="72" s="1"/>
  <c r="FJ19" i="72" a="1"/>
  <c r="FJ19" i="72" s="1"/>
  <c r="GY23" i="72" a="1"/>
  <c r="GY23" i="72" s="1"/>
  <c r="GU23" i="72" a="1"/>
  <c r="GU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GV28" i="72" a="1"/>
  <c r="GV28" i="72" s="1"/>
  <c r="HW30" i="72" a="1"/>
  <c r="HW30" i="72" s="1"/>
  <c r="HU30" i="72" a="1"/>
  <c r="HU30" i="72" s="1"/>
  <c r="HD30" i="72" a="1"/>
  <c r="HD30" i="72" s="1"/>
  <c r="HX30" i="72" a="1"/>
  <c r="HX30" i="72" s="1"/>
  <c r="HV30" i="72" a="1"/>
  <c r="HV30" i="72" s="1"/>
  <c r="HT30" i="72" a="1"/>
  <c r="HT30" i="72" s="1"/>
  <c r="HS30" i="72" a="1"/>
  <c r="HS30" i="72" s="1"/>
  <c r="HR30" i="72" a="1"/>
  <c r="HR30" i="72" s="1"/>
  <c r="HV16" i="72" a="1"/>
  <c r="HV16" i="72" s="1"/>
  <c r="HU16" i="72" a="1"/>
  <c r="HU16" i="72" s="1"/>
  <c r="HD16" i="72" a="1"/>
  <c r="HD16" i="72" s="1"/>
  <c r="HT16" i="72" a="1"/>
  <c r="HT16" i="72" s="1"/>
  <c r="HX16" i="72" a="1"/>
  <c r="HX16" i="72" s="1"/>
  <c r="HS16" i="72" a="1"/>
  <c r="HS16" i="72" s="1"/>
  <c r="HR16" i="72" a="1"/>
  <c r="HR16" i="72" s="1"/>
  <c r="HW16" i="72" a="1"/>
  <c r="HW16"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P49" i="72"/>
  <c r="JA49" i="72"/>
  <c r="ID49" i="72"/>
  <c r="GJ49" i="72"/>
  <c r="FM49" i="72"/>
  <c r="HG49" i="72"/>
  <c r="DS49" i="72"/>
  <c r="CV49" i="72"/>
  <c r="BY49" i="72"/>
  <c r="BY50" i="72"/>
  <c r="O7" i="75" s="1"/>
  <c r="DS2" i="72"/>
  <c r="Z9" i="75"/>
  <c r="I18" i="36" s="1"/>
  <c r="Y9" i="75"/>
  <c r="HG2" i="72"/>
  <c r="Z13" i="75"/>
  <c r="I22" i="36" s="1"/>
  <c r="Y13" i="75"/>
  <c r="CV2" i="72"/>
  <c r="Y8" i="75"/>
  <c r="Z8" i="75"/>
  <c r="I17" i="36" s="1"/>
  <c r="FM2" i="72"/>
  <c r="Y11" i="75"/>
  <c r="Z11" i="75"/>
  <c r="I20" i="36" s="1"/>
  <c r="GJ2" i="72"/>
  <c r="Y12" i="75"/>
  <c r="Z12" i="75"/>
  <c r="I21" i="36" s="1"/>
  <c r="JA2" i="72"/>
  <c r="Y15" i="75"/>
  <c r="Z15" i="75"/>
  <c r="I24" i="36" s="1"/>
  <c r="BB2" i="72"/>
  <c r="Y6" i="75"/>
  <c r="Z6" i="75"/>
  <c r="I15" i="36" s="1"/>
  <c r="G15" i="36" s="1"/>
  <c r="EP2" i="72"/>
  <c r="Z10" i="75"/>
  <c r="I19" i="36" s="1"/>
  <c r="Y10" i="75"/>
  <c r="ID2" i="72"/>
  <c r="Z14" i="75"/>
  <c r="I23" i="36" s="1"/>
  <c r="Y14" i="75"/>
  <c r="T38" i="72"/>
  <c r="M230" i="94" l="1"/>
  <c r="M228" i="94" s="1"/>
  <c r="BG18" i="72"/>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229"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A11" i="75" s="1"/>
  <c r="ID50" i="72"/>
  <c r="DS50" i="72"/>
  <c r="O9" i="75" s="1"/>
  <c r="CC35" i="72"/>
  <c r="CD35" i="72"/>
  <c r="BB4" i="72"/>
  <c r="S20" i="36"/>
  <c r="Q20" i="36"/>
  <c r="Q19" i="36"/>
  <c r="S19" i="36"/>
  <c r="AA14" i="75"/>
  <c r="Q22" i="36"/>
  <c r="S22" i="36"/>
  <c r="S24" i="36"/>
  <c r="S21" i="36"/>
  <c r="R21" i="36"/>
  <c r="Q23" i="36"/>
  <c r="S23" i="36"/>
  <c r="S16" i="36"/>
  <c r="Q16" i="36"/>
  <c r="Q15" i="36"/>
  <c r="Q18" i="36"/>
  <c r="S18" i="36"/>
  <c r="Q24" i="36"/>
  <c r="Q21" i="36"/>
  <c r="R22" i="36"/>
  <c r="R16" i="36"/>
  <c r="R24" i="36"/>
  <c r="R23" i="36"/>
  <c r="R17" i="36"/>
  <c r="R19" i="36"/>
  <c r="R20" i="36"/>
  <c r="R18" i="36"/>
  <c r="X9" i="75"/>
  <c r="X14" i="75"/>
  <c r="K23" i="36" s="1"/>
  <c r="X13" i="75"/>
  <c r="K22" i="36" s="1"/>
  <c r="X15" i="75"/>
  <c r="K24" i="36" s="1"/>
  <c r="X10" i="75"/>
  <c r="K19" i="36" s="1"/>
  <c r="X11" i="75"/>
  <c r="K20" i="36" s="1"/>
  <c r="X12" i="75"/>
  <c r="K21" i="36" s="1"/>
  <c r="X6" i="75"/>
  <c r="K15" i="36" s="1"/>
  <c r="B17" i="36"/>
  <c r="B39" i="43"/>
  <c r="B23" i="36"/>
  <c r="B45" i="43"/>
  <c r="B20" i="36"/>
  <c r="B42" i="43"/>
  <c r="B18" i="36"/>
  <c r="B40" i="43"/>
  <c r="B21" i="36"/>
  <c r="B43" i="43"/>
  <c r="B22" i="36"/>
  <c r="B44" i="43"/>
  <c r="B19" i="36"/>
  <c r="B41" i="43"/>
  <c r="B24" i="36"/>
  <c r="B46" i="43"/>
  <c r="B15" i="36"/>
  <c r="B37" i="43"/>
  <c r="AD5" i="75"/>
  <c r="BB50" i="72"/>
  <c r="O6" i="75" s="1"/>
  <c r="DS4" i="72"/>
  <c r="JA50" i="72"/>
  <c r="HG50" i="72"/>
  <c r="JA4" i="72"/>
  <c r="ID4" i="72"/>
  <c r="GJ4" i="72"/>
  <c r="HG4" i="72"/>
  <c r="EP4" i="72"/>
  <c r="CV4" i="72"/>
  <c r="FM4" i="72"/>
  <c r="G213" i="94" l="1"/>
  <c r="G201" i="94"/>
  <c r="K223" i="94" s="1"/>
  <c r="JH14" i="72"/>
  <c r="JG14" i="72"/>
  <c r="IG29" i="72"/>
  <c r="IE29" i="72"/>
  <c r="IF29" i="72" s="1"/>
  <c r="IK29" i="72"/>
  <c r="IJ29" i="72"/>
  <c r="HN18" i="72"/>
  <c r="HM18" i="72"/>
  <c r="HJ18" i="72"/>
  <c r="HH18" i="72"/>
  <c r="HI18" i="72" s="1"/>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 i="95"/>
  <c r="G45" i="94"/>
  <c r="C78" i="95"/>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X8" i="75"/>
  <c r="X7" i="75"/>
  <c r="K16" i="36" s="1"/>
  <c r="W16" i="36" s="1"/>
  <c r="K18" i="36"/>
  <c r="W18" i="36" s="1"/>
  <c r="AB14" i="75"/>
  <c r="AB11" i="75"/>
  <c r="AA15" i="75"/>
  <c r="AA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L222" i="94" l="1"/>
  <c r="IE26" i="72"/>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D62" i="95"/>
  <c r="Q26" i="95" s="1"/>
  <c r="K30" i="95"/>
  <c r="P48" i="95"/>
  <c r="K31" i="95"/>
  <c r="CT35" i="72"/>
  <c r="GH35" i="72"/>
  <c r="EN35" i="72"/>
  <c r="IB35" i="72"/>
  <c r="AH39" i="72"/>
  <c r="AH38" i="72"/>
  <c r="AH37" i="72" s="1"/>
  <c r="X16" i="75"/>
  <c r="J34" i="12" s="1"/>
  <c r="K17" i="36"/>
  <c r="K25" i="36" s="1"/>
  <c r="AB6" i="75"/>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K49" i="95" s="1"/>
  <c r="U99" i="61"/>
  <c r="U96" i="61"/>
  <c r="U104" i="61"/>
  <c r="K97" i="61"/>
  <c r="K46" i="95" s="1"/>
  <c r="K96" i="61"/>
  <c r="K45" i="95" s="1"/>
  <c r="U97" i="61"/>
  <c r="K98" i="61"/>
  <c r="K47" i="95" s="1"/>
  <c r="K99" i="61"/>
  <c r="K48" i="95" s="1"/>
  <c r="U101" i="61"/>
  <c r="K104" i="61"/>
  <c r="K53" i="95" s="1"/>
  <c r="K102" i="61"/>
  <c r="K51" i="95" s="1"/>
  <c r="K101" i="61"/>
  <c r="K50" i="95" s="1"/>
  <c r="U103" i="61"/>
  <c r="K103" i="61"/>
  <c r="K52" i="95" s="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A7" i="75"/>
  <c r="HN14" i="72" l="1"/>
  <c r="HM14" i="72"/>
  <c r="HH14" i="72"/>
  <c r="HI14" i="72" s="1"/>
  <c r="HJ14" i="72"/>
  <c r="CB14" i="72"/>
  <c r="BZ14" i="72"/>
  <c r="CA14" i="72" s="1"/>
  <c r="CE14" i="72"/>
  <c r="CF14" i="72"/>
  <c r="FS14" i="72"/>
  <c r="FN14" i="72"/>
  <c r="FO14" i="72" s="1"/>
  <c r="FT14" i="72"/>
  <c r="FP14" i="72"/>
  <c r="K44" i="95"/>
  <c r="L7" i="95"/>
  <c r="AH40" i="72"/>
  <c r="L6" i="94" s="1"/>
  <c r="W10" i="76"/>
  <c r="B4" i="43"/>
  <c r="B5" i="43"/>
  <c r="K26" i="36"/>
  <c r="H6" i="94" s="1"/>
  <c r="W17" i="36"/>
  <c r="AB7" i="75"/>
  <c r="AN14" i="72"/>
  <c r="AJ14" i="72" s="1"/>
  <c r="AI35" i="72"/>
  <c r="AK35" i="72" s="1"/>
  <c r="S49" i="72"/>
  <c r="AA10" i="75"/>
  <c r="X35" i="72"/>
  <c r="AA12" i="75"/>
  <c r="AD35" i="72"/>
  <c r="AA9" i="75"/>
  <c r="AC35" i="72"/>
  <c r="G59" i="94" l="1"/>
  <c r="G73" i="94"/>
  <c r="JA35" i="72"/>
  <c r="FM35" i="72"/>
  <c r="DZ35" i="72"/>
  <c r="DV35" i="72"/>
  <c r="DS35" i="72"/>
  <c r="H6" i="12"/>
  <c r="L5" i="94"/>
  <c r="DB35" i="72"/>
  <c r="DC35" i="72"/>
  <c r="CW35" i="72"/>
  <c r="F17" i="36" s="1"/>
  <c r="CY35" i="72"/>
  <c r="CV35" i="72"/>
  <c r="JG35" i="72"/>
  <c r="JD35" i="72"/>
  <c r="JH35" i="72"/>
  <c r="BY35" i="72"/>
  <c r="H7" i="12"/>
  <c r="H6" i="70"/>
  <c r="H6" i="11"/>
  <c r="E6" i="70"/>
  <c r="E7" i="12"/>
  <c r="AB12" i="75"/>
  <c r="AB10" i="75"/>
  <c r="AB9" i="75"/>
  <c r="AJ35" i="72"/>
  <c r="H5" i="11"/>
  <c r="H5" i="70"/>
  <c r="AA8" i="75"/>
  <c r="AA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A16" i="75"/>
  <c r="AB8" i="75"/>
  <c r="AB13" i="75"/>
  <c r="P17" i="36"/>
  <c r="AF17" i="36" s="1"/>
  <c r="P18" i="36" l="1"/>
  <c r="AF18" i="36" s="1"/>
  <c r="HG9" i="72"/>
  <c r="D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F44" i="43"/>
  <c r="AB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B37" i="65" l="1"/>
  <c r="E7" i="11" l="1"/>
  <c r="H4" i="12"/>
  <c r="E7" i="70" l="1"/>
  <c r="E8" i="12"/>
  <c r="B39" i="65" s="1"/>
  <c r="B7" i="43"/>
  <c r="J3" i="36"/>
  <c r="H3" i="11"/>
  <c r="G101" i="94" l="1"/>
  <c r="G87" i="94"/>
  <c r="K11" i="6"/>
  <c r="K12" i="6" s="1"/>
  <c r="B6" i="43"/>
  <c r="B11" i="43"/>
  <c r="B8" i="43"/>
  <c r="R24" i="61" l="1"/>
  <c r="B15" i="65" l="1"/>
  <c r="B14" i="65"/>
  <c r="AV24" i="61" l="1"/>
  <c r="D15" i="65" l="1"/>
  <c r="C11" i="69"/>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T28" i="61" l="1"/>
  <c r="T36" i="61" s="1"/>
  <c r="C23" i="69" s="1"/>
  <c r="I13" i="11"/>
  <c r="D25" i="43"/>
  <c r="D24" i="43"/>
  <c r="B15" i="43"/>
  <c r="B16" i="43"/>
  <c r="I17" i="75" l="1"/>
  <c r="G32" i="70" l="1"/>
  <c r="H10" i="94" s="1"/>
  <c r="B25" i="65" l="1"/>
  <c r="B38" i="65"/>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s="1" a="1"/>
  <c r="BT14" i="72" s="1"/>
  <c r="BR14" i="72" l="1" a="1"/>
  <c r="BR14" i="72" s="1"/>
  <c r="BN14" i="72" a="1"/>
  <c r="BN14" i="72" s="1"/>
  <c r="BQ14" i="72" a="1"/>
  <c r="BQ14" i="72" s="1"/>
  <c r="BM14" i="72" a="1"/>
  <c r="BM14" i="72" s="1"/>
  <c r="BP14" i="72" a="1"/>
  <c r="BP14" i="72" s="1"/>
  <c r="BO14" i="72" a="1"/>
  <c r="BO14" i="72" s="1"/>
  <c r="BS14" i="72" a="1"/>
  <c r="BS14" i="72" s="1"/>
  <c r="AY14" i="72" a="1"/>
  <c r="AY14" i="72" s="1"/>
  <c r="AY35" i="72" l="1"/>
  <c r="AZ14" i="72" s="1"/>
  <c r="BB14" i="72" s="1"/>
  <c r="AZ25" i="72" l="1"/>
  <c r="BB25" i="72" s="1"/>
  <c r="C25" i="72" s="1"/>
  <c r="D23" i="76" s="1"/>
  <c r="AZ17" i="72"/>
  <c r="BB17" i="72" s="1"/>
  <c r="AZ30" i="72"/>
  <c r="BB30" i="72" s="1"/>
  <c r="BH30" i="72" s="1"/>
  <c r="AZ32" i="72"/>
  <c r="BB32" i="72" s="1"/>
  <c r="BC32" i="72" s="1"/>
  <c r="BD32" i="72" s="1"/>
  <c r="AZ20" i="72"/>
  <c r="BB20" i="72" s="1"/>
  <c r="BE20" i="72" s="1"/>
  <c r="AZ28" i="72"/>
  <c r="BB28" i="72" s="1"/>
  <c r="BH28" i="72" s="1"/>
  <c r="AZ27" i="72"/>
  <c r="BB27" i="72" s="1"/>
  <c r="AZ26" i="72"/>
  <c r="BB26" i="72" s="1"/>
  <c r="BI26" i="72" s="1"/>
  <c r="AZ15" i="72"/>
  <c r="BB15" i="72" s="1"/>
  <c r="AB15" i="72" s="1"/>
  <c r="AZ34" i="72"/>
  <c r="BB34" i="72" s="1"/>
  <c r="AZ23" i="72"/>
  <c r="BB23" i="72" s="1"/>
  <c r="C23" i="72" s="1"/>
  <c r="D21" i="76" s="1"/>
  <c r="AZ24" i="72"/>
  <c r="BB24" i="72" s="1"/>
  <c r="C24" i="72" s="1"/>
  <c r="D22" i="76" s="1"/>
  <c r="AZ22" i="72"/>
  <c r="BB22" i="72" s="1"/>
  <c r="BH14" i="72"/>
  <c r="AZ18" i="72"/>
  <c r="BB18" i="72" s="1"/>
  <c r="AB18" i="72" s="1"/>
  <c r="AZ33" i="72"/>
  <c r="BB33" i="72" s="1"/>
  <c r="BH20" i="72"/>
  <c r="BC20" i="72"/>
  <c r="BD20" i="72" s="1"/>
  <c r="BI20" i="72"/>
  <c r="BE14" i="72"/>
  <c r="BC14" i="72"/>
  <c r="BD14" i="72" s="1"/>
  <c r="BI17" i="72"/>
  <c r="BH17" i="72"/>
  <c r="BE17" i="72"/>
  <c r="BC17" i="72"/>
  <c r="BD17" i="72" s="1"/>
  <c r="BC27" i="72"/>
  <c r="BD27" i="72" s="1"/>
  <c r="BH27" i="72"/>
  <c r="BI27" i="72"/>
  <c r="BE27" i="72"/>
  <c r="AZ21" i="72"/>
  <c r="BB21" i="72" s="1"/>
  <c r="T21" i="72" s="1"/>
  <c r="AZ16" i="72"/>
  <c r="BB16" i="72" s="1"/>
  <c r="T16" i="72" s="1"/>
  <c r="AZ19" i="72"/>
  <c r="BB19" i="72" s="1"/>
  <c r="C19" i="72" s="1"/>
  <c r="D17" i="76" s="1"/>
  <c r="AZ29" i="72"/>
  <c r="BB29" i="72" s="1"/>
  <c r="AZ31" i="72"/>
  <c r="BB31" i="72" s="1"/>
  <c r="AZ35" i="72"/>
  <c r="BI14" i="72"/>
  <c r="AB23" i="72"/>
  <c r="T23" i="72"/>
  <c r="C22" i="72"/>
  <c r="D20" i="76" s="1"/>
  <c r="T22" i="72"/>
  <c r="AB22" i="72"/>
  <c r="C17" i="72"/>
  <c r="D15" i="76" s="1"/>
  <c r="T17" i="72"/>
  <c r="AB17" i="72"/>
  <c r="T20" i="72"/>
  <c r="C20" i="72"/>
  <c r="D18" i="76" s="1"/>
  <c r="AB20" i="72"/>
  <c r="AB14" i="72"/>
  <c r="T14" i="72"/>
  <c r="C14" i="72"/>
  <c r="L14" i="72" s="1"/>
  <c r="T24" i="72"/>
  <c r="AB24" i="72"/>
  <c r="C15" i="72" l="1"/>
  <c r="D13" i="76" s="1"/>
  <c r="BI30" i="72"/>
  <c r="T15" i="72"/>
  <c r="BC25" i="72"/>
  <c r="BD25" i="72" s="1"/>
  <c r="AB21" i="72"/>
  <c r="AU21" i="72" s="1"/>
  <c r="W17" i="70" s="1"/>
  <c r="AB16" i="72"/>
  <c r="AE16" i="72" s="1"/>
  <c r="M12" i="70" s="1"/>
  <c r="C16" i="72"/>
  <c r="D14" i="76" s="1"/>
  <c r="BE25" i="72"/>
  <c r="F25" i="72" s="1"/>
  <c r="G23" i="76" s="1"/>
  <c r="T25" i="72"/>
  <c r="BH25" i="72"/>
  <c r="AB25" i="72"/>
  <c r="AF25" i="72" s="1"/>
  <c r="BI25" i="72"/>
  <c r="T18" i="72"/>
  <c r="AB19" i="72"/>
  <c r="AE19" i="72" s="1"/>
  <c r="M15" i="70" s="1"/>
  <c r="C18" i="72"/>
  <c r="D16" i="76" s="1"/>
  <c r="T19" i="72"/>
  <c r="Y19" i="72" s="1"/>
  <c r="BH32" i="72"/>
  <c r="C21" i="72"/>
  <c r="D19" i="76" s="1"/>
  <c r="BE30" i="72"/>
  <c r="BC30" i="72"/>
  <c r="BD30" i="72" s="1"/>
  <c r="BE28" i="72"/>
  <c r="BE26" i="72"/>
  <c r="BI28" i="72"/>
  <c r="BE32" i="72"/>
  <c r="BC26" i="72"/>
  <c r="BD26" i="72" s="1"/>
  <c r="BI32" i="72"/>
  <c r="BH26" i="72"/>
  <c r="BC28" i="72"/>
  <c r="BD28" i="72" s="1"/>
  <c r="BC31" i="72"/>
  <c r="BD31" i="72" s="1"/>
  <c r="BE31" i="72"/>
  <c r="BH31" i="72"/>
  <c r="BI31" i="72"/>
  <c r="BE21" i="72"/>
  <c r="BC21" i="72"/>
  <c r="BD21" i="72" s="1"/>
  <c r="BH21" i="72"/>
  <c r="BI21" i="72"/>
  <c r="I25" i="72"/>
  <c r="O21" i="70" s="1"/>
  <c r="K17" i="72"/>
  <c r="Q13" i="70" s="1"/>
  <c r="N14" i="72"/>
  <c r="I20" i="72"/>
  <c r="O16" i="70" s="1"/>
  <c r="K18" i="72"/>
  <c r="Q14" i="70" s="1"/>
  <c r="N18" i="72"/>
  <c r="J18" i="72"/>
  <c r="P14" i="70" s="1"/>
  <c r="I18" i="72"/>
  <c r="O14" i="70" s="1"/>
  <c r="BI18" i="72"/>
  <c r="BH18" i="72"/>
  <c r="BC18" i="72"/>
  <c r="BD18" i="72" s="1"/>
  <c r="BE18" i="72"/>
  <c r="W18" i="72" s="1"/>
  <c r="L18" i="72"/>
  <c r="K22" i="72"/>
  <c r="Q18" i="70" s="1"/>
  <c r="N22" i="72"/>
  <c r="J22" i="72"/>
  <c r="P18" i="70" s="1"/>
  <c r="I22" i="72"/>
  <c r="O18" i="70" s="1"/>
  <c r="L22" i="72"/>
  <c r="BI22" i="72"/>
  <c r="BH22" i="72"/>
  <c r="BE22" i="72"/>
  <c r="W22" i="72" s="1"/>
  <c r="BC22" i="72"/>
  <c r="BD22" i="72" s="1"/>
  <c r="K15" i="72"/>
  <c r="Q11" i="70" s="1"/>
  <c r="N15" i="72"/>
  <c r="J15" i="72"/>
  <c r="P11" i="70" s="1"/>
  <c r="I15" i="72"/>
  <c r="O11" i="70" s="1"/>
  <c r="BE15" i="72"/>
  <c r="W15" i="72" s="1"/>
  <c r="BC15" i="72"/>
  <c r="BD15" i="72" s="1"/>
  <c r="BI15" i="72"/>
  <c r="BH15" i="72"/>
  <c r="L15" i="72"/>
  <c r="BI29" i="72"/>
  <c r="BH29" i="72"/>
  <c r="BE29" i="72"/>
  <c r="BC29" i="72"/>
  <c r="BD29" i="72" s="1"/>
  <c r="J25" i="72"/>
  <c r="P21" i="70" s="1"/>
  <c r="I17" i="72"/>
  <c r="O13" i="70" s="1"/>
  <c r="K14" i="72"/>
  <c r="Q10" i="70" s="1"/>
  <c r="J20" i="72"/>
  <c r="P16" i="70" s="1"/>
  <c r="N24" i="72"/>
  <c r="J24" i="72"/>
  <c r="P20" i="70" s="1"/>
  <c r="I24" i="72"/>
  <c r="O20" i="70" s="1"/>
  <c r="K24" i="72"/>
  <c r="Q20" i="70" s="1"/>
  <c r="BI24" i="72"/>
  <c r="BE24" i="72"/>
  <c r="F24" i="72" s="1"/>
  <c r="G22" i="76" s="1"/>
  <c r="BH24" i="72"/>
  <c r="BC24" i="72"/>
  <c r="BD24" i="72" s="1"/>
  <c r="L24" i="72"/>
  <c r="K19" i="72"/>
  <c r="Q15" i="70" s="1"/>
  <c r="N19" i="72"/>
  <c r="AQ19" i="72" s="1"/>
  <c r="J19" i="72"/>
  <c r="P15" i="70" s="1"/>
  <c r="I19" i="72"/>
  <c r="O15" i="70" s="1"/>
  <c r="BH19" i="72"/>
  <c r="BI19" i="72"/>
  <c r="BE19" i="72"/>
  <c r="F19" i="72" s="1"/>
  <c r="G17" i="76" s="1"/>
  <c r="L19" i="72"/>
  <c r="BC19" i="72"/>
  <c r="BD19" i="72" s="1"/>
  <c r="L25" i="72"/>
  <c r="N25" i="72"/>
  <c r="J17" i="72"/>
  <c r="P13" i="70" s="1"/>
  <c r="I14" i="72"/>
  <c r="O10" i="70" s="1"/>
  <c r="L20" i="72"/>
  <c r="N20" i="72"/>
  <c r="K23" i="72"/>
  <c r="Q19" i="70" s="1"/>
  <c r="N23" i="72"/>
  <c r="J23" i="72"/>
  <c r="P19" i="70" s="1"/>
  <c r="I23" i="72"/>
  <c r="O19" i="70" s="1"/>
  <c r="BH23" i="72"/>
  <c r="BI23" i="72"/>
  <c r="BE23" i="72"/>
  <c r="F23" i="72" s="1"/>
  <c r="G21" i="76" s="1"/>
  <c r="L23" i="72"/>
  <c r="BC23" i="72"/>
  <c r="BD23" i="72" s="1"/>
  <c r="N16" i="72"/>
  <c r="J16" i="72"/>
  <c r="P12" i="70" s="1"/>
  <c r="I16" i="72"/>
  <c r="O12" i="70" s="1"/>
  <c r="K16" i="72"/>
  <c r="Q12" i="70" s="1"/>
  <c r="BC16" i="72"/>
  <c r="BD16" i="72" s="1"/>
  <c r="BI16" i="72"/>
  <c r="BE16" i="72"/>
  <c r="F16" i="72" s="1"/>
  <c r="G14" i="76" s="1"/>
  <c r="L16" i="72"/>
  <c r="BH16" i="72"/>
  <c r="K25" i="72"/>
  <c r="Q21" i="70" s="1"/>
  <c r="L17" i="72"/>
  <c r="N17" i="72"/>
  <c r="J14" i="72"/>
  <c r="P10" i="70" s="1"/>
  <c r="K20" i="72"/>
  <c r="Q16" i="70" s="1"/>
  <c r="BI33" i="72"/>
  <c r="BH33" i="72"/>
  <c r="BE33" i="72"/>
  <c r="BC33" i="72"/>
  <c r="BD33" i="72" s="1"/>
  <c r="BI34" i="72"/>
  <c r="BH34" i="72"/>
  <c r="BC34" i="72"/>
  <c r="BD34" i="72" s="1"/>
  <c r="BE34" i="72"/>
  <c r="D12" i="76"/>
  <c r="AF20" i="72"/>
  <c r="AE20" i="72"/>
  <c r="M16" i="70" s="1"/>
  <c r="AU20" i="72"/>
  <c r="W16" i="70" s="1"/>
  <c r="AE22" i="72"/>
  <c r="M18" i="70" s="1"/>
  <c r="AU22" i="72"/>
  <c r="W18" i="70" s="1"/>
  <c r="AF22" i="72"/>
  <c r="Y15" i="72"/>
  <c r="Y18" i="72"/>
  <c r="D17" i="72"/>
  <c r="E15" i="76" s="1"/>
  <c r="U17" i="72"/>
  <c r="Y22" i="72"/>
  <c r="AF15" i="72"/>
  <c r="AE15" i="72"/>
  <c r="M11" i="70" s="1"/>
  <c r="AU15" i="72"/>
  <c r="W11" i="70" s="1"/>
  <c r="Y21" i="72"/>
  <c r="W25" i="72"/>
  <c r="AE18" i="72"/>
  <c r="M14" i="70" s="1"/>
  <c r="AU18" i="72"/>
  <c r="W14" i="70" s="1"/>
  <c r="AF18" i="72"/>
  <c r="W17" i="72"/>
  <c r="F17" i="72"/>
  <c r="G15" i="76" s="1"/>
  <c r="Y20" i="72"/>
  <c r="W14" i="72"/>
  <c r="F14" i="72"/>
  <c r="AE24" i="72"/>
  <c r="M20" i="70" s="1"/>
  <c r="AF24" i="72"/>
  <c r="AU24" i="72"/>
  <c r="W20" i="70" s="1"/>
  <c r="Y14" i="72"/>
  <c r="Y16" i="72"/>
  <c r="F20" i="72"/>
  <c r="G18" i="76" s="1"/>
  <c r="W20" i="72"/>
  <c r="AU17" i="72"/>
  <c r="W13" i="70" s="1"/>
  <c r="AF17" i="72"/>
  <c r="AE17" i="72"/>
  <c r="M13" i="70" s="1"/>
  <c r="D15" i="72"/>
  <c r="E13" i="76" s="1"/>
  <c r="U21" i="72"/>
  <c r="Y25" i="72"/>
  <c r="F18" i="72"/>
  <c r="G16" i="76" s="1"/>
  <c r="Y24" i="72"/>
  <c r="D14" i="72"/>
  <c r="U14" i="72"/>
  <c r="AF16" i="72"/>
  <c r="D20" i="72"/>
  <c r="E18" i="76" s="1"/>
  <c r="U20" i="72"/>
  <c r="Y17" i="72"/>
  <c r="Y23" i="72"/>
  <c r="W21" i="72"/>
  <c r="F21" i="72"/>
  <c r="G19" i="76" s="1"/>
  <c r="U25" i="72"/>
  <c r="D25" i="72"/>
  <c r="E23" i="76" s="1"/>
  <c r="AE14" i="72"/>
  <c r="M10" i="70" s="1"/>
  <c r="AU14" i="72"/>
  <c r="W10" i="70" s="1"/>
  <c r="AF14" i="72"/>
  <c r="AU23" i="72"/>
  <c r="W19" i="70" s="1"/>
  <c r="AF23" i="72"/>
  <c r="AE23" i="72"/>
  <c r="M19" i="70" s="1"/>
  <c r="AE21" i="72" l="1"/>
  <c r="M17" i="70" s="1"/>
  <c r="AF21" i="72"/>
  <c r="AU16" i="72"/>
  <c r="W12" i="70" s="1"/>
  <c r="D22" i="72"/>
  <c r="E20" i="76" s="1"/>
  <c r="H20" i="76" s="1"/>
  <c r="AE25" i="72"/>
  <c r="M21" i="70" s="1"/>
  <c r="AU25" i="72"/>
  <c r="W21" i="70" s="1"/>
  <c r="D21" i="72"/>
  <c r="E19" i="76" s="1"/>
  <c r="W16" i="72"/>
  <c r="U15" i="72"/>
  <c r="U23" i="72"/>
  <c r="D16" i="72"/>
  <c r="E14" i="76" s="1"/>
  <c r="H14" i="76" s="1"/>
  <c r="F22" i="72"/>
  <c r="G20" i="76" s="1"/>
  <c r="I20" i="76" s="1"/>
  <c r="W24" i="72"/>
  <c r="K21" i="72"/>
  <c r="Q17" i="70" s="1"/>
  <c r="D19" i="72"/>
  <c r="E17" i="76" s="1"/>
  <c r="U16" i="72"/>
  <c r="J21" i="72"/>
  <c r="P17" i="70" s="1"/>
  <c r="AQ23" i="72"/>
  <c r="AQ17" i="72"/>
  <c r="AQ15" i="72"/>
  <c r="AQ25" i="72"/>
  <c r="AF19" i="72"/>
  <c r="AQ18" i="72"/>
  <c r="AU19" i="72"/>
  <c r="W15" i="70" s="1"/>
  <c r="AQ24" i="72"/>
  <c r="AQ16" i="72"/>
  <c r="AQ20" i="72"/>
  <c r="AQ22" i="72"/>
  <c r="AQ14" i="72"/>
  <c r="U19" i="72"/>
  <c r="I21" i="72"/>
  <c r="O17" i="70" s="1"/>
  <c r="L21" i="72"/>
  <c r="N21" i="72"/>
  <c r="D18" i="72"/>
  <c r="E16" i="76" s="1"/>
  <c r="H16" i="76" s="1"/>
  <c r="W19" i="72"/>
  <c r="F15" i="72"/>
  <c r="G13" i="76" s="1"/>
  <c r="I13" i="76" s="1"/>
  <c r="D24" i="72"/>
  <c r="E22" i="76" s="1"/>
  <c r="H22" i="76" s="1"/>
  <c r="U18" i="72"/>
  <c r="U24" i="72"/>
  <c r="W23" i="72"/>
  <c r="U22" i="72"/>
  <c r="D23" i="72"/>
  <c r="E21" i="76" s="1"/>
  <c r="H21" i="76" s="1"/>
  <c r="H18" i="76"/>
  <c r="H13" i="76"/>
  <c r="H19" i="76"/>
  <c r="I18" i="76"/>
  <c r="I22" i="76"/>
  <c r="H17" i="76"/>
  <c r="I15" i="76"/>
  <c r="H15" i="76"/>
  <c r="I17" i="76"/>
  <c r="H23" i="76"/>
  <c r="I16" i="76"/>
  <c r="I19" i="76"/>
  <c r="I14"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Q21" i="72" l="1"/>
  <c r="J26" i="72"/>
  <c r="P22" i="70" s="1"/>
  <c r="L26" i="72"/>
  <c r="I26" i="72"/>
  <c r="O22" i="70" s="1"/>
  <c r="K26" i="72"/>
  <c r="Q22" i="70" s="1"/>
  <c r="N26" i="72"/>
  <c r="I29" i="72"/>
  <c r="O25" i="70" s="1"/>
  <c r="K29" i="72"/>
  <c r="Q25" i="70" s="1"/>
  <c r="N29" i="72"/>
  <c r="L29" i="72"/>
  <c r="J29" i="72"/>
  <c r="P25" i="70" s="1"/>
  <c r="D30" i="76"/>
  <c r="K32" i="72"/>
  <c r="Q28" i="70" s="1"/>
  <c r="N32" i="72"/>
  <c r="J32" i="72"/>
  <c r="P28" i="70" s="1"/>
  <c r="L32" i="72"/>
  <c r="I32" i="72"/>
  <c r="O28" i="70" s="1"/>
  <c r="D32" i="76"/>
  <c r="I34" i="72"/>
  <c r="O30" i="70" s="1"/>
  <c r="K34" i="72"/>
  <c r="Q30" i="70" s="1"/>
  <c r="L34" i="72"/>
  <c r="N34" i="72"/>
  <c r="J34" i="72"/>
  <c r="P30" i="70" s="1"/>
  <c r="D31" i="76"/>
  <c r="N33" i="72"/>
  <c r="L33" i="72"/>
  <c r="J33" i="72"/>
  <c r="P29" i="70" s="1"/>
  <c r="I33" i="72"/>
  <c r="O29" i="70" s="1"/>
  <c r="K33" i="72"/>
  <c r="Q29" i="70" s="1"/>
  <c r="D29" i="76"/>
  <c r="I31" i="72"/>
  <c r="O27" i="70" s="1"/>
  <c r="K31" i="72"/>
  <c r="Q27" i="70" s="1"/>
  <c r="N31" i="72"/>
  <c r="J31" i="72"/>
  <c r="P27" i="70" s="1"/>
  <c r="L31" i="72"/>
  <c r="D25" i="76"/>
  <c r="J27" i="72"/>
  <c r="P23" i="70" s="1"/>
  <c r="I27" i="72"/>
  <c r="O23" i="70" s="1"/>
  <c r="L27" i="72"/>
  <c r="K27" i="72"/>
  <c r="Q23" i="70" s="1"/>
  <c r="N27" i="72"/>
  <c r="I12" i="76"/>
  <c r="D28" i="76"/>
  <c r="J30" i="72"/>
  <c r="P26" i="70" s="1"/>
  <c r="I30" i="72"/>
  <c r="O26" i="70" s="1"/>
  <c r="K30" i="72"/>
  <c r="Q26" i="70" s="1"/>
  <c r="L30" i="72"/>
  <c r="N30" i="72"/>
  <c r="D26" i="76"/>
  <c r="K28" i="72"/>
  <c r="Q24" i="70" s="1"/>
  <c r="N28" i="72"/>
  <c r="AQ28" i="72" s="1"/>
  <c r="L28" i="72"/>
  <c r="J28" i="72"/>
  <c r="P24" i="70" s="1"/>
  <c r="I28" i="72"/>
  <c r="O24" i="70" s="1"/>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I35" i="72" s="1"/>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AQ30" i="72" l="1"/>
  <c r="AQ26" i="72"/>
  <c r="AQ34" i="72"/>
  <c r="AQ32" i="72"/>
  <c r="AQ31" i="72"/>
  <c r="AQ33" i="72"/>
  <c r="AQ29" i="72"/>
  <c r="AQ27" i="72"/>
  <c r="I32" i="76"/>
  <c r="AD15" i="36"/>
  <c r="AD25" i="36" s="1"/>
  <c r="E17" i="11" s="1"/>
  <c r="I26" i="76"/>
  <c r="H25" i="76"/>
  <c r="K35" i="72"/>
  <c r="H31" i="76"/>
  <c r="H32" i="76"/>
  <c r="H30" i="76"/>
  <c r="J35" i="72"/>
  <c r="L35" i="72"/>
  <c r="M27" i="72" s="1"/>
  <c r="W25" i="76" s="1"/>
  <c r="I29" i="76"/>
  <c r="I30" i="76"/>
  <c r="H29" i="76"/>
  <c r="I28" i="76"/>
  <c r="N35" i="72"/>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AH31" i="76" s="1"/>
  <c r="M34" i="72"/>
  <c r="W32" i="76" s="1"/>
  <c r="A30" i="76"/>
  <c r="L30" i="76" s="1"/>
  <c r="AH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D18" i="76"/>
  <c r="AD23" i="76"/>
  <c r="AD25" i="76"/>
  <c r="AD13" i="76"/>
  <c r="AD14" i="76"/>
  <c r="AD26" i="76"/>
  <c r="AD17" i="76"/>
  <c r="AF24" i="76"/>
  <c r="AI24" i="76" s="1"/>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G36" i="11" s="1"/>
  <c r="AB10" i="70"/>
  <c r="I39" i="70" l="1"/>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E20" i="12"/>
  <c r="G13" i="12"/>
  <c r="N13" i="12"/>
  <c r="B27" i="65" l="1"/>
  <c r="D24" i="65"/>
  <c r="G20" i="12"/>
  <c r="I20" i="12"/>
  <c r="E24" i="12"/>
  <c r="E32" i="12"/>
  <c r="G32" i="12" s="1"/>
  <c r="I30" i="11"/>
  <c r="B31" i="65"/>
  <c r="D31" i="65" s="1"/>
  <c r="G30" i="11"/>
  <c r="G24" i="12" l="1"/>
  <c r="E35" i="12"/>
  <c r="B33" i="65"/>
  <c r="D27" i="65"/>
  <c r="B34" i="65" l="1"/>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11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11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11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00000000-0006-0000-1100-000004000000}">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1100-000005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1100-000006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00000000-0006-0000-1100-000007000000}">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1100-000008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<sst xmlns="http://schemas.openxmlformats.org/spreadsheetml/2006/main" count="18738" uniqueCount="1921">
  <si>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</si>
  <si>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</si>
  <si>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</si>
  <si>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</si>
  <si>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</si>
  <si>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</si>
  <si>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</si>
  <si>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</si>
  <si>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</si>
  <si>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</si>
  <si>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</si>
  <si>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</si>
  <si>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</si>
  <si>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</si>
  <si>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</si>
  <si>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</si>
  <si>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</si>
  <si>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</si>
  <si>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</si>
  <si>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</si>
  <si>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</si>
  <si>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</si>
  <si>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</si>
  <si>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</si>
  <si>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</si>
  <si>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</si>
  <si>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</si>
  <si>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</si>
  <si>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</si>
  <si>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</si>
  <si>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</si>
  <si>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</si>
  <si>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</si>
  <si>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</si>
  <si>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</si>
  <si>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</si>
  <si>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</si>
  <si>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</si>
  <si>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</si>
  <si>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</si>
  <si>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</si>
  <si>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</si>
  <si>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</si>
  <si>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</si>
  <si>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</si>
  <si>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</si>
  <si>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</si>
  <si>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</si>
  <si>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</si>
  <si>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</si>
  <si>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</si>
  <si>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</si>
  <si>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</si>
  <si>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</si>
  <si>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</si>
  <si>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</si>
  <si>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</si>
  <si>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</si>
  <si>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</si>
  <si>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</si>
  <si>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</si>
  <si>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</si>
  <si>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</si>
  <si>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</si>
  <si>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</si>
  <si>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</si>
  <si>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</si>
  <si>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</si>
  <si>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</si>
  <si>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</si>
  <si>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</si>
  <si>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</si>
  <si>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</si>
  <si>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</si>
  <si>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</si>
  <si>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</si>
  <si>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</si>
  <si>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</si>
  <si>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</si>
  <si>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</si>
  <si>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</si>
  <si>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</si>
  <si>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</si>
  <si>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</si>
  <si>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</si>
  <si>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</si>
  <si>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</si>
  <si>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</si>
  <si>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</si>
  <si>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</si>
  <si>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</si>
  <si>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</si>
  <si>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</si>
  <si>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</si>
  <si>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</si>
  <si>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</si>
  <si>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</si>
  <si>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</si>
  <si>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</si>
  <si>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</si>
  <si>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</si>
  <si>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</si>
  <si>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</si>
  <si>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</si>
  <si>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</si>
  <si>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</si>
  <si>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</si>
  <si>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</si>
  <si>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</si>
  <si>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</si>
  <si>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</si>
  <si>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</si>
  <si>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</si>
  <si>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</si>
  <si>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</si>
  <si>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</si>
  <si>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</si>
  <si>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</si>
  <si>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</si>
  <si>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</si>
  <si>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</si>
  <si>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</si>
  <si>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</si>
  <si>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</si>
  <si>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</si>
  <si>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</si>
  <si>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</si>
  <si>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</si>
  <si>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</si>
  <si>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</si>
  <si>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</si>
  <si>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</si>
  <si>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</si>
  <si>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</si>
  <si>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</si>
  <si>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</si>
  <si>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</si>
  <si>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</si>
  <si>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</si>
  <si>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</si>
  <si>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</si>
  <si>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</si>
  <si>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</si>
  <si>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</si>
  <si>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</si>
  <si>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</si>
  <si>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</si>
  <si>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</si>
  <si>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</si>
  <si>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</si>
  <si>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</si>
  <si>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</si>
  <si>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</si>
  <si>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</si>
  <si>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</si>
  <si>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</si>
  <si>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</si>
  <si>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</si>
  <si>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</si>
  <si>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</si>
  <si>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</si>
  <si>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</si>
  <si>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</si>
  <si>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</si>
  <si>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</si>
  <si>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</si>
  <si>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</si>
  <si>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</si>
  <si>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</si>
  <si>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</si>
  <si>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</si>
  <si>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</si>
  <si>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</si>
  <si>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</si>
  <si>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</si>
  <si>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</si>
  <si>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</si>
  <si>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</si>
  <si>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</si>
  <si>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</si>
  <si>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</si>
  <si>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</si>
  <si>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</si>
  <si>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</si>
  <si>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</si>
  <si>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</si>
  <si>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</si>
  <si>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</si>
  <si>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</si>
  <si>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</si>
  <si>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</si>
  <si>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</si>
  <si>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</si>
  <si>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</si>
  <si>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</si>
  <si>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</si>
  <si>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</si>
  <si>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</si>
  <si>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</si>
  <si>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</si>
  <si>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</si>
  <si>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</si>
  <si>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</si>
  <si>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</si>
  <si>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</si>
  <si>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</si>
  <si>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</si>
  <si>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</si>
  <si>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</si>
  <si>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</si>
  <si>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</si>
  <si>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</si>
  <si>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</si>
  <si>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</si>
  <si>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</si>
  <si>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</si>
  <si>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</si>
  <si>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</si>
  <si>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</si>
  <si>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</si>
  <si>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</si>
  <si>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</si>
  <si>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</si>
  <si>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</si>
  <si>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</si>
  <si>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</si>
  <si>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</si>
  <si>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</si>
  <si>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</si>
  <si>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</si>
  <si>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</si>
  <si>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</si>
  <si>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</si>
  <si>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</si>
  <si>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</si>
  <si>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</si>
  <si>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</si>
  <si>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</si>
  <si>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</si>
  <si>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</si>
  <si>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</si>
  <si>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</si>
  <si>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</si>
  <si>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</si>
  <si>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</si>
  <si>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</si>
  <si>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</si>
  <si>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</si>
  <si>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</si>
  <si>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</si>
  <si>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</si>
  <si>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</si>
  <si>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</si>
  <si>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</si>
  <si>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</si>
  <si>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</si>
  <si>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</si>
  <si>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</si>
  <si>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</si>
  <si>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</si>
  <si>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</si>
  <si>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</si>
  <si>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</si>
  <si>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</si>
  <si>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</si>
  <si>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</si>
  <si>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</si>
  <si>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</si>
  <si>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</si>
  <si>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</si>
  <si>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</si>
  <si>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</si>
  <si>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</si>
  <si>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</si>
  <si>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</si>
  <si>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</si>
  <si>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</si>
  <si>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</si>
  <si>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</si>
  <si>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</si>
  <si>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</si>
  <si>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</si>
  <si>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</si>
  <si>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</si>
  <si>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</si>
  <si>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</si>
  <si>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</si>
  <si>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</si>
  <si>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</si>
  <si>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</si>
  <si>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</si>
  <si>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</si>
  <si>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</si>
  <si>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</si>
  <si>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</si>
  <si>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</si>
  <si>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</si>
  <si>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</si>
  <si>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</si>
  <si>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</si>
  <si>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</si>
  <si>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</si>
  <si>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</si>
  <si>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</si>
  <si>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</si>
  <si>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</si>
  <si>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</si>
  <si>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</si>
  <si>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</si>
  <si>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</si>
  <si>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</si>
  <si>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</si>
  <si>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</si>
  <si>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</si>
  <si>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</si>
  <si>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</si>
  <si>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</si>
  <si>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</si>
  <si>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</si>
  <si>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</si>
  <si>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</si>
  <si>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</si>
  <si>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</si>
  <si>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</si>
  <si>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</si>
  <si>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</si>
  <si>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</si>
  <si>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</si>
  <si>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</si>
  <si>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</si>
  <si>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</si>
  <si>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</si>
  <si>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</si>
  <si>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</si>
  <si>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</si>
  <si>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</si>
  <si>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</si>
  <si>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</si>
  <si>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</si>
  <si>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</si>
  <si>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</si>
  <si>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</si>
  <si>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</si>
  <si>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</si>
  <si>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</si>
  <si>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</si>
  <si>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</si>
  <si>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</si>
  <si>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</si>
  <si>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</si>
  <si>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</si>
  <si>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</si>
  <si>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</si>
  <si>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</si>
  <si>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</si>
  <si>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</si>
  <si>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</si>
  <si>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</si>
  <si>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</si>
  <si>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</si>
  <si>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</si>
  <si>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</si>
  <si>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</si>
  <si>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</si>
  <si>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</si>
  <si>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</si>
  <si>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</si>
  <si>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</si>
  <si>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</si>
  <si>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</si>
  <si>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</si>
  <si>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</si>
  <si>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</si>
  <si>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</si>
  <si>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</si>
  <si>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</si>
  <si>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</si>
  <si>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</si>
  <si>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</si>
  <si>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</si>
  <si>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</si>
  <si>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</si>
  <si>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</si>
  <si>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</si>
  <si>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</si>
  <si>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</si>
  <si>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</si>
  <si>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</si>
  <si>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</si>
  <si>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</si>
  <si>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</si>
  <si>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</si>
  <si>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</si>
  <si>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</si>
  <si>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</si>
  <si>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</si>
  <si>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</si>
  <si>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</si>
  <si>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</si>
  <si>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</si>
  <si>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</si>
  <si>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</si>
  <si>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</si>
  <si>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</si>
  <si>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</si>
  <si>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</si>
  <si>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</si>
  <si>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</si>
  <si>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</si>
  <si>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</si>
  <si>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</si>
  <si>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</si>
  <si>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</si>
  <si>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</si>
  <si>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</si>
  <si>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</si>
  <si>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</si>
  <si>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</si>
  <si>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</si>
  <si>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</si>
  <si>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</si>
  <si>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</si>
  <si>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</si>
  <si>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</si>
  <si>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</si>
  <si>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</si>
  <si>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</si>
  <si>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</si>
  <si>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</si>
  <si>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</si>
  <si>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</si>
  <si>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</si>
  <si>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</si>
  <si>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</si>
  <si>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</si>
  <si>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</si>
  <si>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</si>
  <si>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</si>
  <si>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</si>
  <si>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</si>
  <si>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</si>
  <si>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</si>
  <si>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</si>
  <si>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</si>
  <si>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</si>
  <si>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</si>
  <si>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</si>
  <si>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</si>
  <si>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</si>
  <si>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</si>
  <si>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</si>
  <si>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</si>
  <si>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</si>
  <si>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</si>
  <si>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</si>
  <si>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</si>
  <si>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</si>
  <si>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</si>
  <si>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</si>
  <si>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</si>
  <si>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</si>
  <si>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</si>
  <si>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</si>
  <si>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</si>
  <si>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</si>
  <si>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</si>
  <si>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</si>
  <si>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</si>
  <si>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</si>
  <si>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</si>
  <si>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</si>
  <si>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</si>
  <si>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</si>
  <si>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</si>
  <si>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</si>
  <si>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</si>
  <si>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</si>
  <si>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</si>
  <si>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</si>
  <si>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</si>
  <si>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</si>
  <si>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</si>
  <si>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</si>
  <si>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</si>
  <si>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</si>
  <si>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</si>
  <si>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</si>
  <si>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</si>
  <si>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</si>
  <si>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</si>
  <si>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</si>
  <si>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</si>
  <si>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</si>
  <si>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</si>
  <si>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</si>
  <si>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</si>
  <si>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</si>
  <si>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</si>
  <si>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</si>
  <si>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</si>
  <si>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</si>
  <si>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</si>
  <si>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</si>
  <si>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</si>
  <si>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</si>
  <si>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</si>
  <si>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</si>
  <si>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</si>
  <si>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</si>
  <si>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</si>
  <si>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</si>
  <si>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</si>
  <si>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</si>
  <si>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</si>
  <si>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</si>
  <si>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</si>
  <si>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</si>
  <si>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</si>
  <si>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</si>
  <si>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</si>
  <si>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</si>
  <si>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</si>
  <si>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</si>
  <si>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</si>
  <si>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</si>
  <si>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</si>
  <si>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</si>
  <si>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</si>
  <si>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</si>
  <si>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</si>
  <si>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</si>
  <si>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</si>
  <si>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</si>
  <si>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</si>
  <si>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</si>
  <si>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</si>
  <si>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</si>
  <si>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</si>
  <si>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</si>
  <si>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</si>
  <si>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</si>
  <si>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</si>
  <si>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</si>
  <si>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</si>
  <si>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</si>
  <si>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</si>
  <si>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</si>
  <si>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</si>
  <si>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</si>
  <si>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</si>
  <si>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</si>
  <si>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</si>
  <si>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</si>
  <si>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</si>
  <si>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</si>
  <si>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</si>
  <si>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</si>
  <si>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</si>
  <si>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</si>
  <si>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</si>
  <si>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</si>
  <si>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</si>
  <si>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</si>
  <si>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</si>
  <si>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</si>
  <si>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</si>
  <si>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</si>
  <si>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</si>
  <si>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</si>
  <si>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</si>
  <si>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</si>
  <si>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</si>
  <si>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</si>
  <si>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</si>
  <si>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</si>
  <si>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</si>
  <si>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</si>
  <si>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</si>
  <si>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</si>
  <si>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</si>
  <si>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</si>
  <si>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</si>
  <si>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</si>
  <si>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</si>
  <si>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</si>
  <si>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</si>
  <si>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</si>
  <si>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</si>
  <si>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</si>
  <si>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</si>
  <si>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</si>
  <si>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</si>
  <si>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</si>
  <si>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</si>
  <si>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</si>
  <si>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</si>
  <si>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</si>
  <si>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</si>
  <si>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</si>
  <si>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</si>
  <si>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</si>
  <si>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</si>
  <si>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</si>
  <si>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</si>
  <si>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</si>
  <si>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</si>
  <si>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</si>
  <si>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</si>
  <si>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</si>
  <si>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</si>
  <si>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</si>
  <si>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</si>
  <si>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</si>
  <si>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</si>
  <si>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</si>
  <si>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</si>
  <si>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</si>
  <si>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</si>
  <si>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</si>
  <si>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</si>
  <si>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</si>
  <si>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</si>
  <si>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</si>
  <si>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</si>
  <si>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</si>
  <si>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</si>
  <si>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</si>
  <si>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</si>
  <si>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</si>
  <si>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</si>
  <si>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</si>
  <si>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</si>
  <si>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</si>
  <si>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</si>
  <si>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</si>
  <si>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</si>
  <si>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</si>
  <si>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</si>
  <si>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</si>
  <si>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</si>
  <si>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</si>
  <si>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</si>
  <si>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</si>
  <si>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</si>
  <si>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</si>
  <si>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</si>
  <si>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</si>
  <si>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</si>
  <si>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</si>
  <si>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</si>
  <si>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</si>
  <si>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</si>
  <si>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</si>
  <si>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</si>
  <si>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</si>
  <si>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</si>
  <si>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</si>
  <si>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</si>
  <si>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</si>
  <si>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</si>
  <si>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</si>
  <si>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</si>
  <si>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</si>
  <si>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</si>
  <si>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</si>
  <si>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</si>
  <si>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</si>
  <si>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</si>
  <si>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</si>
  <si>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</si>
  <si>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</si>
  <si>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</si>
  <si>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</si>
  <si>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</si>
  <si>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</si>
  <si>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</si>
  <si>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</si>
  <si>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</si>
  <si>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</si>
  <si>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</si>
  <si>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</si>
  <si>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</si>
  <si>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</si>
  <si>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</si>
  <si>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</si>
  <si>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</si>
  <si>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</si>
  <si>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</si>
  <si>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</si>
  <si>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</si>
  <si>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</si>
  <si>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</si>
  <si>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</si>
  <si>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</si>
  <si>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</si>
  <si>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</si>
  <si>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</si>
  <si>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</si>
  <si>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</si>
  <si>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</si>
  <si>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</si>
  <si>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</si>
  <si>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</si>
  <si>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</si>
  <si>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</si>
  <si>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</si>
  <si>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</si>
  <si>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</si>
  <si>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</si>
  <si>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</si>
  <si>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</si>
  <si>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</si>
  <si>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</si>
  <si>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</si>
  <si>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</si>
  <si>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</si>
  <si>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</si>
  <si>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</si>
  <si>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</si>
  <si>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</si>
  <si>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</si>
  <si>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</si>
  <si>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</si>
  <si>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</si>
  <si>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</si>
  <si>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</si>
  <si>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</si>
  <si>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</si>
  <si>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</si>
  <si>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</si>
  <si>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</si>
  <si>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</si>
  <si>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</si>
  <si>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</si>
  <si>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</si>
  <si>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</si>
  <si>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</si>
  <si>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</si>
  <si>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</si>
  <si>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</si>
  <si>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</si>
  <si>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</si>
  <si>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</si>
  <si>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</si>
  <si>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</si>
  <si>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</si>
  <si>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</si>
  <si>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</si>
  <si>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</si>
  <si>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</si>
  <si>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</si>
  <si>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</si>
  <si>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</si>
  <si>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</si>
  <si>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</si>
  <si>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</si>
  <si>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</si>
  <si>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</si>
  <si>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</si>
  <si>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</si>
  <si>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</si>
  <si>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</si>
  <si>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</si>
  <si>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</si>
  <si>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</si>
  <si>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</si>
  <si>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</si>
  <si>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</si>
  <si>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</si>
  <si>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</si>
  <si>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</si>
  <si>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</si>
  <si>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</si>
  <si>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</si>
  <si>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</si>
  <si>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</si>
  <si>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</si>
  <si>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</si>
  <si>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</si>
  <si>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</si>
  <si>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</si>
  <si>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</si>
  <si>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</si>
  <si>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</si>
  <si>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</si>
  <si>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</si>
  <si>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</si>
  <si>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</si>
  <si>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</si>
  <si>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</si>
  <si>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</si>
  <si>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</si>
  <si>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</si>
  <si>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</si>
  <si>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</si>
  <si>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</si>
  <si>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</si>
  <si>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</si>
  <si>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</si>
  <si>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</si>
  <si>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</si>
  <si>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</si>
  <si>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</si>
  <si>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</si>
  <si>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</si>
  <si>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</si>
  <si>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</si>
  <si>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</si>
  <si>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</si>
  <si>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</si>
  <si>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</si>
  <si>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</si>
  <si>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</si>
  <si>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</si>
  <si>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</si>
  <si>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</si>
  <si>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</si>
  <si>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</si>
  <si>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</si>
  <si>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</si>
  <si>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</si>
  <si>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</si>
  <si>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</si>
  <si>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</si>
  <si>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</si>
  <si>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</si>
  <si>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</si>
  <si>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</si>
  <si>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</si>
  <si>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</si>
  <si>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</si>
  <si>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</si>
  <si>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</si>
  <si>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</si>
  <si>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</si>
  <si>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</si>
  <si>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</si>
  <si>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</si>
  <si>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</si>
  <si>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</si>
  <si>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</si>
  <si>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</si>
  <si>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</si>
  <si>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</si>
  <si>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</si>
  <si>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</si>
  <si>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</si>
  <si>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</si>
  <si>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</si>
  <si>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</si>
  <si>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</si>
  <si>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</si>
  <si>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</si>
  <si>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</si>
  <si>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</si>
  <si>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</si>
  <si>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</si>
  <si>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</si>
  <si>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</si>
  <si>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</si>
  <si>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</si>
  <si>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</si>
  <si>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</si>
  <si>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</si>
  <si>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</si>
  <si>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</si>
  <si>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</si>
  <si>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</si>
  <si>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</si>
  <si>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</si>
  <si>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</si>
  <si>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</si>
  <si>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</si>
  <si>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</si>
  <si>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</si>
  <si>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</si>
  <si>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</si>
  <si>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</si>
  <si>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</si>
  <si>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</si>
  <si>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</si>
  <si>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</si>
  <si>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</si>
  <si>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</si>
  <si>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</si>
  <si>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</si>
  <si>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</si>
  <si>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</si>
  <si>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</si>
  <si>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</si>
  <si>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Pay Method:</t>
  </si>
  <si>
    <t>Pay Method</t>
  </si>
  <si>
    <t xml:space="preserve">Pay By: </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</si>
  <si>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</si>
  <si>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</si>
  <si>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</si>
  <si>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</si>
  <si>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</si>
  <si>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</si>
  <si>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</si>
  <si>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</si>
  <si>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</si>
  <si>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</si>
  <si>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</si>
  <si>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</si>
  <si>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</si>
  <si>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</si>
  <si>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</si>
  <si>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</si>
  <si>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</si>
  <si>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</si>
  <si>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</si>
  <si>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</si>
  <si>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</si>
  <si>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</si>
  <si>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</si>
  <si>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</si>
  <si>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</si>
  <si>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</si>
  <si>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</si>
  <si>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</si>
  <si>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</si>
  <si>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</si>
  <si>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</si>
  <si>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</si>
  <si>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</si>
  <si>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</si>
  <si>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</si>
  <si>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</si>
  <si>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</si>
  <si>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</si>
  <si>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</si>
  <si>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</si>
  <si>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</si>
  <si>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</si>
  <si>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</si>
  <si>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</si>
  <si>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</si>
  <si>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</si>
  <si>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</si>
  <si>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</si>
  <si>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</si>
  <si>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</si>
  <si>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</si>
  <si>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</si>
  <si>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</si>
  <si>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</si>
  <si>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</si>
  <si>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</si>
  <si>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</si>
  <si>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</si>
  <si>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</si>
  <si>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</si>
  <si>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</si>
  <si>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</si>
  <si>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</si>
  <si>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</si>
  <si>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</si>
  <si>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</si>
  <si>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</si>
  <si>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</si>
  <si>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</si>
  <si>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</si>
  <si>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</si>
  <si>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</si>
  <si>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</si>
  <si>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</si>
  <si>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</si>
  <si>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</si>
  <si>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</si>
  <si>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</si>
  <si>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</si>
  <si>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</si>
  <si>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</si>
  <si>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</si>
  <si>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</si>
  <si>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</si>
  <si>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</si>
  <si>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</si>
  <si>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</si>
  <si>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</si>
  <si>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</si>
  <si>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</si>
  <si>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</si>
  <si>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</si>
  <si>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</si>
  <si>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</si>
  <si>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</si>
  <si>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</si>
  <si>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</si>
  <si>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</si>
  <si>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</si>
  <si>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</si>
  <si>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</si>
  <si>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</si>
  <si>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</si>
  <si>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</si>
  <si>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</si>
  <si>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</si>
  <si>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</si>
  <si>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</si>
  <si>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</si>
  <si>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</si>
  <si>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</si>
  <si>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</si>
  <si>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</si>
  <si>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</si>
  <si>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</si>
  <si>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</si>
  <si>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</si>
  <si>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</si>
  <si>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</si>
  <si>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</si>
  <si>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</si>
  <si>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</si>
  <si>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</si>
  <si>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</si>
  <si>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</si>
  <si>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</si>
  <si>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</si>
  <si>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</si>
  <si>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</si>
  <si>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</si>
  <si>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</si>
  <si>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</si>
  <si>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</si>
  <si>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</si>
  <si>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</si>
  <si>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</si>
  <si>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</si>
  <si>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</si>
  <si>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</si>
  <si>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</si>
  <si>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</si>
  <si>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</si>
  <si>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</si>
  <si>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</si>
  <si>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</si>
  <si>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</si>
  <si>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</si>
  <si>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</si>
  <si>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</si>
  <si>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</si>
  <si>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</si>
  <si>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</si>
  <si>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</si>
  <si>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</si>
  <si>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</si>
  <si>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</si>
  <si>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</si>
  <si>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</si>
  <si>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</si>
  <si>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</si>
  <si>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</si>
  <si>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</si>
  <si>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</si>
  <si>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</si>
  <si>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</si>
  <si>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</si>
  <si>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</si>
  <si>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</si>
  <si>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</si>
  <si>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</si>
  <si>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</si>
  <si>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</si>
  <si>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</si>
  <si>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</si>
  <si>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</si>
  <si>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</si>
  <si>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</si>
  <si>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</si>
  <si>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</si>
  <si>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</si>
  <si>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</si>
  <si>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</si>
  <si>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</si>
  <si>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</si>
  <si>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</si>
  <si>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</si>
  <si>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</si>
  <si>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</si>
  <si>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</si>
  <si>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</si>
  <si>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</si>
  <si>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</si>
  <si>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</si>
  <si>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</si>
  <si>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</si>
  <si>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</si>
  <si>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</si>
  <si>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</si>
  <si>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</si>
  <si>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</si>
  <si>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</si>
  <si>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</si>
  <si>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</si>
  <si>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</si>
  <si>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</si>
  <si>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</si>
  <si>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</si>
  <si>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</si>
  <si>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</si>
  <si>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</si>
  <si>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</si>
  <si>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</si>
  <si>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</si>
  <si>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</si>
  <si>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</si>
  <si>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</si>
  <si>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</si>
  <si>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</si>
  <si>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</si>
  <si>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</si>
  <si>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</si>
  <si>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</si>
  <si>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</si>
  <si>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</si>
  <si>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</si>
  <si>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</si>
  <si>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</si>
  <si>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</si>
  <si>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</si>
  <si>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</si>
  <si>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</si>
  <si>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</si>
  <si>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</si>
  <si>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</si>
  <si>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</si>
  <si>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</si>
  <si>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</si>
  <si>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</si>
  <si>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</si>
  <si>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</si>
  <si>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</si>
  <si>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</si>
  <si>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</si>
  <si>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</si>
  <si>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</si>
  <si>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</si>
  <si>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</si>
  <si>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</si>
  <si>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</si>
  <si>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</si>
  <si>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</si>
  <si>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</si>
  <si>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</si>
  <si>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</si>
  <si>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</si>
  <si>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</si>
  <si>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</si>
  <si>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</si>
  <si>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</si>
  <si>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</si>
  <si>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</si>
  <si>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</si>
  <si>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</si>
  <si>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</si>
  <si>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</si>
  <si>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</si>
  <si>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SI1</t>
  </si>
  <si>
    <t>SI2</t>
  </si>
  <si>
    <t>SI3</t>
  </si>
  <si>
    <t>SI4</t>
  </si>
  <si>
    <t>SI5</t>
  </si>
  <si>
    <t>CHECK Business Tool</t>
  </si>
  <si>
    <t>Please explain why the customer can’t move off credit card to ACH or lower cost payment method.</t>
  </si>
  <si>
    <t xml:space="preserve">Credit Card Expense: </t>
  </si>
  <si>
    <t>Gross sales multiplied by the maximum credit card fee amount (2.5%)</t>
  </si>
  <si>
    <t>Prepaid</t>
  </si>
  <si>
    <t>Multi Years Prepaid</t>
  </si>
  <si>
    <t>PON Only</t>
  </si>
  <si>
    <t>STANDARD</t>
  </si>
  <si>
    <t>CURRENT</t>
  </si>
  <si>
    <t>Is this a MDA Renewal?</t>
  </si>
  <si>
    <t>Weekly Baseline</t>
  </si>
  <si>
    <t>Rate</t>
  </si>
  <si>
    <t>Period:</t>
  </si>
  <si>
    <t>Sales Growth</t>
  </si>
  <si>
    <t>Regional</t>
  </si>
  <si>
    <t>Pay Menthod</t>
  </si>
  <si>
    <t>Period</t>
  </si>
  <si>
    <t>Precentage Rate</t>
  </si>
  <si>
    <t>Minimim Target</t>
  </si>
  <si>
    <t>Tracking Program 008</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</si>
  <si>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</si>
  <si>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</si>
  <si>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</si>
  <si>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</si>
  <si>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</si>
  <si>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</si>
  <si>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</si>
  <si>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</si>
  <si>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</si>
  <si>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</si>
  <si>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</si>
  <si>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</si>
  <si>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</si>
  <si>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</si>
  <si>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</si>
  <si>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</si>
  <si>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</si>
  <si>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</si>
  <si>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</si>
  <si>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</si>
  <si>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</si>
  <si>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</si>
  <si>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</si>
  <si>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</si>
  <si>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</si>
  <si>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</si>
  <si>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</si>
  <si>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</si>
  <si>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</si>
  <si>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New Money</t>
  </si>
  <si>
    <t>Classification</t>
  </si>
  <si>
    <t>Previous Amount</t>
  </si>
  <si>
    <t>Unamortized</t>
  </si>
  <si>
    <t>New Amount</t>
  </si>
  <si>
    <t>Total Commitment</t>
  </si>
  <si>
    <t>Number of Payments</t>
  </si>
  <si>
    <t>Volume Rate</t>
  </si>
  <si>
    <t>Prepaid Rollover Incentive New Tracking</t>
  </si>
  <si>
    <t>Tracking Program TBD</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</si>
  <si>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</si>
  <si>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</si>
  <si>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</si>
  <si>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</si>
  <si>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</si>
  <si>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</si>
  <si>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</si>
  <si>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</si>
  <si>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</si>
  <si>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</si>
  <si>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</si>
  <si>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</si>
  <si>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</si>
  <si>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</si>
  <si>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</si>
  <si>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</si>
  <si>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</si>
  <si>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</si>
  <si>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</si>
  <si>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</si>
  <si>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</si>
  <si>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</si>
  <si>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</si>
  <si>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</si>
  <si>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</si>
  <si>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</si>
  <si>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</si>
  <si>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</si>
  <si>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</si>
  <si>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</si>
  <si>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</si>
  <si>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</si>
  <si>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</si>
  <si>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</si>
  <si>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</si>
  <si>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</si>
  <si>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</si>
  <si>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</si>
  <si>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</si>
  <si>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</si>
  <si>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</si>
  <si>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</si>
  <si>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</si>
  <si>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</si>
  <si>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</si>
  <si>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</si>
  <si>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</si>
  <si>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</si>
  <si>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</si>
  <si>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</si>
  <si>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</si>
  <si>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</si>
  <si>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</si>
  <si>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</si>
  <si>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</si>
  <si>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</si>
  <si>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</si>
  <si>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</si>
  <si>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</si>
  <si>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</si>
  <si>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</si>
  <si>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</si>
  <si>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</si>
  <si>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</si>
  <si>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</si>
  <si>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</si>
  <si>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</si>
  <si>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</si>
  <si>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</si>
  <si>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</si>
  <si>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</si>
  <si>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</si>
  <si>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</si>
  <si>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</si>
  <si>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</si>
  <si>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</si>
  <si>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</si>
  <si>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</si>
  <si>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</si>
  <si>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</si>
  <si>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</si>
  <si>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</si>
  <si>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</si>
  <si>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</si>
  <si>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</si>
  <si>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</si>
  <si>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</si>
  <si>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</si>
  <si>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</si>
  <si>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</si>
  <si>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</si>
  <si>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</si>
  <si>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</si>
  <si>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</si>
  <si>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</si>
  <si>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</si>
  <si>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</si>
  <si>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</si>
  <si>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</si>
  <si>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</si>
  <si>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</si>
  <si>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</si>
  <si>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</si>
  <si>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</si>
  <si>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</si>
  <si>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</si>
  <si>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</si>
  <si>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</si>
  <si>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</si>
  <si>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</si>
  <si>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</si>
  <si>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</si>
  <si>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</si>
  <si>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</si>
  <si>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</si>
  <si>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</si>
  <si>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</si>
  <si>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</si>
  <si>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</si>
  <si>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</si>
  <si>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</si>
  <si>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</si>
  <si>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</si>
  <si>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</si>
  <si>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</si>
  <si>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</si>
  <si>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</si>
  <si>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</si>
  <si>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</si>
  <si>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</si>
  <si>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</si>
  <si>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</si>
  <si>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</si>
  <si>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</si>
  <si>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</si>
  <si>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</si>
  <si>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</si>
  <si>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</si>
  <si>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</si>
  <si>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</si>
  <si>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</si>
  <si>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</si>
  <si>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</si>
  <si>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</si>
  <si>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</si>
  <si>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</si>
  <si>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</si>
  <si>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</si>
  <si>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</si>
  <si>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</si>
  <si>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</si>
  <si>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</si>
  <si>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</si>
  <si>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</si>
  <si>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</si>
  <si>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</si>
  <si>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</si>
  <si>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</si>
  <si>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</si>
  <si>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</si>
  <si>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</si>
  <si>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</si>
  <si>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</si>
  <si>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</si>
  <si>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</si>
  <si>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</si>
  <si>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</si>
  <si>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</si>
  <si>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</si>
  <si>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</si>
  <si>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</si>
  <si>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</si>
  <si>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</si>
  <si>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</si>
  <si>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</si>
  <si>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</si>
  <si>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</si>
  <si>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</si>
  <si>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</si>
  <si>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</si>
  <si>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</si>
  <si>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</si>
  <si>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</si>
  <si>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</si>
  <si>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</si>
  <si>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</si>
  <si>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</si>
  <si>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</si>
  <si>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</si>
  <si>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</si>
  <si>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</si>
  <si>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</si>
  <si>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</si>
  <si>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</si>
  <si>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</si>
  <si>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</si>
  <si>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</si>
  <si>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</si>
  <si>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</si>
  <si>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</si>
  <si>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</si>
  <si>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</si>
  <si>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</si>
  <si>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</si>
  <si>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</si>
  <si>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</si>
  <si>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</si>
  <si>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</si>
  <si>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</si>
  <si>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</si>
  <si>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</si>
  <si>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</si>
  <si>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</si>
  <si>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</si>
  <si>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</si>
  <si>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</si>
  <si>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</si>
  <si>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</si>
  <si>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</si>
  <si>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</si>
  <si>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</si>
  <si>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</si>
  <si>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</si>
  <si>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</si>
  <si>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</si>
  <si>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</si>
  <si>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</si>
  <si>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</si>
  <si>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</si>
  <si>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</si>
  <si>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</si>
  <si>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</si>
  <si>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</si>
  <si>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</si>
  <si>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</si>
  <si>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</si>
  <si>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</si>
  <si>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</si>
  <si>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</si>
  <si>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</si>
  <si>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</si>
  <si>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</si>
  <si>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</si>
  <si>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</si>
  <si>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</si>
  <si>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</si>
  <si>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</si>
  <si>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</si>
  <si>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</si>
  <si>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</si>
  <si>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</si>
  <si>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</si>
  <si>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</si>
  <si>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</si>
  <si>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</si>
  <si>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</si>
  <si>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</si>
  <si>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</si>
  <si>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</si>
  <si>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</si>
  <si>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</si>
  <si>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</si>
  <si>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</si>
  <si>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</si>
  <si>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</si>
  <si>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</si>
  <si>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</si>
  <si>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</si>
  <si>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</si>
  <si>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</si>
  <si>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</si>
  <si>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</si>
  <si>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</si>
  <si>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</si>
  <si>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</si>
  <si>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</si>
  <si>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</si>
  <si>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</si>
  <si>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</si>
  <si>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</si>
  <si>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</si>
  <si>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</si>
  <si>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</si>
  <si>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</si>
  <si>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</si>
  <si>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</si>
  <si>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</si>
  <si>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</si>
  <si>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</si>
  <si>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</si>
  <si>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</si>
  <si>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</si>
  <si>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</si>
  <si>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</si>
  <si>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</si>
  <si>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</si>
  <si>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</si>
  <si>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</si>
  <si>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</si>
  <si>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</si>
  <si>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</si>
  <si>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</si>
  <si>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</si>
  <si>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</si>
  <si>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</si>
  <si>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</si>
  <si>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</si>
  <si>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</si>
  <si>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</si>
  <si>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</si>
  <si>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</si>
  <si>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</si>
  <si>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</si>
  <si>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</si>
  <si>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</si>
  <si>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</si>
  <si>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</si>
  <si>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</si>
  <si>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</si>
  <si>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</si>
  <si>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</si>
  <si>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</si>
  <si>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</si>
  <si>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</si>
  <si>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</si>
  <si>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</si>
  <si>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</si>
  <si>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</si>
  <si>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</si>
  <si>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</si>
  <si>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</si>
  <si>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</si>
  <si>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</si>
  <si>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</si>
  <si>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</si>
  <si>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</si>
  <si>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</si>
  <si>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</si>
  <si>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</si>
  <si>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</si>
  <si>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</si>
  <si>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</si>
  <si>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</si>
  <si>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</si>
  <si>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</si>
  <si>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</si>
  <si>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</si>
  <si>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</si>
  <si>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</si>
  <si>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</si>
  <si>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</si>
  <si>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</si>
  <si>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</si>
  <si>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</si>
  <si>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</si>
  <si>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</si>
  <si>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</si>
  <si>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</si>
  <si>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</si>
  <si>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</si>
  <si>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</si>
  <si>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</si>
  <si>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</si>
  <si>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</si>
  <si>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</si>
  <si>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</si>
  <si>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</si>
  <si>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</si>
  <si>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</si>
  <si>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</si>
  <si>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</si>
  <si>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</si>
  <si>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</si>
  <si>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</si>
  <si>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</si>
  <si>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</si>
  <si>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</si>
  <si>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</si>
  <si>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</si>
  <si>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</si>
  <si>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</si>
  <si>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</si>
  <si>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</si>
  <si>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</si>
  <si>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</si>
  <si>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</si>
  <si>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</si>
  <si>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</si>
  <si>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</si>
  <si>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</si>
  <si>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</si>
  <si>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</si>
  <si>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</si>
  <si>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</si>
  <si>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</si>
  <si>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</si>
  <si>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</si>
  <si>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</si>
  <si>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</si>
  <si>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</si>
  <si>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</si>
  <si>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</si>
  <si>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</si>
  <si>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</si>
  <si>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</si>
  <si>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</si>
  <si>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</si>
  <si>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</si>
  <si>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</si>
  <si>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</si>
  <si>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</si>
  <si>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</si>
  <si>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</si>
  <si>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</si>
  <si>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</si>
  <si>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</si>
  <si>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</si>
  <si>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</si>
  <si>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</si>
  <si>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</si>
  <si>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</si>
  <si>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</si>
  <si>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</si>
  <si>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</si>
  <si>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</si>
  <si>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</si>
  <si>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</si>
  <si>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</si>
  <si>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</si>
  <si>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</si>
  <si>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</si>
  <si>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</si>
  <si>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</si>
  <si>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</si>
  <si>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</si>
  <si>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</si>
  <si>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</si>
  <si>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</si>
  <si>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</si>
  <si>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</si>
  <si>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</si>
  <si>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</si>
  <si>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</si>
  <si>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</si>
  <si>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</si>
  <si>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</si>
  <si>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</si>
  <si>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</si>
  <si>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</si>
  <si>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</si>
  <si>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</si>
  <si>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</si>
  <si>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</si>
  <si>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</si>
  <si>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</si>
  <si>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</si>
  <si>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</si>
  <si>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</si>
  <si>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</si>
  <si>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</si>
  <si>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</si>
  <si>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</si>
  <si>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</si>
  <si>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</si>
  <si>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</si>
  <si>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</si>
  <si>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</si>
  <si>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</si>
  <si>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</si>
  <si>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</si>
  <si>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</si>
  <si>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</si>
  <si>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</si>
  <si>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</si>
  <si>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</si>
  <si>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</si>
  <si>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</si>
  <si>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</si>
  <si>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</si>
  <si>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</si>
  <si>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</si>
  <si>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</si>
  <si>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</si>
  <si>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</si>
  <si>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</si>
  <si>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</si>
  <si>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Toast - Only Instance</t>
  </si>
  <si>
    <t>Toast Incentive</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</si>
  <si>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</si>
  <si>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</si>
  <si>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</si>
  <si>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</si>
  <si>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</si>
  <si>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</si>
  <si>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</si>
  <si>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</si>
  <si>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</si>
  <si>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</si>
  <si>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</si>
  <si>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</si>
  <si>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</si>
  <si>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</si>
  <si>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</si>
  <si>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</si>
  <si>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</si>
  <si>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</si>
  <si>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</si>
  <si>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</si>
  <si>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</si>
  <si>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</si>
  <si>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</si>
  <si>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</si>
  <si>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</si>
  <si>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</si>
  <si>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</si>
  <si>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</si>
  <si>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</si>
  <si>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</si>
  <si>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</si>
  <si>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</si>
  <si>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</si>
  <si>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</si>
  <si>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</si>
  <si>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</si>
  <si>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</si>
  <si>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</si>
  <si>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</si>
  <si>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</si>
  <si>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</si>
  <si>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</si>
  <si>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</si>
  <si>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</si>
  <si>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</si>
  <si>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</si>
  <si>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</si>
  <si>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</si>
  <si>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</si>
  <si>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</si>
  <si>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</si>
  <si>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</si>
  <si>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</si>
  <si>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</si>
  <si>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</si>
  <si>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</si>
  <si>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</si>
  <si>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</si>
  <si>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</si>
  <si>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</si>
  <si>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</si>
  <si>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</si>
  <si>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</si>
  <si>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</si>
  <si>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</si>
  <si>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</si>
  <si>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</si>
  <si>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</si>
  <si>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</si>
  <si>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</si>
  <si>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</si>
  <si>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</si>
  <si>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</si>
  <si>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</si>
  <si>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</si>
  <si>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</si>
  <si>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</si>
  <si>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</si>
  <si>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</si>
  <si>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</si>
  <si>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</si>
  <si>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</si>
  <si>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</si>
  <si>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</si>
  <si>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</si>
  <si>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</si>
  <si>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</si>
  <si>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</si>
  <si>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</si>
  <si>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</si>
  <si>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</si>
  <si>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</si>
  <si>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</si>
  <si>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</si>
  <si>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</si>
  <si>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</si>
  <si>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</si>
  <si>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</si>
  <si>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</si>
  <si>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</si>
  <si>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</si>
  <si>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</si>
  <si>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</si>
  <si>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</si>
  <si>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</si>
  <si>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</si>
  <si>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</si>
  <si>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</si>
  <si>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</si>
  <si>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</si>
  <si>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</si>
  <si>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</si>
  <si>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</si>
  <si>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</si>
  <si>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</si>
  <si>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</si>
  <si>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</si>
  <si>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</si>
  <si>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</si>
  <si>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</si>
  <si>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</si>
  <si>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</si>
  <si>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</si>
  <si>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</si>
  <si>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</si>
  <si>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</si>
  <si>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Toast</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</si>
  <si>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</si>
  <si>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</si>
  <si>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</si>
  <si>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</si>
  <si>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</si>
  <si>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</si>
  <si>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</si>
  <si>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</si>
  <si>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</si>
  <si>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</si>
  <si>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</si>
  <si>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</si>
  <si>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</si>
  <si>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</si>
  <si>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</si>
  <si>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</si>
  <si>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</si>
  <si>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</si>
  <si>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</si>
  <si>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</si>
  <si>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</si>
  <si>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</si>
  <si>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</si>
  <si>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</si>
  <si>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</si>
  <si>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</si>
  <si>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</si>
  <si>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</si>
  <si>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</si>
  <si>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</si>
  <si>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</si>
  <si>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</si>
  <si>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</si>
  <si>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</si>
  <si>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</si>
  <si>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</si>
  <si>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</si>
  <si>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</si>
  <si>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</si>
  <si>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</si>
  <si>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</si>
  <si>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</si>
  <si>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</si>
  <si>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</si>
  <si>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</si>
  <si>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</si>
  <si>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</si>
  <si>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</si>
  <si>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</si>
  <si>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</si>
  <si>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</si>
  <si>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</si>
  <si>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</si>
  <si>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</si>
  <si>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Executed Agreement Expiration Date</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</si>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</sst>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66" formatCode="_(&quot;$&quot;* #,##0_);_(&quot;$&quot;* \(#,##0\);_(&quot;$&quot;* &quot;-&quot;??_);_(@_)"/>
    <numFmt numFmtId="167" formatCode="&quot;$&quot;#,##0"/>
    <numFmt numFmtId="168" formatCode="0.0"/>
    <numFmt numFmtId="169" formatCode="&quot;$&quot;#,##0.00"/>
    <numFmt numFmtId="170" formatCode="_(* #,##0.000_);_(* \(#,##0.000\);_(* &quot;-&quot;??_);_(@_)"/>
    <numFmt numFmtId="171" formatCode="0.0000"/>
    <numFmt numFmtId="172" formatCode="[$-F800]dddd\,\ mmmm\ dd\,\ yyyy"/>
    <numFmt numFmtId="173" formatCode="_(* #,##0.0_);_(* \(#,##0.0\);_(* &quot;-&quot;??_);_(@_)"/>
    <numFmt numFmtId="174" formatCode="0_);\(0\)"/>
    <numFmt numFmtId="175" formatCode="_(* #,##0.000000_);_(* \(#,##0.000000\);_(* &quot;-&quot;??_);_(@_)"/>
    <numFmt numFmtId="176" formatCode="_(* #,##0.0000_);_(* \(#,##0.0000\);_(* &quot;-&quot;??_);_(@_)"/>
    <numFmt numFmtId="177" formatCode="0.0000%"/>
    <numFmt numFmtId="178" formatCode="0.000%"/>
    <numFmt numFmtId="179" formatCode="mm/dd/yyyy"/>
    <numFmt numFmtId="180" formatCode="m/d/yyyy;@"/>
  </numFmts>
  <fonts count="93"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s>
  <fills count="47">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s>
  <borders count="92">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s>
  <cellStyleXfs count="8">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806">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6" fontId="3" fillId="0" borderId="9" xfId="0" applyNumberFormat="1" applyFont="1" applyBorder="1" applyAlignment="1">
      <alignment vertical="center"/>
    </xf>
    <xf numFmtId="166"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6" fontId="0" fillId="0" borderId="0" xfId="0" applyNumberFormat="1"/>
    <xf numFmtId="164" fontId="0" fillId="0" borderId="0" xfId="2" applyNumberFormat="1" applyFont="1"/>
    <xf numFmtId="44" fontId="0" fillId="0" borderId="0" xfId="0" applyNumberFormat="1"/>
    <xf numFmtId="165"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6" fontId="3" fillId="10" borderId="20" xfId="0" applyNumberFormat="1" applyFont="1" applyFill="1" applyBorder="1" applyAlignment="1">
      <alignment vertical="center"/>
    </xf>
    <xf numFmtId="166" fontId="3" fillId="10" borderId="20" xfId="3" applyNumberFormat="1" applyFont="1" applyFill="1" applyBorder="1" applyAlignment="1">
      <alignment vertical="center"/>
    </xf>
    <xf numFmtId="166"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4"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4"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4" fontId="0" fillId="0" borderId="0" xfId="0" applyNumberFormat="1"/>
    <xf numFmtId="0" fontId="0" fillId="3" borderId="9" xfId="0" applyFill="1" applyBorder="1" applyAlignment="1">
      <alignment horizontal="left" indent="1"/>
    </xf>
    <xf numFmtId="170"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1"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6" fontId="42" fillId="0" borderId="24" xfId="3" applyNumberFormat="1" applyFont="1" applyBorder="1"/>
    <xf numFmtId="165" fontId="42" fillId="0" borderId="45" xfId="1" applyNumberFormat="1" applyFont="1" applyBorder="1"/>
    <xf numFmtId="165" fontId="42" fillId="0" borderId="25" xfId="1" applyNumberFormat="1" applyFont="1" applyBorder="1"/>
    <xf numFmtId="165"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4" fontId="42" fillId="0" borderId="31" xfId="2" applyNumberFormat="1" applyFont="1" applyBorder="1"/>
    <xf numFmtId="164" fontId="42" fillId="0" borderId="32" xfId="2" applyNumberFormat="1" applyFont="1" applyBorder="1"/>
    <xf numFmtId="164"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4" fontId="3" fillId="0" borderId="9" xfId="2" applyNumberFormat="1" applyFont="1" applyBorder="1" applyAlignment="1">
      <alignment horizontal="right" vertical="center"/>
    </xf>
    <xf numFmtId="164" fontId="3" fillId="10" borderId="0" xfId="2" applyNumberFormat="1" applyFont="1" applyFill="1" applyAlignment="1">
      <alignment horizontal="right" vertical="center"/>
    </xf>
    <xf numFmtId="166" fontId="3" fillId="10" borderId="0" xfId="0" applyNumberFormat="1" applyFont="1" applyFill="1" applyAlignment="1">
      <alignment vertical="center"/>
    </xf>
    <xf numFmtId="0" fontId="8" fillId="11" borderId="23" xfId="0" applyFont="1" applyFill="1" applyBorder="1" applyAlignment="1">
      <alignment horizontal="center" vertical="center"/>
    </xf>
    <xf numFmtId="166"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4"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7" fontId="4" fillId="0" borderId="26" xfId="3" applyNumberFormat="1" applyFont="1" applyBorder="1" applyAlignment="1">
      <alignment horizontal="center"/>
    </xf>
    <xf numFmtId="168"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5" fontId="4" fillId="3" borderId="0" xfId="1" applyNumberFormat="1" applyFont="1" applyFill="1"/>
    <xf numFmtId="164"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6" fontId="3" fillId="2" borderId="24" xfId="0" applyNumberFormat="1" applyFont="1" applyFill="1" applyBorder="1"/>
    <xf numFmtId="165" fontId="3" fillId="2" borderId="45" xfId="1" applyNumberFormat="1" applyFont="1" applyFill="1" applyBorder="1"/>
    <xf numFmtId="165"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69"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6"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4"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6" fontId="0" fillId="10" borderId="22" xfId="3" applyNumberFormat="1" applyFont="1" applyFill="1" applyBorder="1" applyAlignment="1">
      <alignment vertical="center"/>
    </xf>
    <xf numFmtId="166"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4" fontId="0" fillId="3" borderId="0" xfId="2" applyNumberFormat="1" applyFont="1" applyFill="1" applyAlignment="1">
      <alignment horizontal="center" vertical="center"/>
    </xf>
    <xf numFmtId="0" fontId="25" fillId="3" borderId="0" xfId="0" applyFont="1" applyFill="1" applyAlignment="1">
      <alignment horizontal="center" vertical="center"/>
    </xf>
    <xf numFmtId="164" fontId="0" fillId="3" borderId="0" xfId="2" applyNumberFormat="1" applyFont="1" applyFill="1" applyAlignment="1">
      <alignment horizontal="center" vertical="center" wrapText="1"/>
    </xf>
    <xf numFmtId="166" fontId="0" fillId="3" borderId="0" xfId="3" applyNumberFormat="1" applyFont="1" applyFill="1" applyAlignment="1">
      <alignment vertical="center"/>
    </xf>
    <xf numFmtId="166"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4" fontId="0" fillId="10" borderId="18" xfId="2" applyNumberFormat="1" applyFont="1" applyFill="1" applyBorder="1" applyAlignment="1">
      <alignment horizontal="center" vertical="center"/>
    </xf>
    <xf numFmtId="164" fontId="0" fillId="10" borderId="18" xfId="2" applyNumberFormat="1" applyFont="1" applyFill="1" applyBorder="1" applyAlignment="1">
      <alignment horizontal="center" vertical="center" wrapText="1"/>
    </xf>
    <xf numFmtId="166" fontId="0" fillId="10" borderId="18" xfId="3" applyNumberFormat="1" applyFont="1" applyFill="1" applyBorder="1" applyAlignment="1">
      <alignment vertical="center"/>
    </xf>
    <xf numFmtId="166" fontId="0" fillId="10" borderId="18" xfId="3" applyNumberFormat="1" applyFont="1" applyFill="1" applyBorder="1" applyAlignment="1">
      <alignment horizontal="center" vertical="center"/>
    </xf>
    <xf numFmtId="166"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8"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8"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4"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7"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7"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7"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7"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4"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4" fontId="0" fillId="23" borderId="9" xfId="0" applyNumberFormat="1" applyFill="1" applyBorder="1"/>
    <xf numFmtId="164" fontId="11" fillId="17" borderId="0" xfId="0" applyNumberFormat="1" applyFont="1" applyFill="1"/>
    <xf numFmtId="9" fontId="0" fillId="23" borderId="0" xfId="0" applyNumberFormat="1" applyFill="1"/>
    <xf numFmtId="9" fontId="0" fillId="17" borderId="0" xfId="0" applyNumberFormat="1" applyFill="1"/>
    <xf numFmtId="44" fontId="0" fillId="23" borderId="10" xfId="3" applyFont="1" applyFill="1" applyBorder="1"/>
    <xf numFmtId="44" fontId="0" fillId="0" borderId="10" xfId="3" applyFont="1" applyBorder="1"/>
    <xf numFmtId="164" fontId="0" fillId="23" borderId="10" xfId="0" applyNumberFormat="1" applyFill="1" applyBorder="1"/>
    <xf numFmtId="164"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43"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43" fontId="0" fillId="23" borderId="10" xfId="1" applyFont="1" applyFill="1" applyBorder="1"/>
    <xf numFmtId="0" fontId="3" fillId="23" borderId="24" xfId="0" applyFont="1" applyFill="1" applyBorder="1"/>
    <xf numFmtId="166" fontId="0" fillId="23" borderId="9" xfId="3" applyNumberFormat="1" applyFont="1" applyFill="1" applyBorder="1"/>
    <xf numFmtId="166" fontId="0" fillId="23" borderId="10" xfId="3" applyNumberFormat="1" applyFont="1" applyFill="1" applyBorder="1"/>
    <xf numFmtId="0" fontId="0" fillId="0" borderId="9" xfId="3" applyNumberFormat="1" applyFont="1" applyBorder="1"/>
    <xf numFmtId="0" fontId="0" fillId="0" borderId="0" xfId="1" applyNumberFormat="1" applyFont="1"/>
    <xf numFmtId="174" fontId="0" fillId="0" borderId="0" xfId="1" applyNumberFormat="1" applyFont="1"/>
    <xf numFmtId="174" fontId="0" fillId="0" borderId="2" xfId="1" applyNumberFormat="1" applyFont="1" applyBorder="1"/>
    <xf numFmtId="44" fontId="0" fillId="0" borderId="9" xfId="3" applyFont="1"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7" fontId="4" fillId="0" borderId="26" xfId="0" applyNumberFormat="1" applyFont="1" applyBorder="1" applyAlignment="1">
      <alignment horizontal="center"/>
    </xf>
    <xf numFmtId="164"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4" fontId="42" fillId="0" borderId="0" xfId="2" applyNumberFormat="1" applyFont="1"/>
    <xf numFmtId="0" fontId="42" fillId="0" borderId="51" xfId="0" applyFont="1" applyBorder="1" applyAlignment="1">
      <alignment horizontal="center"/>
    </xf>
    <xf numFmtId="44" fontId="42" fillId="0" borderId="34" xfId="3" applyFont="1" applyBorder="1"/>
    <xf numFmtId="165"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6" fontId="4" fillId="4" borderId="46" xfId="3" applyNumberFormat="1" applyFont="1" applyFill="1" applyBorder="1" applyAlignment="1">
      <alignment horizontal="center"/>
    </xf>
    <xf numFmtId="166" fontId="3" fillId="2" borderId="25" xfId="3" applyNumberFormat="1" applyFont="1" applyFill="1" applyBorder="1"/>
    <xf numFmtId="168" fontId="4" fillId="3" borderId="7" xfId="1" applyNumberFormat="1" applyFont="1" applyFill="1" applyBorder="1" applyAlignment="1">
      <alignment horizontal="center"/>
    </xf>
    <xf numFmtId="164" fontId="4" fillId="0" borderId="27" xfId="2" applyNumberFormat="1" applyFont="1" applyBorder="1" applyAlignment="1">
      <alignment horizontal="center"/>
    </xf>
    <xf numFmtId="167" fontId="4" fillId="3" borderId="0" xfId="0" applyNumberFormat="1" applyFont="1" applyFill="1"/>
    <xf numFmtId="168"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6" fontId="0" fillId="0" borderId="3" xfId="3" applyNumberFormat="1" applyFont="1" applyBorder="1"/>
    <xf numFmtId="166" fontId="0" fillId="0" borderId="26" xfId="3" applyNumberFormat="1" applyFont="1" applyBorder="1"/>
    <xf numFmtId="166" fontId="0" fillId="0" borderId="68" xfId="3" applyNumberFormat="1" applyFont="1" applyBorder="1"/>
    <xf numFmtId="166" fontId="0" fillId="0" borderId="69" xfId="3" applyNumberFormat="1" applyFont="1" applyBorder="1"/>
    <xf numFmtId="9" fontId="0" fillId="0" borderId="8" xfId="0" applyNumberFormat="1" applyBorder="1"/>
    <xf numFmtId="166" fontId="0" fillId="0" borderId="44" xfId="3" applyNumberFormat="1" applyFont="1" applyBorder="1"/>
    <xf numFmtId="166"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6" fontId="0" fillId="7" borderId="62" xfId="3" applyNumberFormat="1" applyFont="1" applyFill="1" applyBorder="1"/>
    <xf numFmtId="166" fontId="0" fillId="7" borderId="53" xfId="3" applyNumberFormat="1" applyFont="1" applyFill="1" applyBorder="1"/>
    <xf numFmtId="164"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4" fontId="42" fillId="7" borderId="8" xfId="2" applyNumberFormat="1" applyFont="1" applyFill="1" applyBorder="1"/>
    <xf numFmtId="164" fontId="42" fillId="7" borderId="12" xfId="2" applyNumberFormat="1" applyFont="1" applyFill="1" applyBorder="1"/>
    <xf numFmtId="44" fontId="42" fillId="7" borderId="3" xfId="3" applyFont="1" applyFill="1" applyBorder="1"/>
    <xf numFmtId="44" fontId="42" fillId="7" borderId="9" xfId="3" applyFont="1" applyFill="1" applyBorder="1"/>
    <xf numFmtId="164" fontId="42" fillId="7" borderId="9" xfId="2" applyNumberFormat="1" applyFont="1" applyFill="1" applyBorder="1"/>
    <xf numFmtId="164" fontId="42" fillId="7" borderId="26" xfId="2" applyNumberFormat="1" applyFont="1" applyFill="1" applyBorder="1"/>
    <xf numFmtId="44" fontId="42" fillId="7" borderId="4" xfId="3" applyFont="1" applyFill="1" applyBorder="1"/>
    <xf numFmtId="44" fontId="42" fillId="7" borderId="10" xfId="3" applyFont="1" applyFill="1" applyBorder="1"/>
    <xf numFmtId="164" fontId="42" fillId="7" borderId="10" xfId="2" applyNumberFormat="1" applyFont="1" applyFill="1" applyBorder="1"/>
    <xf numFmtId="164" fontId="42" fillId="7" borderId="27" xfId="2" applyNumberFormat="1" applyFont="1" applyFill="1" applyBorder="1"/>
    <xf numFmtId="165" fontId="42" fillId="7" borderId="24" xfId="1" applyNumberFormat="1" applyFont="1" applyFill="1" applyBorder="1"/>
    <xf numFmtId="44" fontId="42" fillId="7" borderId="45" xfId="3" applyFont="1" applyFill="1" applyBorder="1"/>
    <xf numFmtId="164" fontId="42" fillId="7" borderId="45" xfId="2" applyNumberFormat="1" applyFont="1" applyFill="1" applyBorder="1"/>
    <xf numFmtId="164"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5" fontId="0" fillId="0" borderId="0" xfId="0" applyNumberFormat="1"/>
    <xf numFmtId="43" fontId="0" fillId="7" borderId="0" xfId="0" applyNumberFormat="1" applyFill="1"/>
    <xf numFmtId="43" fontId="0" fillId="7" borderId="0" xfId="1" applyFont="1" applyFill="1"/>
    <xf numFmtId="166"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6"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5"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4" fontId="0" fillId="0" borderId="6" xfId="2" applyNumberFormat="1" applyFont="1" applyBorder="1" applyAlignment="1">
      <alignment horizontal="center"/>
    </xf>
    <xf numFmtId="164" fontId="0" fillId="0" borderId="7" xfId="2" applyNumberFormat="1" applyFont="1" applyBorder="1" applyAlignment="1">
      <alignment horizontal="center"/>
    </xf>
    <xf numFmtId="164" fontId="0" fillId="0" borderId="9" xfId="2" applyNumberFormat="1" applyFont="1" applyBorder="1" applyAlignment="1">
      <alignment horizontal="center"/>
    </xf>
    <xf numFmtId="164" fontId="0" fillId="0" borderId="26" xfId="2" applyNumberFormat="1" applyFont="1" applyBorder="1" applyAlignment="1">
      <alignment horizontal="center"/>
    </xf>
    <xf numFmtId="164" fontId="0" fillId="0" borderId="10" xfId="2" applyNumberFormat="1" applyFont="1" applyBorder="1" applyAlignment="1">
      <alignment horizontal="center"/>
    </xf>
    <xf numFmtId="164"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6" fontId="0" fillId="0" borderId="31" xfId="3" applyNumberFormat="1" applyFont="1" applyBorder="1"/>
    <xf numFmtId="166" fontId="0" fillId="0" borderId="32" xfId="3" applyNumberFormat="1" applyFont="1" applyBorder="1"/>
    <xf numFmtId="0" fontId="0" fillId="0" borderId="33" xfId="0" applyBorder="1"/>
    <xf numFmtId="166" fontId="0" fillId="0" borderId="33" xfId="3" applyNumberFormat="1" applyFont="1" applyBorder="1"/>
    <xf numFmtId="9" fontId="0" fillId="0" borderId="0" xfId="2" applyFont="1" applyAlignment="1">
      <alignment horizontal="center"/>
    </xf>
    <xf numFmtId="166"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67"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4"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6"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6"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6"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6"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8"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6"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4" fontId="3" fillId="0" borderId="9" xfId="2" applyNumberFormat="1" applyFont="1" applyBorder="1" applyAlignment="1">
      <alignment horizontal="center" vertical="center"/>
    </xf>
    <xf numFmtId="166"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4" fontId="35" fillId="10" borderId="0" xfId="2" applyNumberFormat="1" applyFont="1" applyFill="1" applyAlignment="1">
      <alignment horizontal="center" vertical="center"/>
    </xf>
    <xf numFmtId="164"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5" fillId="3" borderId="0" xfId="0" applyFont="1" applyFill="1"/>
    <xf numFmtId="0" fontId="0" fillId="0" borderId="0" xfId="0" applyAlignment="1" applyProtection="1">
      <alignment horizontal="center" vertical="center"/>
      <protection locked="0"/>
    </xf>
    <xf numFmtId="165" fontId="4" fillId="0" borderId="0" xfId="1" applyNumberFormat="1" applyFont="1"/>
    <xf numFmtId="166"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6"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6"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6" fontId="0" fillId="0" borderId="0" xfId="1" applyNumberFormat="1" applyFont="1"/>
    <xf numFmtId="176" fontId="0" fillId="0" borderId="0" xfId="0" applyNumberFormat="1"/>
    <xf numFmtId="166"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6"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5" fontId="0" fillId="23" borderId="0" xfId="1" applyNumberFormat="1" applyFont="1" applyFill="1" applyAlignment="1">
      <alignment wrapText="1"/>
    </xf>
    <xf numFmtId="0" fontId="0" fillId="0" borderId="29" xfId="0" applyBorder="1" applyAlignment="1">
      <alignment wrapText="1"/>
    </xf>
    <xf numFmtId="166" fontId="4" fillId="4" borderId="55" xfId="3" applyNumberFormat="1" applyFont="1" applyFill="1" applyBorder="1" applyAlignment="1" applyProtection="1">
      <alignment horizontal="center"/>
      <protection hidden="1"/>
    </xf>
    <xf numFmtId="165" fontId="4" fillId="4" borderId="6" xfId="1" applyNumberFormat="1" applyFont="1" applyFill="1" applyBorder="1" applyAlignment="1" applyProtection="1">
      <alignment horizontal="center"/>
      <protection hidden="1"/>
    </xf>
    <xf numFmtId="165" fontId="4" fillId="4" borderId="7" xfId="1" applyNumberFormat="1" applyFont="1" applyFill="1" applyBorder="1" applyAlignment="1" applyProtection="1">
      <alignment horizontal="center"/>
      <protection hidden="1"/>
    </xf>
    <xf numFmtId="166" fontId="4" fillId="4" borderId="44" xfId="3" applyNumberFormat="1" applyFont="1" applyFill="1" applyBorder="1" applyAlignment="1" applyProtection="1">
      <alignment horizontal="center"/>
      <protection hidden="1"/>
    </xf>
    <xf numFmtId="165" fontId="4" fillId="4" borderId="8" xfId="1" applyNumberFormat="1" applyFont="1" applyFill="1" applyBorder="1" applyAlignment="1" applyProtection="1">
      <alignment horizontal="center"/>
      <protection hidden="1"/>
    </xf>
    <xf numFmtId="165" fontId="4" fillId="4" borderId="12" xfId="1" applyNumberFormat="1" applyFont="1" applyFill="1" applyBorder="1" applyAlignment="1" applyProtection="1">
      <alignment horizontal="center"/>
      <protection hidden="1"/>
    </xf>
    <xf numFmtId="165"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69"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5" fontId="0" fillId="0" borderId="9" xfId="1" applyNumberFormat="1" applyFont="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6" fontId="5" fillId="0" borderId="9" xfId="3" applyNumberFormat="1" applyFont="1" applyBorder="1"/>
    <xf numFmtId="166" fontId="5" fillId="0" borderId="67" xfId="3" applyNumberFormat="1" applyFont="1" applyBorder="1"/>
    <xf numFmtId="9" fontId="67"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6"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9"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44"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6"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6" fontId="45" fillId="10" borderId="0" xfId="0" applyNumberFormat="1" applyFont="1" applyFill="1" applyAlignment="1">
      <alignment vertical="center"/>
    </xf>
    <xf numFmtId="166"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70"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9"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6"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9" xfId="0" applyFont="1" applyFill="1" applyBorder="1" applyAlignment="1">
      <alignment horizontal="center" wrapText="1"/>
    </xf>
    <xf numFmtId="0" fontId="68"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6" fontId="21" fillId="7" borderId="5" xfId="3" applyNumberFormat="1" applyFont="1" applyFill="1" applyBorder="1" applyProtection="1">
      <protection locked="0"/>
    </xf>
    <xf numFmtId="0" fontId="68"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6" fontId="21" fillId="7" borderId="3" xfId="3" applyNumberFormat="1" applyFont="1" applyFill="1" applyBorder="1" applyProtection="1">
      <protection locked="0"/>
    </xf>
    <xf numFmtId="166" fontId="21" fillId="7" borderId="4" xfId="3" applyNumberFormat="1" applyFont="1" applyFill="1" applyBorder="1" applyProtection="1">
      <protection locked="0"/>
    </xf>
    <xf numFmtId="0" fontId="68"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7" fontId="0" fillId="0" borderId="12" xfId="2" applyNumberFormat="1" applyFont="1" applyBorder="1"/>
    <xf numFmtId="2" fontId="0" fillId="7" borderId="9" xfId="0" applyNumberFormat="1" applyFill="1" applyBorder="1"/>
    <xf numFmtId="10" fontId="0" fillId="7" borderId="9" xfId="2" applyNumberFormat="1" applyFont="1" applyFill="1" applyBorder="1"/>
    <xf numFmtId="44" fontId="0" fillId="0" borderId="0" xfId="3" applyFont="1" applyBorder="1"/>
    <xf numFmtId="43" fontId="0" fillId="0" borderId="0" xfId="1" applyFont="1" applyBorder="1"/>
    <xf numFmtId="43"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44"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44" fontId="26" fillId="0" borderId="30" xfId="0" applyNumberFormat="1" applyFont="1" applyBorder="1"/>
    <xf numFmtId="0" fontId="3" fillId="23" borderId="56" xfId="0" applyFont="1" applyFill="1" applyBorder="1"/>
    <xf numFmtId="0" fontId="3" fillId="23" borderId="25" xfId="0" applyFont="1" applyFill="1" applyBorder="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10" fontId="0" fillId="0" borderId="30" xfId="2" applyNumberFormat="1" applyFon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73" fillId="10" borderId="22" xfId="0" applyFont="1" applyFill="1" applyBorder="1"/>
    <xf numFmtId="43"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8" fontId="3" fillId="7" borderId="32" xfId="2" applyNumberFormat="1" applyFont="1" applyFill="1" applyBorder="1" applyAlignment="1" applyProtection="1">
      <alignment horizontal="center" vertical="center"/>
      <protection locked="0" hidden="1"/>
    </xf>
    <xf numFmtId="178"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3" fillId="0" borderId="26" xfId="0" applyFont="1" applyBorder="1"/>
    <xf numFmtId="0" fontId="3" fillId="0" borderId="14" xfId="0" applyFont="1" applyBorder="1"/>
    <xf numFmtId="0" fontId="3" fillId="0" borderId="29" xfId="0" applyFont="1" applyBorder="1"/>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6"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5" fillId="10" borderId="0" xfId="0" applyFont="1" applyFill="1" applyAlignment="1">
      <alignment horizontal="center" vertical="center"/>
    </xf>
    <xf numFmtId="0" fontId="71"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17" borderId="2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166"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44" fontId="0" fillId="0" borderId="0" xfId="3" applyFont="1" applyFill="1" applyBorder="1"/>
    <xf numFmtId="44" fontId="0" fillId="23" borderId="26" xfId="3" applyFont="1" applyFill="1" applyBorder="1"/>
    <xf numFmtId="44" fontId="0" fillId="23" borderId="27" xfId="0" applyNumberFormat="1" applyFill="1" applyBorder="1"/>
    <xf numFmtId="0" fontId="0" fillId="23" borderId="9" xfId="0" applyFill="1" applyBorder="1"/>
    <xf numFmtId="0" fontId="3" fillId="0" borderId="9" xfId="0" applyFont="1" applyBorder="1"/>
    <xf numFmtId="43" fontId="3" fillId="0" borderId="9" xfId="1" applyFont="1" applyFill="1" applyBorder="1"/>
    <xf numFmtId="0" fontId="3" fillId="0" borderId="10" xfId="0" applyFont="1" applyBorder="1"/>
    <xf numFmtId="44" fontId="0" fillId="23" borderId="9" xfId="3" applyFont="1" applyFill="1" applyBorder="1"/>
    <xf numFmtId="43" fontId="0" fillId="23" borderId="26" xfId="1" applyFont="1" applyFill="1" applyBorder="1"/>
    <xf numFmtId="43" fontId="3" fillId="0" borderId="29" xfId="1" applyFont="1" applyFill="1" applyBorder="1"/>
    <xf numFmtId="0" fontId="3" fillId="32" borderId="14" xfId="0" applyFont="1" applyFill="1" applyBorder="1" applyAlignment="1">
      <alignment horizontal="center" wrapText="1"/>
    </xf>
    <xf numFmtId="44"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69"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5" fontId="76" fillId="10" borderId="0" xfId="1" applyNumberFormat="1" applyFont="1" applyFill="1" applyAlignment="1">
      <alignment vertical="center"/>
    </xf>
    <xf numFmtId="166" fontId="0" fillId="10" borderId="0" xfId="3" applyNumberFormat="1" applyFont="1" applyFill="1" applyBorder="1" applyAlignment="1">
      <alignment horizontal="center" vertical="center"/>
    </xf>
    <xf numFmtId="0" fontId="0" fillId="0" borderId="0" xfId="0"/>
    <xf numFmtId="0" fontId="77" fillId="0" borderId="0" xfId="0" applyFont="1"/>
    <xf numFmtId="4" fontId="0" fillId="0" borderId="0" xfId="1" applyNumberFormat="1" applyFont="1" applyFill="1" applyBorder="1"/>
    <xf numFmtId="43" fontId="0" fillId="0" borderId="0" xfId="1" applyFont="1" applyFill="1" applyBorder="1"/>
    <xf numFmtId="165" fontId="0" fillId="0" borderId="0" xfId="1" applyNumberFormat="1" applyFont="1" applyAlignment="1"/>
    <xf numFmtId="0" fontId="78"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4" borderId="4" xfId="0" applyFont="1" applyFill="1" applyBorder="1" applyAlignment="1">
      <alignment horizontal="left" vertical="center"/>
    </xf>
    <xf numFmtId="0" fontId="21" fillId="3" borderId="10" xfId="0" applyFont="1" applyFill="1" applyBorder="1" applyAlignment="1" applyProtection="1">
      <alignment horizontal="center"/>
      <protection locked="0"/>
    </xf>
    <xf numFmtId="0" fontId="21" fillId="3" borderId="66" xfId="0" applyFont="1" applyFill="1" applyBorder="1" applyAlignment="1" applyProtection="1">
      <alignment horizontal="center"/>
      <protection locked="0"/>
    </xf>
    <xf numFmtId="0" fontId="10" fillId="3" borderId="30" xfId="0" applyFont="1" applyFill="1" applyBorder="1" applyAlignment="1" applyProtection="1">
      <alignment horizontal="center"/>
      <protection locked="0"/>
    </xf>
    <xf numFmtId="0" fontId="21" fillId="34" borderId="66" xfId="0" applyFont="1" applyFill="1" applyBorder="1" applyAlignment="1" applyProtection="1">
      <alignment horizont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79" fontId="0" fillId="2" borderId="8" xfId="0" applyNumberFormat="1" applyFill="1" applyBorder="1" applyAlignment="1" applyProtection="1">
      <alignment horizontal="center"/>
    </xf>
    <xf numFmtId="179"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6" fontId="21" fillId="3" borderId="58" xfId="3" applyNumberFormat="1" applyFont="1" applyFill="1" applyBorder="1" applyAlignment="1">
      <alignment horizontal="left"/>
    </xf>
    <xf numFmtId="166" fontId="21" fillId="3" borderId="50" xfId="3" applyNumberFormat="1" applyFont="1" applyFill="1" applyBorder="1" applyAlignment="1">
      <alignment horizontal="left"/>
    </xf>
    <xf numFmtId="166" fontId="21" fillId="3" borderId="66" xfId="3" applyNumberFormat="1" applyFont="1" applyFill="1" applyBorder="1" applyAlignment="1">
      <alignment horizontal="left"/>
    </xf>
    <xf numFmtId="0" fontId="30" fillId="20" borderId="80" xfId="0" applyFont="1" applyFill="1" applyBorder="1" applyAlignment="1">
      <alignment horizontal="center" wrapText="1"/>
    </xf>
    <xf numFmtId="0" fontId="0" fillId="3" borderId="0" xfId="0" applyFont="1" applyFill="1"/>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69" fontId="1" fillId="0" borderId="10" xfId="0" applyNumberFormat="1" applyFont="1" applyBorder="1" applyAlignment="1" applyProtection="1">
      <alignment horizontal="center" vertical="center"/>
      <protection locked="0"/>
    </xf>
    <xf numFmtId="0" fontId="1" fillId="0" borderId="83" xfId="0"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2" fontId="1" fillId="0" borderId="84" xfId="0" applyNumberFormat="1" applyFont="1" applyBorder="1" applyAlignment="1" applyProtection="1">
      <alignment horizontal="center" vertical="center"/>
      <protection locked="0"/>
    </xf>
    <xf numFmtId="0" fontId="0" fillId="0" borderId="0" xfId="0" applyProtection="1"/>
    <xf numFmtId="0" fontId="1" fillId="27" borderId="81" xfId="0" applyFont="1" applyFill="1" applyBorder="1" applyProtection="1"/>
    <xf numFmtId="0" fontId="1" fillId="6" borderId="4" xfId="0" applyFont="1" applyFill="1" applyBorder="1" applyAlignment="1" applyProtection="1">
      <alignment horizontal="center" vertical="center"/>
    </xf>
    <xf numFmtId="169" fontId="1" fillId="6" borderId="10" xfId="0" applyNumberFormat="1" applyFont="1" applyFill="1" applyBorder="1" applyAlignment="1" applyProtection="1">
      <alignment horizontal="center" vertical="center"/>
    </xf>
    <xf numFmtId="169"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80" fillId="36" borderId="9" xfId="0" applyFont="1" applyFill="1" applyBorder="1" applyAlignment="1">
      <alignment horizontal="center" vertical="center"/>
    </xf>
    <xf numFmtId="0" fontId="80" fillId="36" borderId="8" xfId="0" applyFont="1" applyFill="1" applyBorder="1" applyAlignment="1">
      <alignment horizontal="center" vertical="center"/>
    </xf>
    <xf numFmtId="0" fontId="80" fillId="36" borderId="8" xfId="0" applyFont="1" applyFill="1" applyBorder="1" applyAlignment="1">
      <alignment horizontal="center" vertical="center" wrapText="1"/>
    </xf>
    <xf numFmtId="166"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69"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9" fillId="0" borderId="5" xfId="0" applyFont="1" applyBorder="1" applyAlignment="1" applyProtection="1">
      <alignment horizontal="center" vertical="center"/>
      <protection locked="0"/>
    </xf>
    <xf numFmtId="0" fontId="79"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79"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1" fontId="1" fillId="6" borderId="9" xfId="0" applyNumberFormat="1" applyFont="1" applyFill="1" applyBorder="1" applyAlignment="1" applyProtection="1">
      <alignment horizontal="right"/>
    </xf>
    <xf numFmtId="171" fontId="1" fillId="6" borderId="10" xfId="0" applyNumberFormat="1" applyFont="1" applyFill="1" applyBorder="1" applyAlignment="1" applyProtection="1">
      <alignment horizontal="right"/>
    </xf>
    <xf numFmtId="0" fontId="5" fillId="2" borderId="32" xfId="0" applyFont="1" applyFill="1" applyBorder="1" applyAlignment="1"/>
    <xf numFmtId="171" fontId="1" fillId="37" borderId="9" xfId="0" applyNumberFormat="1" applyFont="1" applyFill="1" applyBorder="1" applyAlignment="1" applyProtection="1">
      <alignment horizontal="right"/>
    </xf>
    <xf numFmtId="0" fontId="1" fillId="38" borderId="9" xfId="0" applyFont="1" applyFill="1" applyBorder="1" applyAlignment="1" applyProtection="1">
      <alignment horizontal="center" vertical="center"/>
    </xf>
    <xf numFmtId="0" fontId="1" fillId="38" borderId="10" xfId="0" applyFont="1" applyFill="1" applyBorder="1" applyAlignment="1" applyProtection="1">
      <alignment horizontal="center" vertical="center"/>
    </xf>
    <xf numFmtId="0" fontId="1" fillId="38" borderId="41" xfId="0" applyFont="1" applyFill="1" applyBorder="1" applyAlignment="1" applyProtection="1">
      <alignment horizontal="center" vertical="center"/>
    </xf>
    <xf numFmtId="0" fontId="1" fillId="38"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81" fillId="6" borderId="9" xfId="5" applyFont="1" applyFill="1" applyBorder="1" applyProtection="1"/>
    <xf numFmtId="0" fontId="3" fillId="3" borderId="0" xfId="0" applyFont="1" applyFill="1" applyBorder="1" applyAlignment="1">
      <alignment horizontal="right" vertical="center" wrapText="1"/>
    </xf>
    <xf numFmtId="0" fontId="82" fillId="0" borderId="0" xfId="0" applyFont="1"/>
    <xf numFmtId="0" fontId="83"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169" fontId="21" fillId="2" borderId="6" xfId="0" applyNumberFormat="1" applyFont="1" applyFill="1" applyBorder="1" applyAlignment="1" applyProtection="1">
      <alignment horizontal="center"/>
    </xf>
    <xf numFmtId="169"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6"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6" fontId="21" fillId="3" borderId="10" xfId="3" applyNumberFormat="1" applyFont="1" applyFill="1" applyBorder="1" applyAlignment="1">
      <alignment horizontal="left"/>
    </xf>
    <xf numFmtId="165"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43" fontId="3" fillId="2" borderId="9" xfId="2" applyNumberFormat="1" applyFont="1" applyFill="1" applyBorder="1" applyAlignment="1" applyProtection="1">
      <alignment horizontal="center" vertical="center"/>
      <protection hidden="1"/>
    </xf>
    <xf numFmtId="0" fontId="0" fillId="39" borderId="9" xfId="0" applyFill="1" applyBorder="1" applyAlignment="1">
      <alignment horizontal="center" vertical="center" wrapText="1"/>
    </xf>
    <xf numFmtId="0" fontId="0" fillId="39" borderId="9" xfId="0" applyFill="1" applyBorder="1" applyAlignment="1">
      <alignment horizontal="center" vertical="center"/>
    </xf>
    <xf numFmtId="0" fontId="0" fillId="0" borderId="9" xfId="0" applyBorder="1" applyAlignment="1">
      <alignment wrapText="1"/>
    </xf>
    <xf numFmtId="0" fontId="0" fillId="0" borderId="54"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0" fontId="0" fillId="3" borderId="54"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0" fillId="0" borderId="0" xfId="0" applyAlignment="1">
      <alignment horizontal="right"/>
    </xf>
    <xf numFmtId="0" fontId="0" fillId="0" borderId="0" xfId="0" applyAlignment="1">
      <alignment horizontal="left"/>
    </xf>
    <xf numFmtId="0" fontId="0" fillId="0" borderId="42" xfId="0" applyBorder="1"/>
    <xf numFmtId="0" fontId="0" fillId="0" borderId="50" xfId="0" applyBorder="1"/>
    <xf numFmtId="0" fontId="0" fillId="0" borderId="9" xfId="0" applyBorder="1"/>
    <xf numFmtId="0" fontId="0" fillId="0" borderId="26" xfId="0" applyBorder="1"/>
    <xf numFmtId="0" fontId="0" fillId="0" borderId="0" xfId="0" applyAlignment="1">
      <alignment horizontal="center"/>
    </xf>
    <xf numFmtId="0" fontId="0" fillId="0" borderId="14" xfId="0" applyBorder="1" applyAlignment="1">
      <alignment horizontal="right"/>
    </xf>
    <xf numFmtId="0" fontId="0" fillId="0" borderId="14" xfId="0" applyBorder="1" applyAlignment="1">
      <alignment horizontal="center"/>
    </xf>
    <xf numFmtId="0" fontId="0" fillId="0" borderId="10" xfId="0" applyBorder="1"/>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8"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6" fontId="0" fillId="3" borderId="0" xfId="3" applyNumberFormat="1" applyFont="1" applyFill="1" applyBorder="1" applyAlignment="1">
      <alignment vertical="center"/>
    </xf>
    <xf numFmtId="166"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71" fillId="10" borderId="0" xfId="0" applyFont="1" applyFill="1" applyAlignment="1">
      <alignment vertical="center" wrapText="1"/>
    </xf>
    <xf numFmtId="14" fontId="26" fillId="0" borderId="0" xfId="0" applyNumberFormat="1" applyFont="1"/>
    <xf numFmtId="0" fontId="0" fillId="0" borderId="0" xfId="0" applyAlignment="1">
      <alignment vertical="top"/>
    </xf>
    <xf numFmtId="0" fontId="0" fillId="0" borderId="29" xfId="0" applyBorder="1" applyAlignment="1">
      <alignment vertical="top"/>
    </xf>
    <xf numFmtId="0" fontId="0" fillId="0" borderId="2" xfId="0" applyBorder="1" applyAlignment="1">
      <alignment vertical="top"/>
    </xf>
    <xf numFmtId="0" fontId="0" fillId="0" borderId="30" xfId="0" applyBorder="1" applyAlignment="1">
      <alignment vertical="top"/>
    </xf>
    <xf numFmtId="0" fontId="3" fillId="0" borderId="3" xfId="0" applyFont="1" applyBorder="1"/>
    <xf numFmtId="44" fontId="0" fillId="23" borderId="41" xfId="0" applyNumberFormat="1" applyFill="1" applyBorder="1"/>
    <xf numFmtId="0" fontId="0" fillId="23" borderId="41" xfId="0" applyFill="1" applyBorder="1" applyAlignment="1">
      <alignment horizontal="right"/>
    </xf>
    <xf numFmtId="14" fontId="0" fillId="23" borderId="26" xfId="0" applyNumberFormat="1" applyFill="1" applyBorder="1"/>
    <xf numFmtId="44" fontId="0" fillId="23" borderId="41" xfId="0" applyNumberFormat="1" applyFill="1" applyBorder="1" applyAlignment="1">
      <alignment horizontal="right"/>
    </xf>
    <xf numFmtId="166" fontId="27" fillId="10" borderId="22" xfId="3" applyNumberFormat="1" applyFont="1" applyFill="1" applyBorder="1" applyAlignment="1">
      <alignment vertical="center"/>
    </xf>
    <xf numFmtId="166" fontId="59"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166" fontId="0" fillId="10" borderId="0" xfId="3" applyNumberFormat="1" applyFont="1" applyFill="1" applyBorder="1" applyAlignment="1">
      <alignment horizontal="left" vertical="center"/>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8" xfId="0" applyFont="1" applyBorder="1" applyAlignment="1">
      <alignment horizontal="center" vertical="center"/>
    </xf>
    <xf numFmtId="0" fontId="3" fillId="0" borderId="79" xfId="0" applyFont="1" applyBorder="1" applyAlignment="1">
      <alignment horizontal="center" vertical="center"/>
    </xf>
    <xf numFmtId="0" fontId="3" fillId="0" borderId="52" xfId="0" applyFont="1" applyBorder="1" applyAlignment="1">
      <alignment horizontal="center" vertical="center"/>
    </xf>
    <xf numFmtId="0" fontId="59" fillId="0" borderId="4" xfId="0" applyFont="1" applyBorder="1"/>
    <xf numFmtId="14" fontId="59" fillId="0" borderId="10" xfId="0" applyNumberFormat="1" applyFont="1" applyBorder="1"/>
    <xf numFmtId="0" fontId="59" fillId="40" borderId="27" xfId="0" applyFont="1" applyFill="1" applyBorder="1"/>
    <xf numFmtId="173" fontId="1" fillId="0" borderId="54" xfId="1" applyNumberFormat="1" applyFont="1" applyBorder="1" applyAlignment="1">
      <alignment horizontal="center"/>
    </xf>
    <xf numFmtId="173" fontId="1" fillId="0" borderId="9" xfId="1" applyNumberFormat="1" applyFont="1" applyBorder="1" applyAlignment="1">
      <alignment horizontal="center"/>
    </xf>
    <xf numFmtId="173" fontId="1" fillId="0" borderId="10" xfId="1" applyNumberFormat="1" applyFont="1" applyBorder="1" applyAlignment="1">
      <alignment horizontal="center"/>
    </xf>
    <xf numFmtId="9" fontId="1" fillId="0" borderId="80"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41" borderId="9" xfId="0" applyFill="1" applyBorder="1" applyAlignment="1">
      <alignment wrapText="1"/>
    </xf>
    <xf numFmtId="0" fontId="0" fillId="41" borderId="9" xfId="0" applyFill="1" applyBorder="1"/>
    <xf numFmtId="0" fontId="0" fillId="41"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41" borderId="9" xfId="0" applyFill="1" applyBorder="1" applyAlignment="1">
      <alignment horizontal="left" vertical="center" wrapText="1"/>
    </xf>
    <xf numFmtId="0" fontId="0" fillId="41"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41" borderId="9" xfId="0" applyFill="1" applyBorder="1" applyAlignment="1">
      <alignment horizontal="left" vertical="top"/>
    </xf>
    <xf numFmtId="0" fontId="0" fillId="41" borderId="9" xfId="0" applyFill="1" applyBorder="1" applyAlignment="1">
      <alignment horizontal="left" vertical="center"/>
    </xf>
    <xf numFmtId="0" fontId="0" fillId="41"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4" fillId="10" borderId="0" xfId="0" applyFont="1" applyFill="1" applyAlignment="1">
      <alignment vertical="center" wrapText="1"/>
    </xf>
    <xf numFmtId="0" fontId="74"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4" fillId="10" borderId="22" xfId="0" applyFont="1" applyFill="1" applyBorder="1" applyAlignment="1">
      <alignment vertical="center" wrapText="1"/>
    </xf>
    <xf numFmtId="0" fontId="0" fillId="10" borderId="0" xfId="0" applyFill="1" applyAlignment="1">
      <alignment vertical="center" wrapText="1"/>
    </xf>
    <xf numFmtId="166" fontId="3" fillId="10" borderId="0" xfId="3" applyNumberFormat="1" applyFont="1" applyFill="1" applyBorder="1" applyAlignment="1">
      <alignment horizontal="center" vertical="center"/>
    </xf>
    <xf numFmtId="166" fontId="3" fillId="10" borderId="0" xfId="3" applyNumberFormat="1" applyFont="1" applyFill="1" applyBorder="1" applyAlignment="1">
      <alignment horizontal="center" vertical="center" wrapText="1"/>
    </xf>
    <xf numFmtId="169" fontId="88" fillId="10" borderId="22" xfId="0" applyNumberFormat="1" applyFont="1" applyFill="1" applyBorder="1" applyAlignment="1">
      <alignment horizontal="center" vertical="center"/>
    </xf>
    <xf numFmtId="0" fontId="71" fillId="10" borderId="18" xfId="0" applyFont="1" applyFill="1" applyBorder="1" applyAlignment="1">
      <alignment vertical="center" wrapText="1"/>
    </xf>
    <xf numFmtId="0" fontId="88"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90" fillId="43"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43" fontId="42" fillId="7" borderId="0" xfId="2" applyNumberFormat="1" applyFont="1" applyFill="1" applyBorder="1"/>
    <xf numFmtId="0" fontId="0" fillId="0" borderId="0" xfId="0"/>
    <xf numFmtId="0" fontId="3" fillId="6" borderId="86" xfId="0" applyFont="1" applyFill="1" applyBorder="1" applyAlignment="1">
      <alignment horizontal="right"/>
    </xf>
    <xf numFmtId="0" fontId="3" fillId="6" borderId="65" xfId="0" applyFont="1" applyFill="1" applyBorder="1" applyAlignment="1">
      <alignment horizontal="right"/>
    </xf>
    <xf numFmtId="0" fontId="3" fillId="6" borderId="87"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7" fontId="0" fillId="6" borderId="9" xfId="3" applyNumberFormat="1" applyFont="1" applyFill="1" applyBorder="1" applyAlignment="1" applyProtection="1">
      <alignment horizontal="center" vertical="center"/>
    </xf>
    <xf numFmtId="169"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6" fontId="0" fillId="6" borderId="9" xfId="3" applyNumberFormat="1" applyFont="1" applyFill="1" applyBorder="1" applyAlignment="1">
      <alignment horizontal="center" vertical="center"/>
    </xf>
    <xf numFmtId="167" fontId="0" fillId="6" borderId="9" xfId="3" applyNumberFormat="1" applyFont="1" applyFill="1" applyBorder="1" applyAlignment="1">
      <alignment horizontal="center" vertical="center"/>
    </xf>
    <xf numFmtId="164" fontId="0" fillId="6" borderId="9" xfId="2" applyNumberFormat="1" applyFont="1" applyFill="1" applyBorder="1" applyAlignment="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pplyProtection="1">
      <alignment horizontal="center" vertical="center"/>
      <protection locked="0"/>
    </xf>
    <xf numFmtId="166"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6"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6"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42"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42" borderId="0" xfId="0" applyFont="1" applyFill="1" applyAlignment="1" applyProtection="1">
      <alignment horizontal="center" vertical="center"/>
      <protection locked="0"/>
    </xf>
    <xf numFmtId="2" fontId="3" fillId="42" borderId="0" xfId="0" applyNumberFormat="1" applyFont="1" applyFill="1" applyAlignment="1" applyProtection="1">
      <alignment horizontal="center" vertical="center"/>
      <protection locked="0"/>
    </xf>
    <xf numFmtId="0" fontId="3" fillId="42"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42"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9"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42"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90" fillId="43" borderId="8" xfId="0" applyFont="1" applyFill="1" applyBorder="1" applyAlignment="1">
      <alignment horizontal="right"/>
    </xf>
    <xf numFmtId="0" fontId="90" fillId="43" borderId="1" xfId="0" applyFont="1" applyFill="1" applyBorder="1" applyAlignment="1">
      <alignment horizontal="right"/>
    </xf>
    <xf numFmtId="0" fontId="90" fillId="43" borderId="1" xfId="0" applyFont="1" applyFill="1" applyBorder="1"/>
    <xf numFmtId="0" fontId="91" fillId="43" borderId="1" xfId="0" applyFont="1" applyFill="1" applyBorder="1" applyAlignment="1">
      <alignment horizontal="right" vertical="center"/>
    </xf>
    <xf numFmtId="0" fontId="0" fillId="43" borderId="9" xfId="0" applyFill="1" applyBorder="1"/>
    <xf numFmtId="0" fontId="90" fillId="43" borderId="9" xfId="0" applyFont="1" applyFill="1" applyBorder="1" applyAlignment="1">
      <alignment horizontal="right"/>
    </xf>
    <xf numFmtId="0" fontId="90" fillId="43" borderId="1" xfId="0" applyFont="1" applyFill="1" applyBorder="1" applyAlignment="1">
      <alignment vertical="center"/>
    </xf>
    <xf numFmtId="0" fontId="90"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1" fontId="0" fillId="0" borderId="0" xfId="0" applyNumberFormat="1"/>
    <xf numFmtId="166" fontId="1" fillId="0" borderId="9" xfId="3" applyNumberFormat="1" applyFont="1" applyBorder="1"/>
    <xf numFmtId="166"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3" fillId="2" borderId="36" xfId="0" applyFont="1" applyFill="1" applyBorder="1" applyAlignment="1" applyProtection="1">
      <alignment horizontal="center" vertical="center" wrapText="1"/>
    </xf>
    <xf numFmtId="0" fontId="1" fillId="6" borderId="8" xfId="0" applyFont="1" applyFill="1" applyBorder="1" applyAlignment="1" applyProtection="1">
      <alignment horizontal="center" vertical="center"/>
    </xf>
    <xf numFmtId="169"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4" fontId="0" fillId="6" borderId="9" xfId="2" applyNumberFormat="1" applyFont="1" applyFill="1" applyBorder="1" applyAlignment="1" applyProtection="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42" borderId="0" xfId="0" applyFont="1" applyFill="1" applyAlignment="1" applyProtection="1">
      <alignment horizontal="right" vertical="center"/>
      <protection locked="0"/>
    </xf>
    <xf numFmtId="0" fontId="3" fillId="42"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79"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42"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90" fillId="3" borderId="8" xfId="0" applyFont="1" applyFill="1" applyBorder="1" applyAlignment="1">
      <alignment horizontal="right"/>
    </xf>
    <xf numFmtId="0" fontId="90" fillId="3" borderId="1" xfId="0" applyFont="1" applyFill="1" applyBorder="1" applyAlignment="1">
      <alignment horizontal="right"/>
    </xf>
    <xf numFmtId="0" fontId="90" fillId="3" borderId="1" xfId="0" applyFont="1" applyFill="1" applyBorder="1" applyAlignment="1">
      <alignment vertical="center"/>
    </xf>
    <xf numFmtId="0" fontId="3" fillId="42" borderId="0" xfId="0" applyFont="1" applyFill="1" applyAlignment="1">
      <alignment horizontal="center" vertical="center"/>
    </xf>
    <xf numFmtId="0" fontId="89"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61" fillId="3" borderId="2" xfId="0" applyFont="1" applyFill="1" applyBorder="1" applyAlignment="1">
      <alignment vertical="top"/>
    </xf>
    <xf numFmtId="0" fontId="61" fillId="3" borderId="2" xfId="0" applyFont="1" applyFill="1" applyBorder="1" applyAlignment="1">
      <alignment horizontal="center" vertical="center"/>
    </xf>
    <xf numFmtId="0" fontId="62" fillId="3" borderId="0" xfId="0" applyFont="1" applyFill="1" applyBorder="1" applyAlignment="1">
      <alignment vertical="top"/>
    </xf>
    <xf numFmtId="0" fontId="62" fillId="3" borderId="0" xfId="0" applyFont="1" applyFill="1" applyBorder="1" applyAlignment="1">
      <alignment horizontal="center" vertical="center"/>
    </xf>
    <xf numFmtId="0" fontId="65"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9"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4"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79" fontId="0" fillId="0" borderId="9" xfId="0" applyNumberFormat="1" applyBorder="1"/>
    <xf numFmtId="0" fontId="80" fillId="36" borderId="8" xfId="0" applyFont="1" applyFill="1" applyBorder="1" applyAlignment="1" applyProtection="1">
      <alignment horizontal="center" vertical="center" wrapText="1"/>
    </xf>
    <xf numFmtId="0" fontId="92" fillId="45"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79"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7"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42" borderId="0" xfId="0" applyFont="1" applyFill="1" applyAlignment="1" applyProtection="1">
      <alignment horizontal="right" vertical="center" wrapText="1"/>
    </xf>
    <xf numFmtId="0" fontId="80" fillId="36" borderId="9" xfId="0" applyFont="1" applyFill="1" applyBorder="1" applyAlignment="1">
      <alignment horizontal="center" vertical="center" wrapText="1"/>
    </xf>
    <xf numFmtId="169" fontId="27" fillId="10" borderId="22" xfId="0" applyNumberFormat="1" applyFont="1" applyFill="1" applyBorder="1" applyAlignment="1">
      <alignment horizontal="center" vertical="center"/>
    </xf>
    <xf numFmtId="0" fontId="0" fillId="44"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6"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7" borderId="57" xfId="0" applyFont="1" applyFill="1" applyBorder="1" applyAlignment="1" applyProtection="1">
      <alignment horizontal="center" vertical="center" wrapText="1"/>
      <protection locked="0"/>
    </xf>
    <xf numFmtId="0" fontId="3" fillId="0" borderId="0" xfId="0" applyFont="1" applyAlignment="1">
      <alignment vertical="center" wrapText="1"/>
    </xf>
    <xf numFmtId="0" fontId="3" fillId="0" borderId="0" xfId="0" applyFont="1" applyAlignment="1">
      <alignment vertical="center"/>
    </xf>
    <xf numFmtId="166" fontId="0" fillId="10" borderId="0" xfId="0" applyNumberFormat="1" applyFill="1" applyBorder="1" applyAlignment="1">
      <alignment vertical="center"/>
    </xf>
    <xf numFmtId="166"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0" fillId="0" borderId="0" xfId="0"/>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6"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9" fillId="0" borderId="44" xfId="0" applyFont="1" applyBorder="1" applyAlignment="1" applyProtection="1">
      <alignment horizontal="center" vertical="center"/>
    </xf>
    <xf numFmtId="0" fontId="79"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9" fillId="0" borderId="3" xfId="0" applyFont="1" applyBorder="1" applyAlignment="1" applyProtection="1">
      <alignment horizontal="center" vertical="center" wrapText="1"/>
    </xf>
    <xf numFmtId="0" fontId="79" fillId="0" borderId="9" xfId="0" applyFont="1" applyBorder="1" applyAlignment="1" applyProtection="1">
      <alignment horizontal="center" vertical="center" wrapText="1"/>
    </xf>
    <xf numFmtId="0" fontId="79" fillId="0" borderId="26"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1"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0" fillId="3" borderId="9" xfId="0" applyFill="1" applyBorder="1" applyAlignment="1">
      <alignment horizontal="center" vertical="center"/>
    </xf>
    <xf numFmtId="0" fontId="0" fillId="0" borderId="0" xfId="0"/>
    <xf numFmtId="0" fontId="0" fillId="0" borderId="0" xfId="0" applyAlignment="1">
      <alignment horizontal="left" wrapText="1"/>
    </xf>
    <xf numFmtId="0" fontId="0" fillId="0" borderId="41" xfId="0" applyBorder="1"/>
    <xf numFmtId="0" fontId="0" fillId="0" borderId="42" xfId="0" applyBorder="1"/>
    <xf numFmtId="0" fontId="0" fillId="0" borderId="50" xfId="0" applyBorder="1"/>
    <xf numFmtId="0" fontId="0" fillId="0" borderId="3" xfId="0" applyBorder="1"/>
    <xf numFmtId="0" fontId="0" fillId="0" borderId="9" xfId="0" applyBorder="1"/>
    <xf numFmtId="0" fontId="30" fillId="6" borderId="64" xfId="0" applyFont="1" applyFill="1" applyBorder="1" applyAlignment="1" applyProtection="1">
      <alignment horizontal="center" wrapText="1"/>
    </xf>
    <xf numFmtId="0" fontId="30" fillId="20" borderId="79"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6" fontId="27" fillId="10" borderId="22" xfId="3" applyNumberFormat="1" applyFont="1" applyFill="1" applyBorder="1" applyAlignment="1" applyProtection="1">
      <alignment vertical="center"/>
    </xf>
    <xf numFmtId="0" fontId="0" fillId="8" borderId="54" xfId="0" applyFill="1" applyBorder="1" applyAlignment="1">
      <alignment horizontal="left" vertical="center" wrapText="1"/>
    </xf>
    <xf numFmtId="0" fontId="8" fillId="3" borderId="9" xfId="0" applyFont="1" applyFill="1" applyBorder="1" applyAlignment="1">
      <alignment horizontal="center" vertical="center" wrapText="1"/>
    </xf>
    <xf numFmtId="0" fontId="0" fillId="18" borderId="54" xfId="0" applyFill="1" applyBorder="1" applyAlignment="1">
      <alignment horizontal="left"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16" borderId="54"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0" borderId="54"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2" borderId="54" xfId="0" applyFill="1" applyBorder="1" applyAlignment="1">
      <alignment horizontal="left" vertical="center" wrapText="1"/>
    </xf>
    <xf numFmtId="0" fontId="0" fillId="46" borderId="9" xfId="0" applyFill="1" applyBorder="1" applyAlignment="1">
      <alignment horizontal="left" vertical="center"/>
    </xf>
    <xf numFmtId="0" fontId="0" fillId="46" borderId="9" xfId="0" applyFill="1" applyBorder="1" applyAlignment="1">
      <alignment horizontal="left" vertical="center" wrapText="1"/>
    </xf>
    <xf numFmtId="0" fontId="0" fillId="46" borderId="54" xfId="0" applyFill="1" applyBorder="1" applyAlignment="1">
      <alignment horizontal="left" vertical="center" wrapText="1"/>
    </xf>
    <xf numFmtId="0" fontId="0" fillId="5" borderId="9" xfId="0" applyFill="1" applyBorder="1" applyAlignment="1">
      <alignment horizontal="left" vertical="center" wrapText="1"/>
    </xf>
    <xf numFmtId="0" fontId="0" fillId="5" borderId="54"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9" borderId="54" xfId="0" applyFill="1" applyBorder="1" applyAlignment="1">
      <alignment horizontal="left" vertical="center" wrapText="1"/>
    </xf>
    <xf numFmtId="0" fontId="0" fillId="3" borderId="9" xfId="0" applyFill="1" applyBorder="1" applyAlignment="1">
      <alignment horizontal="left" vertical="center"/>
    </xf>
    <xf numFmtId="0" fontId="0" fillId="3" borderId="54" xfId="0" applyFill="1" applyBorder="1" applyAlignment="1">
      <alignment horizontal="left" vertical="center" wrapText="1"/>
    </xf>
    <xf numFmtId="0" fontId="8" fillId="3" borderId="0" xfId="0" applyFont="1" applyFill="1" applyAlignment="1">
      <alignment horizontal="center" vertical="center" wrapText="1"/>
    </xf>
    <xf numFmtId="0" fontId="0" fillId="3" borderId="0" xfId="0" applyFill="1" applyAlignment="1">
      <alignment horizontal="center" vertical="center" wrapText="1"/>
    </xf>
    <xf numFmtId="0" fontId="0" fillId="46" borderId="8" xfId="0" applyFill="1" applyBorder="1" applyAlignment="1">
      <alignment horizontal="left" vertical="center" wrapText="1"/>
    </xf>
    <xf numFmtId="0" fontId="0" fillId="16" borderId="8" xfId="0" applyFill="1" applyBorder="1" applyAlignment="1">
      <alignment horizontal="left" vertical="center" wrapText="1"/>
    </xf>
    <xf numFmtId="0" fontId="0" fillId="18" borderId="8" xfId="0" applyFill="1" applyBorder="1" applyAlignment="1">
      <alignment horizontal="left" vertical="center" wrapText="1"/>
    </xf>
    <xf numFmtId="0" fontId="0" fillId="0" borderId="9" xfId="0" applyFont="1" applyBorder="1" applyAlignment="1">
      <alignment horizontal="left"/>
    </xf>
    <xf numFmtId="0" fontId="0" fillId="0" borderId="9" xfId="0" applyFont="1" applyBorder="1" applyAlignment="1">
      <alignment horizontal="left" wrapText="1"/>
    </xf>
    <xf numFmtId="0" fontId="0" fillId="0" borderId="54" xfId="0" applyBorder="1" applyAlignment="1"/>
    <xf numFmtId="0" fontId="0" fillId="0" borderId="0" xfId="0" applyAlignment="1">
      <alignment horizontal="left"/>
    </xf>
    <xf numFmtId="0" fontId="0" fillId="0" borderId="0" xfId="0" applyAlignment="1">
      <alignment horizontal="left" wrapText="1"/>
    </xf>
    <xf numFmtId="0" fontId="0" fillId="0" borderId="9" xfId="0" applyBorder="1"/>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3" fillId="6" borderId="49" xfId="0" applyFont="1" applyFill="1" applyBorder="1" applyAlignment="1">
      <alignment horizontal="left" wrapText="1"/>
    </xf>
    <xf numFmtId="0" fontId="3" fillId="6" borderId="85" xfId="0" applyFont="1" applyFill="1" applyBorder="1" applyAlignment="1">
      <alignment horizontal="left" wrapText="1"/>
    </xf>
    <xf numFmtId="0" fontId="3" fillId="3" borderId="14" xfId="0" applyFont="1" applyFill="1" applyBorder="1" applyAlignment="1">
      <alignment horizontal="center" wrapText="1"/>
    </xf>
    <xf numFmtId="0" fontId="19" fillId="3" borderId="11" xfId="0" applyFont="1" applyFill="1" applyBorder="1" applyAlignment="1">
      <alignment horizontal="left" indent="1"/>
    </xf>
    <xf numFmtId="166" fontId="3" fillId="3" borderId="31" xfId="0" applyNumberFormat="1" applyFont="1" applyFill="1" applyBorder="1" applyAlignment="1">
      <alignment horizontal="center" vertical="center"/>
    </xf>
    <xf numFmtId="166"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6" fontId="3" fillId="3" borderId="49" xfId="0" applyNumberFormat="1" applyFont="1" applyFill="1" applyBorder="1" applyAlignment="1">
      <alignment horizontal="center" vertical="center"/>
    </xf>
    <xf numFmtId="166" fontId="3" fillId="3" borderId="85" xfId="0" applyNumberFormat="1" applyFont="1" applyFill="1" applyBorder="1" applyAlignment="1">
      <alignment horizontal="center" vertical="center"/>
    </xf>
    <xf numFmtId="166" fontId="3" fillId="2" borderId="14" xfId="0" applyNumberFormat="1" applyFont="1" applyFill="1" applyBorder="1" applyAlignment="1">
      <alignment horizontal="right" vertical="center"/>
    </xf>
    <xf numFmtId="166" fontId="3" fillId="2" borderId="20" xfId="0" applyNumberFormat="1" applyFont="1" applyFill="1" applyBorder="1" applyAlignment="1">
      <alignment horizontal="right" vertical="center"/>
    </xf>
    <xf numFmtId="166" fontId="3" fillId="2" borderId="15" xfId="0" applyNumberFormat="1" applyFont="1" applyFill="1" applyBorder="1" applyAlignment="1">
      <alignment horizontal="right" vertical="center"/>
    </xf>
    <xf numFmtId="166" fontId="3" fillId="2" borderId="59" xfId="0" applyNumberFormat="1" applyFont="1" applyFill="1" applyBorder="1" applyAlignment="1">
      <alignment horizontal="right" vertical="center"/>
    </xf>
    <xf numFmtId="0" fontId="4" fillId="3" borderId="0" xfId="0" applyFont="1" applyFill="1" applyAlignment="1">
      <alignment horizontal="center"/>
    </xf>
    <xf numFmtId="166" fontId="7" fillId="2" borderId="13" xfId="0" applyNumberFormat="1" applyFont="1" applyFill="1" applyBorder="1" applyAlignment="1">
      <alignment horizontal="right" vertical="center"/>
    </xf>
    <xf numFmtId="166"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0" fillId="3" borderId="9" xfId="0" applyFill="1" applyBorder="1" applyAlignment="1">
      <alignment horizontal="center" vertical="center"/>
    </xf>
    <xf numFmtId="166" fontId="1" fillId="10" borderId="18" xfId="3" applyNumberFormat="1" applyFont="1" applyFill="1" applyBorder="1" applyAlignment="1">
      <alignment horizontal="center" vertical="center" wrapText="1"/>
    </xf>
    <xf numFmtId="166" fontId="1" fillId="10" borderId="19" xfId="3" applyNumberFormat="1" applyFont="1" applyFill="1" applyBorder="1" applyAlignment="1">
      <alignment horizontal="center" vertical="center" wrapText="1"/>
    </xf>
    <xf numFmtId="166" fontId="1" fillId="10" borderId="0" xfId="3" applyNumberFormat="1" applyFont="1" applyFill="1" applyBorder="1" applyAlignment="1">
      <alignment horizontal="center" vertical="center" wrapText="1"/>
    </xf>
    <xf numFmtId="166" fontId="1" fillId="10" borderId="20" xfId="3" applyNumberFormat="1" applyFont="1" applyFill="1" applyBorder="1" applyAlignment="1">
      <alignment horizontal="center" vertical="center" wrapText="1"/>
    </xf>
    <xf numFmtId="0" fontId="14" fillId="10" borderId="40" xfId="0" applyFont="1" applyFill="1" applyBorder="1" applyAlignment="1">
      <alignment horizontal="center" vertical="center"/>
    </xf>
    <xf numFmtId="0" fontId="0" fillId="0" borderId="0" xfId="0"/>
    <xf numFmtId="0" fontId="0" fillId="0" borderId="0" xfId="0" applyAlignment="1">
      <alignment vertical="center"/>
    </xf>
    <xf numFmtId="0" fontId="13" fillId="10" borderId="18" xfId="0"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13" fillId="10" borderId="18" xfId="0" applyFont="1" applyFill="1" applyBorder="1" applyAlignment="1">
      <alignment horizontal="center" vertical="top"/>
    </xf>
    <xf numFmtId="169"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4" fontId="1" fillId="0" borderId="4" xfId="2" applyNumberFormat="1" applyFont="1" applyBorder="1" applyAlignment="1">
      <alignment horizontal="center" vertical="center"/>
    </xf>
    <xf numFmtId="164" fontId="1" fillId="0" borderId="27" xfId="2" applyNumberFormat="1" applyFont="1" applyBorder="1" applyAlignment="1">
      <alignment horizontal="center" vertical="center"/>
    </xf>
    <xf numFmtId="9" fontId="1" fillId="0" borderId="87" xfId="0" applyNumberFormat="1" applyFont="1" applyBorder="1" applyAlignment="1">
      <alignment horizontal="center"/>
    </xf>
    <xf numFmtId="9" fontId="1" fillId="0" borderId="38" xfId="0" applyNumberFormat="1" applyFont="1" applyBorder="1" applyAlignment="1">
      <alignment horizontal="center"/>
    </xf>
    <xf numFmtId="166" fontId="6" fillId="3" borderId="6" xfId="3" applyNumberFormat="1" applyFont="1" applyFill="1" applyBorder="1" applyAlignment="1">
      <alignment horizontal="center" vertical="center"/>
    </xf>
    <xf numFmtId="166" fontId="6" fillId="3" borderId="7" xfId="3" applyNumberFormat="1" applyFont="1" applyFill="1" applyBorder="1" applyAlignment="1">
      <alignment horizontal="center" vertical="center"/>
    </xf>
    <xf numFmtId="0" fontId="3" fillId="3" borderId="0" xfId="0" applyFont="1" applyFill="1" applyBorder="1" applyAlignment="1">
      <alignment horizontal="center" vertical="center" wrapText="1"/>
    </xf>
    <xf numFmtId="0" fontId="3" fillId="3" borderId="0" xfId="0"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6"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167" fontId="1" fillId="0" borderId="3" xfId="0" applyNumberFormat="1" applyFont="1" applyBorder="1" applyAlignment="1">
      <alignment horizontal="center"/>
    </xf>
    <xf numFmtId="167" fontId="1" fillId="0" borderId="26" xfId="0" applyNumberFormat="1" applyFont="1" applyBorder="1" applyAlignment="1">
      <alignment horizont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6" fontId="6" fillId="3" borderId="10" xfId="3" applyNumberFormat="1" applyFont="1" applyFill="1" applyBorder="1" applyAlignment="1">
      <alignment horizontal="center" vertical="center"/>
    </xf>
    <xf numFmtId="166" fontId="6" fillId="3" borderId="27" xfId="3" applyNumberFormat="1" applyFont="1" applyFill="1" applyBorder="1" applyAlignment="1">
      <alignment horizontal="center" vertical="center"/>
    </xf>
    <xf numFmtId="166" fontId="3" fillId="10" borderId="18" xfId="3" applyNumberFormat="1" applyFont="1" applyFill="1" applyBorder="1" applyAlignment="1">
      <alignment horizontal="center" vertical="center"/>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4"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19" fillId="0" borderId="60" xfId="0" applyFont="1" applyBorder="1" applyAlignment="1">
      <alignment horizontal="left" vertical="top" indent="1"/>
    </xf>
    <xf numFmtId="164"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0" fillId="0" borderId="11" xfId="0" applyBorder="1" applyAlignment="1">
      <alignment vertic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9" fontId="0" fillId="7" borderId="9" xfId="0" applyNumberFormat="1" applyFill="1" applyBorder="1" applyAlignment="1" applyProtection="1">
      <alignment horizontal="center"/>
      <protection locked="0"/>
    </xf>
    <xf numFmtId="0" fontId="0" fillId="3" borderId="0" xfId="0" applyFill="1" applyAlignment="1">
      <alignment horizontal="center"/>
    </xf>
    <xf numFmtId="179" fontId="26" fillId="17" borderId="9" xfId="0" applyNumberFormat="1" applyFont="1" applyFill="1" applyBorder="1" applyAlignment="1" applyProtection="1">
      <alignment horizontal="center"/>
    </xf>
    <xf numFmtId="0" fontId="1" fillId="27" borderId="81" xfId="0" applyFont="1" applyFill="1" applyBorder="1" applyAlignment="1" applyProtection="1">
      <alignment horizontal="center"/>
    </xf>
    <xf numFmtId="0" fontId="79"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9" fillId="0" borderId="60" xfId="0" applyFont="1" applyBorder="1" applyAlignment="1" applyProtection="1">
      <alignment horizontal="center" vertical="center"/>
    </xf>
    <xf numFmtId="0" fontId="79" fillId="0" borderId="57" xfId="0" applyFont="1" applyBorder="1" applyAlignment="1" applyProtection="1">
      <alignment horizontal="center" vertical="center"/>
    </xf>
    <xf numFmtId="0" fontId="79" fillId="0" borderId="56" xfId="0" applyFont="1" applyBorder="1" applyAlignment="1" applyProtection="1">
      <alignment horizontal="center"/>
    </xf>
    <xf numFmtId="0" fontId="79" fillId="0" borderId="60" xfId="0" applyFont="1" applyBorder="1" applyAlignment="1" applyProtection="1">
      <alignment horizontal="center"/>
    </xf>
    <xf numFmtId="0" fontId="79"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79" fontId="0" fillId="6" borderId="56" xfId="0" applyNumberFormat="1" applyFill="1" applyBorder="1" applyAlignment="1" applyProtection="1">
      <alignment horizontal="center" vertical="center"/>
    </xf>
    <xf numFmtId="179" fontId="0" fillId="6" borderId="57" xfId="0" applyNumberFormat="1" applyFill="1" applyBorder="1" applyAlignment="1" applyProtection="1">
      <alignment horizontal="center" vertical="center"/>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0" fillId="16" borderId="0" xfId="0" applyFill="1" applyAlignment="1">
      <alignment horizontal="left"/>
    </xf>
    <xf numFmtId="0" fontId="0" fillId="16" borderId="29" xfId="0" applyFill="1" applyBorder="1" applyAlignment="1">
      <alignment horizontal="left"/>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72" fillId="23" borderId="56" xfId="0" applyFont="1" applyFill="1" applyBorder="1" applyAlignment="1">
      <alignment horizontal="center"/>
    </xf>
    <xf numFmtId="0" fontId="72" fillId="23" borderId="60" xfId="0" applyFont="1" applyFill="1" applyBorder="1" applyAlignment="1">
      <alignment horizontal="center"/>
    </xf>
    <xf numFmtId="0" fontId="72" fillId="23" borderId="57" xfId="0" applyFont="1" applyFill="1" applyBorder="1" applyAlignment="1">
      <alignment horizontal="center"/>
    </xf>
    <xf numFmtId="0" fontId="0" fillId="0" borderId="0" xfId="0" applyAlignment="1">
      <alignment horizontal="left"/>
    </xf>
    <xf numFmtId="0" fontId="0" fillId="0" borderId="2" xfId="0" applyBorder="1" applyAlignment="1">
      <alignment horizontal="left"/>
    </xf>
    <xf numFmtId="0" fontId="0" fillId="0" borderId="0" xfId="0" applyAlignment="1">
      <alignment horizontal="left" wrapText="1"/>
    </xf>
    <xf numFmtId="172" fontId="0" fillId="0" borderId="0" xfId="0" applyNumberFormat="1" applyAlignment="1">
      <alignment horizontal="left"/>
    </xf>
    <xf numFmtId="44" fontId="0" fillId="0" borderId="0" xfId="3" applyFont="1" applyAlignment="1">
      <alignment horizontal="left"/>
    </xf>
    <xf numFmtId="0" fontId="0" fillId="0" borderId="0" xfId="0" quotePrefix="1" applyAlignment="1">
      <alignment horizontal="left" wrapText="1"/>
    </xf>
    <xf numFmtId="14" fontId="0" fillId="0" borderId="0" xfId="0" applyNumberFormat="1" applyAlignment="1">
      <alignment horizontal="left"/>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5" fontId="3" fillId="0" borderId="62" xfId="1" applyNumberFormat="1" applyFont="1" applyBorder="1" applyAlignment="1">
      <alignment horizontal="center"/>
    </xf>
    <xf numFmtId="165"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6" fillId="0" borderId="45" xfId="0" applyFont="1" applyBorder="1" applyAlignment="1">
      <alignment horizontal="center" wrapText="1"/>
    </xf>
    <xf numFmtId="0" fontId="66"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3" borderId="29" xfId="0" applyFill="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6"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44" fontId="0" fillId="10" borderId="22" xfId="3" applyFont="1" applyFill="1" applyBorder="1" applyAlignment="1">
      <alignment horizontal="center"/>
    </xf>
    <xf numFmtId="166" fontId="0" fillId="10" borderId="22" xfId="3" applyNumberFormat="1" applyFont="1" applyFill="1" applyBorder="1" applyAlignment="1">
      <alignment horizontal="left"/>
    </xf>
    <xf numFmtId="165"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44" fontId="0" fillId="10" borderId="22" xfId="3" applyFont="1" applyFill="1" applyBorder="1" applyAlignment="1">
      <alignment horizontal="left"/>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3" fillId="0" borderId="86"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525">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1499679555650502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69" formatCode="&quot;$&quot;#,##0.00"/>
    </dxf>
    <dxf>
      <font>
        <b val="0"/>
        <i val="0"/>
        <color theme="0"/>
      </font>
      <fill>
        <patternFill>
          <bgColor rgb="FFFF0000"/>
        </patternFill>
      </fill>
    </dxf>
    <dxf>
      <numFmt numFmtId="169"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aredStrings" Target="sharedStrings.xml"/><Relationship Id="rId50"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connections" Target="connections.xml"/><Relationship Id="rId53"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theme" Target="theme/theme1.xml"/><Relationship Id="rId52"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externalLink" Target="externalLinks/externalLink2.xml"/><Relationship Id="rId48" Type="http://schemas.openxmlformats.org/officeDocument/2006/relationships/sheetMetadata" Target="metadata.xml"/><Relationship Id="rId8" Type="http://schemas.openxmlformats.org/officeDocument/2006/relationships/worksheet" Target="worksheets/sheet8.xml"/><Relationship Id="rId51" Type="http://schemas.openxmlformats.org/officeDocument/2006/relationships/customXml" Target="../customXml/item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tyles" Target="style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alcChain" Target="calcChain.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21</xdr:row>
      <xdr:rowOff>9525</xdr:rowOff>
    </xdr:from>
    <xdr:to>
      <xdr:col>2</xdr:col>
      <xdr:colOff>1275485</xdr:colOff>
      <xdr:row>22</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21</xdr:row>
      <xdr:rowOff>9525</xdr:rowOff>
    </xdr:from>
    <xdr:to>
      <xdr:col>3</xdr:col>
      <xdr:colOff>0</xdr:colOff>
      <xdr:row>22</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230</xdr:row>
      <xdr:rowOff>142875</xdr:rowOff>
    </xdr:from>
    <xdr:to>
      <xdr:col>8</xdr:col>
      <xdr:colOff>1631155</xdr:colOff>
      <xdr:row>230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230</xdr:row>
      <xdr:rowOff>107157</xdr:rowOff>
    </xdr:from>
    <xdr:to>
      <xdr:col>15</xdr:col>
      <xdr:colOff>0</xdr:colOff>
      <xdr:row>230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230</xdr:row>
      <xdr:rowOff>178595</xdr:rowOff>
    </xdr:from>
    <xdr:to>
      <xdr:col>3</xdr:col>
      <xdr:colOff>1547811</xdr:colOff>
      <xdr:row>230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Cre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2</xdr:col>
      <xdr:colOff>0</xdr:colOff>
      <xdr:row>57</xdr:row>
      <xdr:rowOff>0</xdr:rowOff>
    </xdr:from>
    <xdr:to>
      <xdr:col>5</xdr:col>
      <xdr:colOff>342900</xdr:colOff>
      <xdr:row>59</xdr:row>
      <xdr:rowOff>152400</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202406" y="8893969"/>
          <a:ext cx="2438400" cy="533400"/>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400" b="1" i="0" u="none" strike="noStrike" baseline="0">
              <a:solidFill>
                <a:schemeClr val="tx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prathima.rm\Desktop\ALC\MARKET%20FILES\9B%20ALC%20-%20mapping.xlsb.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OA Form"/>
      <sheetName val="Welcome"/>
      <sheetName val="Customer Inputs"/>
      <sheetName val="PIM Model"/>
      <sheetName val="Incentives"/>
      <sheetName val="Incentive Helper"/>
      <sheetName val="Variable Costs &amp; Income"/>
      <sheetName val="Tracking &amp; Profitability"/>
      <sheetName val="Required Info to Submit"/>
      <sheetName val="Agreement Worksheet"/>
      <sheetName val="Pricing Schedule"/>
      <sheetName val="Incentives Worksheet"/>
      <sheetName val="Variable Costs (Back)"/>
      <sheetName val="EB_CM (Back)"/>
      <sheetName val="Multi-Customer"/>
      <sheetName val="PIM Ranges"/>
      <sheetName val="Incentive Setup"/>
      <sheetName val="MDA Worksheet"/>
      <sheetName val="PRIME Upload"/>
      <sheetName val="Basket Composition"/>
      <sheetName val="PRIME Headers"/>
      <sheetName val="CC MARKET EXPENSE"/>
      <sheetName val="Margin Guidence Table"/>
      <sheetName val="Audit"/>
      <sheetName val="Mapping Sheet"/>
      <sheetName val="Modellable Customers"/>
      <sheetName val="Configurable Tab"/>
      <sheetName val="HOS_Modellable Customers"/>
      <sheetName val="Existing Customers"/>
      <sheetName val="Existing Customer Variable Exp"/>
      <sheetName val="Customer Info"/>
      <sheetName val="Variable Selling"/>
      <sheetName val="Variable Div Avgs"/>
      <sheetName val="3zip"/>
      <sheetName val="4zip"/>
      <sheetName val="5zip"/>
      <sheetName val="Prospect Slot Assumptions"/>
      <sheetName val="Margin Quartiles"/>
      <sheetName val="IMargin Quartiles"/>
      <sheetName val="Lookups"/>
      <sheetName val="Market Geography"/>
    </sheetNames>
    <sheetDataSet>
      <sheetData sheetId="0"/>
      <sheetData sheetId="1">
        <row r="2">
          <cell r="C2" t="str">
            <v>A La Carte - Local Contracting</v>
          </cell>
        </row>
        <row r="3">
          <cell r="C3" t="str">
            <v>Q1 2021 v2</v>
          </cell>
        </row>
        <row r="4">
          <cell r="C4" t="str">
            <v>Market Name:</v>
          </cell>
        </row>
        <row r="6">
          <cell r="C6" t="str">
            <v>Agreement Option:</v>
          </cell>
        </row>
        <row r="8">
          <cell r="C8" t="str">
            <v>Agreement Classification:</v>
          </cell>
        </row>
        <row r="10">
          <cell r="C10" t="str">
            <v>Is this a MDA Renewal?</v>
          </cell>
        </row>
        <row r="12">
          <cell r="C12" t="str">
            <v>Initial Agreement Terms:</v>
          </cell>
        </row>
        <row r="14">
          <cell r="C14" t="str">
            <v># of Locations:</v>
          </cell>
        </row>
        <row r="16">
          <cell r="C16" t="str">
            <v>Credit Card Payment:</v>
          </cell>
        </row>
        <row r="18">
          <cell r="C18" t="str">
            <v>Proprietary Slots Included Flag:</v>
          </cell>
        </row>
        <row r="20">
          <cell r="C20" t="str">
            <v>Proprietary Slots Additional Markup:</v>
          </cell>
        </row>
        <row r="25">
          <cell r="C25" t="str">
            <v>Market</v>
          </cell>
        </row>
        <row r="26">
          <cell r="C26" t="str">
            <v>ALBANY</v>
          </cell>
        </row>
      </sheetData>
      <sheetData sheetId="2">
        <row r="6">
          <cell r="U6" t="str">
            <v>Prospect</v>
          </cell>
        </row>
        <row r="7">
          <cell r="U7" t="str">
            <v>Prospect</v>
          </cell>
        </row>
        <row r="8">
          <cell r="U8" t="str">
            <v>Prospect</v>
          </cell>
        </row>
        <row r="9">
          <cell r="U9" t="str">
            <v>Prospect</v>
          </cell>
        </row>
        <row r="10">
          <cell r="U10" t="str">
            <v>Prospect</v>
          </cell>
        </row>
      </sheetData>
      <sheetData sheetId="3"/>
      <sheetData sheetId="4"/>
      <sheetData sheetId="5"/>
      <sheetData sheetId="6"/>
      <sheetData sheetId="7">
        <row r="2">
          <cell r="C2" t="str">
            <v>Tracking &amp; Profitability</v>
          </cell>
        </row>
        <row r="4">
          <cell r="C4" t="str">
            <v xml:space="preserve">Agreement Classification: </v>
          </cell>
        </row>
        <row r="5">
          <cell r="C5" t="str">
            <v xml:space="preserve">Initial Agreement Terms: </v>
          </cell>
        </row>
        <row r="6">
          <cell r="C6" t="str">
            <v xml:space="preserve">Annual Purchase Commitment: </v>
          </cell>
        </row>
        <row r="7">
          <cell r="C7" t="str">
            <v xml:space="preserve">Deliveries Per Customer Unit Per Week: </v>
          </cell>
        </row>
        <row r="8">
          <cell r="C8" t="str">
            <v xml:space="preserve">EB Percentage: </v>
          </cell>
        </row>
        <row r="12">
          <cell r="D12" t="str">
            <v xml:space="preserve">Gross Sales: </v>
          </cell>
        </row>
        <row r="13">
          <cell r="D13" t="str">
            <v xml:space="preserve">Gross Margin: </v>
          </cell>
        </row>
        <row r="16">
          <cell r="D16" t="str">
            <v xml:space="preserve">Increase Investment Spend: </v>
          </cell>
        </row>
        <row r="17">
          <cell r="D17" t="str">
            <v xml:space="preserve">Self Funded: </v>
          </cell>
        </row>
        <row r="20">
          <cell r="D20" t="str">
            <v xml:space="preserve">Gross TGP: </v>
          </cell>
        </row>
        <row r="22">
          <cell r="D22" t="str">
            <v>Incentive Adjustment:</v>
          </cell>
        </row>
        <row r="23">
          <cell r="D23" t="str">
            <v xml:space="preserve">Rebates: </v>
          </cell>
        </row>
        <row r="24">
          <cell r="D24" t="str">
            <v xml:space="preserve">Net TGP: </v>
          </cell>
        </row>
        <row r="26">
          <cell r="D26" t="str">
            <v xml:space="preserve">Variable Selling Expenses: </v>
          </cell>
        </row>
        <row r="27">
          <cell r="D27" t="str">
            <v xml:space="preserve">Credit Card Expense: </v>
          </cell>
        </row>
        <row r="28">
          <cell r="D28" t="str">
            <v xml:space="preserve">Variable Warehouse Expenses: </v>
          </cell>
        </row>
        <row r="29">
          <cell r="D29" t="str">
            <v xml:space="preserve">Variable Delivery Expense: </v>
          </cell>
        </row>
        <row r="31">
          <cell r="D31" t="str">
            <v xml:space="preserve">Purchase Allowance: </v>
          </cell>
        </row>
        <row r="32">
          <cell r="D32" t="str">
            <v xml:space="preserve">Other GP: </v>
          </cell>
        </row>
        <row r="33">
          <cell r="D33" t="str">
            <v>Inv. Cost Change + Freight Income + Cash Disc. + Inv. Adjustments / Cases</v>
          </cell>
        </row>
        <row r="35">
          <cell r="D35" t="str">
            <v xml:space="preserve">Contribution Margin: </v>
          </cell>
        </row>
        <row r="37">
          <cell r="D37" t="str">
            <v xml:space="preserve">Rent Charge: </v>
          </cell>
        </row>
        <row r="39">
          <cell r="D39" t="str">
            <v xml:space="preserve">Contribution Margin Less Rent: </v>
          </cell>
        </row>
      </sheetData>
      <sheetData sheetId="8">
        <row r="4">
          <cell r="E4" t="str">
            <v xml:space="preserve">Market Contact: </v>
          </cell>
        </row>
        <row r="6">
          <cell r="E6" t="str">
            <v xml:space="preserve">Legal Entity: </v>
          </cell>
        </row>
        <row r="8">
          <cell r="E8" t="str">
            <v xml:space="preserve">DBA Name: </v>
          </cell>
        </row>
        <row r="9">
          <cell r="E9" t="str">
            <v xml:space="preserve">Legal Entity Address: </v>
          </cell>
        </row>
        <row r="10">
          <cell r="E10" t="str">
            <v xml:space="preserve">Attention: </v>
          </cell>
        </row>
        <row r="11">
          <cell r="E11" t="str">
            <v xml:space="preserve">Phone Number: </v>
          </cell>
        </row>
        <row r="12">
          <cell r="E12" t="str">
            <v xml:space="preserve">Legal Entity City, State, Zip: </v>
          </cell>
        </row>
        <row r="14">
          <cell r="E14" t="str">
            <v xml:space="preserve">Agreement Effective Date: </v>
          </cell>
        </row>
        <row r="17">
          <cell r="E17" t="str">
            <v>Agreement Expiration Date:</v>
          </cell>
        </row>
        <row r="19">
          <cell r="E19" t="str">
            <v>Agreement Classification:</v>
          </cell>
        </row>
      </sheetData>
      <sheetData sheetId="9"/>
      <sheetData sheetId="10">
        <row r="5">
          <cell r="K5" t="str">
            <v>Yes</v>
          </cell>
        </row>
      </sheetData>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row r="3">
          <cell r="A3" t="str">
            <v>Branch Code</v>
          </cell>
        </row>
        <row r="4">
          <cell r="A4" t="str">
            <v>Lead Market</v>
          </cell>
        </row>
        <row r="12">
          <cell r="A12" t="str">
            <v>Minimum Percentage of Purchases to be Directed to USF</v>
          </cell>
        </row>
        <row r="14">
          <cell r="A14" t="str">
            <v>Multi Market Flag</v>
          </cell>
        </row>
        <row r="15">
          <cell r="A15" t="str">
            <v>Agreement Sub Classification</v>
          </cell>
        </row>
        <row r="16">
          <cell r="A16" t="str">
            <v>Average Cost Per Case</v>
          </cell>
        </row>
        <row r="18">
          <cell r="A18" t="str">
            <v>Maximum Distance From USF DC to Shipping Locations (miles)</v>
          </cell>
        </row>
        <row r="19">
          <cell r="A19" t="str">
            <v>Minimum Delivery Size Requirement</v>
          </cell>
        </row>
        <row r="20">
          <cell r="A20" t="str">
            <v>Minimum Delivery Fee</v>
          </cell>
        </row>
        <row r="21">
          <cell r="A21" t="str">
            <v>Split Case Surcharge Amount</v>
          </cell>
        </row>
        <row r="22">
          <cell r="A22" t="str">
            <v>Split Case Per</v>
          </cell>
        </row>
        <row r="23">
          <cell r="A23" t="str">
            <v>Minimum per Case Markup</v>
          </cell>
        </row>
        <row r="24">
          <cell r="A24" t="str">
            <v>Special Order Product Surcharge Amount</v>
          </cell>
        </row>
        <row r="25">
          <cell r="A25" t="str">
            <v>Special Order Products Surcharge Amount Type Code</v>
          </cell>
        </row>
        <row r="26">
          <cell r="A26" t="str">
            <v>Primary Form of Payment</v>
          </cell>
        </row>
        <row r="27">
          <cell r="A27" t="str">
            <v>Max Credit Terms</v>
          </cell>
        </row>
        <row r="32">
          <cell r="A32" t="str">
            <v>Market</v>
          </cell>
        </row>
        <row r="33">
          <cell r="A33" t="str">
            <v>Total</v>
          </cell>
        </row>
        <row r="34">
          <cell r="A34" t="str">
            <v>Dry</v>
          </cell>
        </row>
        <row r="35">
          <cell r="A35" t="str">
            <v>Frozen</v>
          </cell>
        </row>
        <row r="36">
          <cell r="A36" t="str">
            <v>Refrigerated</v>
          </cell>
        </row>
        <row r="37">
          <cell r="A37" t="str">
            <v>Proprietary Inventory Turn</v>
          </cell>
        </row>
        <row r="143">
          <cell r="A143" t="str">
            <v>Minimum Delivery Selection</v>
          </cell>
        </row>
        <row r="144">
          <cell r="A144" t="str">
            <v>Fuel Surcharge Included</v>
          </cell>
        </row>
        <row r="145">
          <cell r="A145" t="str">
            <v>Fuel Surcharge Per</v>
          </cell>
        </row>
        <row r="146">
          <cell r="A146" t="str">
            <v>Audit Age of Invoices</v>
          </cell>
        </row>
        <row r="147">
          <cell r="A147" t="str">
            <v>Audit Frequency Code</v>
          </cell>
        </row>
        <row r="148">
          <cell r="A148" t="str">
            <v>Audit Nbr of Invoice Line Items</v>
          </cell>
        </row>
        <row r="149">
          <cell r="A149" t="str">
            <v>CPI ECI</v>
          </cell>
        </row>
        <row r="150">
          <cell r="A150" t="str">
            <v>Margin Erosion Rate</v>
          </cell>
        </row>
        <row r="151">
          <cell r="A151" t="str">
            <v>Standard Agreement</v>
          </cell>
        </row>
        <row r="152">
          <cell r="A152" t="str">
            <v>Agreement Annual Purchase Commitment</v>
          </cell>
        </row>
        <row r="153">
          <cell r="A153" t="str">
            <v>Multi Market Flag</v>
          </cell>
        </row>
        <row r="154">
          <cell r="A154" t="str">
            <v>Lead Market</v>
          </cell>
        </row>
        <row r="155">
          <cell r="A155" t="str">
            <v>Agreement Sub Classification</v>
          </cell>
        </row>
        <row r="156">
          <cell r="A156" t="str">
            <v>Legacy Agreement Flag</v>
          </cell>
        </row>
        <row r="157">
          <cell r="A157" t="str">
            <v>Agreement Calendar</v>
          </cell>
        </row>
      </sheetData>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6.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9" sqref="B39"/>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431" t="s">
        <v>759</v>
      </c>
      <c r="B1" s="1431"/>
      <c r="C1" s="1431"/>
      <c r="D1" s="1431"/>
      <c r="E1" s="1431"/>
    </row>
    <row r="2" spans="1:5" x14ac:dyDescent="0.25">
      <c r="A2" s="1431" t="s">
        <v>760</v>
      </c>
      <c r="B2" s="1431"/>
      <c r="C2" s="1431"/>
      <c r="D2" s="1431"/>
      <c r="E2" s="1431"/>
    </row>
    <row r="3" spans="1:5" x14ac:dyDescent="0.25">
      <c r="A3" s="71"/>
    </row>
    <row r="4" spans="1:5" ht="78" customHeight="1" x14ac:dyDescent="0.25">
      <c r="A4" s="1449" t="s">
        <v>761</v>
      </c>
      <c r="B4" s="1449"/>
      <c r="C4" s="1449"/>
      <c r="D4" s="1449"/>
      <c r="E4" s="1449"/>
    </row>
    <row r="5" spans="1:5" x14ac:dyDescent="0.25">
      <c r="A5" s="71"/>
    </row>
    <row r="6" spans="1:5" ht="31.5" customHeight="1" x14ac:dyDescent="0.25">
      <c r="A6" s="1448" t="s">
        <v>762</v>
      </c>
      <c r="B6" s="1448"/>
      <c r="C6" s="1448"/>
      <c r="D6" s="1448"/>
      <c r="E6" s="1448"/>
    </row>
    <row r="7" spans="1:5" ht="15.75" thickBot="1" x14ac:dyDescent="0.3">
      <c r="A7" s="72"/>
    </row>
    <row r="8" spans="1:5" ht="15" customHeight="1" x14ac:dyDescent="0.25">
      <c r="A8" s="1442" t="s">
        <v>763</v>
      </c>
      <c r="B8" s="1443"/>
      <c r="C8" s="1443"/>
      <c r="D8" s="1443"/>
      <c r="E8" s="1444"/>
    </row>
    <row r="9" spans="1:5" ht="15" customHeight="1" thickBot="1" x14ac:dyDescent="0.3">
      <c r="A9" s="1445" t="s">
        <v>764</v>
      </c>
      <c r="B9" s="1446"/>
      <c r="C9" s="1446"/>
      <c r="D9" s="1446"/>
      <c r="E9" s="1447"/>
    </row>
    <row r="10" spans="1:5" x14ac:dyDescent="0.25">
      <c r="A10" s="73"/>
      <c r="B10" s="1439"/>
      <c r="C10" s="1439"/>
      <c r="D10" s="77"/>
    </row>
    <row r="11" spans="1:5" ht="31.5" customHeight="1" thickBot="1" x14ac:dyDescent="0.3">
      <c r="A11" s="75" t="s">
        <v>765</v>
      </c>
      <c r="B11" s="1440" t="s">
        <v>766</v>
      </c>
      <c r="C11" s="1440"/>
      <c r="D11" s="77">
        <f>Welcome!$D$4</f>
        <v>0</v>
      </c>
    </row>
    <row r="12" spans="1:5" ht="15.75" thickBot="1" x14ac:dyDescent="0.3">
      <c r="A12" s="75" t="s">
        <v>767</v>
      </c>
      <c r="B12" s="1441">
        <f>'MDA Worksheet'!$R$18</f>
        <v>0</v>
      </c>
      <c r="C12" s="1441"/>
      <c r="D12" s="73"/>
    </row>
    <row r="13" spans="1:5" x14ac:dyDescent="0.25">
      <c r="A13" s="75"/>
      <c r="B13" s="73"/>
      <c r="C13" s="74"/>
      <c r="D13" s="73"/>
    </row>
    <row r="14" spans="1:5" ht="30.75" thickBot="1" x14ac:dyDescent="0.3">
      <c r="A14" s="75" t="s">
        <v>768</v>
      </c>
      <c r="B14" s="132">
        <f>'MDA Worksheet'!$R$24</f>
        <v>0</v>
      </c>
      <c r="C14" s="73" t="s">
        <v>769</v>
      </c>
      <c r="D14" s="133" t="str">
        <f>Welcome!$D$12&amp;" Years"</f>
        <v>Select Term Years</v>
      </c>
    </row>
    <row r="15" spans="1:5" ht="15.75" thickBot="1" x14ac:dyDescent="0.3">
      <c r="A15" s="75" t="s">
        <v>770</v>
      </c>
      <c r="B15" s="120">
        <f>'MDA Worksheet'!$R$24</f>
        <v>0</v>
      </c>
      <c r="C15" s="73" t="s">
        <v>771</v>
      </c>
      <c r="D15" s="120" t="e">
        <f>'MDA Worksheet'!$AV$24</f>
        <v>#REF!</v>
      </c>
    </row>
    <row r="16" spans="1:5" x14ac:dyDescent="0.25">
      <c r="A16" s="73"/>
      <c r="B16" s="116"/>
      <c r="C16" s="73"/>
      <c r="D16" s="116"/>
    </row>
    <row r="17" spans="1:5" ht="15.75" thickBot="1" x14ac:dyDescent="0.3">
      <c r="A17" s="75" t="s">
        <v>772</v>
      </c>
      <c r="B17" s="1438"/>
      <c r="C17" s="1438"/>
      <c r="D17" s="1438"/>
      <c r="E17" s="1438"/>
    </row>
    <row r="18" spans="1:5" x14ac:dyDescent="0.25">
      <c r="A18" s="73"/>
      <c r="B18" s="116"/>
      <c r="C18" s="73"/>
      <c r="D18" s="116"/>
    </row>
    <row r="19" spans="1:5" ht="15.75" thickBot="1" x14ac:dyDescent="0.3">
      <c r="A19" s="75" t="s">
        <v>843</v>
      </c>
      <c r="B19" s="1438">
        <f>Welcome!$D$8</f>
        <v>0</v>
      </c>
      <c r="C19" s="1438"/>
      <c r="D19" s="1438"/>
      <c r="E19" s="1438"/>
    </row>
    <row r="20" spans="1:5" x14ac:dyDescent="0.25">
      <c r="A20" s="75"/>
      <c r="B20" s="116"/>
      <c r="C20" s="73"/>
      <c r="D20" s="116"/>
    </row>
    <row r="21" spans="1:5" x14ac:dyDescent="0.25">
      <c r="A21" s="119"/>
      <c r="B21" s="119"/>
      <c r="C21" s="119"/>
      <c r="D21" s="119"/>
      <c r="E21" s="41"/>
    </row>
    <row r="22" spans="1:5" x14ac:dyDescent="0.25">
      <c r="A22" s="7"/>
      <c r="B22" s="6" t="s">
        <v>231</v>
      </c>
      <c r="C22" s="35"/>
      <c r="D22" s="124" t="s">
        <v>369</v>
      </c>
      <c r="E22" s="41"/>
    </row>
    <row r="23" spans="1:5" x14ac:dyDescent="0.25">
      <c r="A23" s="8" t="s">
        <v>687</v>
      </c>
      <c r="B23" s="12">
        <f>'Tracking &amp; Profitability'!$E$12</f>
        <v>0</v>
      </c>
      <c r="C23" s="123"/>
      <c r="D23" s="64"/>
      <c r="E23" s="41"/>
    </row>
    <row r="24" spans="1:5" x14ac:dyDescent="0.25">
      <c r="A24" s="8" t="s">
        <v>490</v>
      </c>
      <c r="B24" s="12">
        <f>IFERROR('Tracking &amp; Profitability'!$E$13,0)</f>
        <v>0</v>
      </c>
      <c r="C24" s="36"/>
      <c r="D24" s="128">
        <f>IFERROR($B$24/'PIM Model'!$H$31,0)</f>
        <v>0</v>
      </c>
      <c r="E24" s="41"/>
    </row>
    <row r="25" spans="1:5" x14ac:dyDescent="0.25">
      <c r="A25" s="16" t="s">
        <v>222</v>
      </c>
      <c r="B25" s="12">
        <f>IFERROR(#REF!*-1,0)</f>
        <v>0</v>
      </c>
      <c r="C25" s="125"/>
      <c r="D25" s="128">
        <f>IFERROR($B$25/'PIM Model'!$H$31,0)</f>
        <v>0</v>
      </c>
      <c r="E25" s="41"/>
    </row>
    <row r="26" spans="1:5" s="780"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842</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844</v>
      </c>
      <c r="B34" s="12">
        <f>IFERROR($B$33/('Tracking &amp; Profitability'!E7*52),0)</f>
        <v>0</v>
      </c>
      <c r="C34" s="41"/>
      <c r="D34" s="41"/>
      <c r="E34" s="41"/>
    </row>
    <row r="35" spans="1:5" x14ac:dyDescent="0.25">
      <c r="A35" s="8" t="s">
        <v>880</v>
      </c>
      <c r="B35" s="131">
        <f>IFERROR(B33/B23,0)</f>
        <v>0</v>
      </c>
      <c r="C35" s="41"/>
      <c r="D35" s="41"/>
      <c r="E35" s="41"/>
    </row>
    <row r="36" spans="1:5" x14ac:dyDescent="0.25">
      <c r="A36" s="118"/>
      <c r="B36" s="41"/>
      <c r="C36" s="41"/>
      <c r="D36" s="122"/>
      <c r="E36" s="41"/>
    </row>
    <row r="37" spans="1:5" x14ac:dyDescent="0.25">
      <c r="A37" s="8" t="s">
        <v>773</v>
      </c>
      <c r="B37" s="12" t="e">
        <f>#REF!</f>
        <v>#REF!</v>
      </c>
      <c r="C37" s="41"/>
      <c r="D37" s="41"/>
      <c r="E37" s="41"/>
    </row>
    <row r="38" spans="1:5" x14ac:dyDescent="0.25">
      <c r="A38" s="8" t="s">
        <v>774</v>
      </c>
      <c r="B38" s="12" t="e">
        <f>SUM(#REF!-#REF!-#REF!)</f>
        <v>#REF!</v>
      </c>
      <c r="C38" s="41"/>
      <c r="D38" s="41"/>
      <c r="E38" s="41"/>
    </row>
    <row r="39" spans="1:5" x14ac:dyDescent="0.25">
      <c r="A39" s="8" t="s">
        <v>464</v>
      </c>
      <c r="B39" s="121">
        <f>'Tracking &amp; Profitability'!$E$8</f>
        <v>0</v>
      </c>
      <c r="C39" s="41"/>
      <c r="D39" s="41"/>
      <c r="E39" s="41"/>
    </row>
    <row r="40" spans="1:5" x14ac:dyDescent="0.25">
      <c r="A40" s="118"/>
      <c r="B40" s="41"/>
      <c r="C40" s="41"/>
      <c r="D40" s="41"/>
      <c r="E40" s="41"/>
    </row>
    <row r="41" spans="1:5" s="805" customFormat="1" ht="15.75" thickBot="1" x14ac:dyDescent="0.3">
      <c r="A41" s="838"/>
    </row>
    <row r="42" spans="1:5" s="805" customFormat="1" ht="15.75" thickBot="1" x14ac:dyDescent="0.3">
      <c r="A42" s="1416" t="s">
        <v>1235</v>
      </c>
      <c r="B42" s="1417"/>
      <c r="C42" s="1417"/>
      <c r="D42" s="1417"/>
      <c r="E42" s="1418"/>
    </row>
    <row r="43" spans="1:5" s="805" customFormat="1" x14ac:dyDescent="0.25">
      <c r="A43" s="1419"/>
      <c r="B43" s="1420"/>
      <c r="C43" s="1420"/>
      <c r="D43" s="1420"/>
      <c r="E43" s="1421"/>
    </row>
    <row r="44" spans="1:5" s="805" customFormat="1" ht="15.75" thickBot="1" x14ac:dyDescent="0.3">
      <c r="A44" s="1422"/>
      <c r="B44" s="1423"/>
      <c r="C44" s="1423"/>
      <c r="D44" s="1423"/>
      <c r="E44" s="1424"/>
    </row>
    <row r="45" spans="1:5" s="805" customFormat="1" ht="15.75" thickBot="1" x14ac:dyDescent="0.3">
      <c r="A45" s="838"/>
    </row>
    <row r="46" spans="1:5" s="805" customFormat="1" ht="15.75" thickBot="1" x14ac:dyDescent="0.3">
      <c r="A46" s="1416" t="s">
        <v>1224</v>
      </c>
      <c r="B46" s="1417"/>
      <c r="C46" s="1417"/>
      <c r="D46" s="1417"/>
      <c r="E46" s="1418"/>
    </row>
    <row r="47" spans="1:5" s="805" customFormat="1" ht="15.75" x14ac:dyDescent="0.25">
      <c r="A47" s="839" t="s">
        <v>1225</v>
      </c>
      <c r="B47" s="840"/>
      <c r="C47" s="851" t="s">
        <v>1226</v>
      </c>
      <c r="D47" s="841"/>
      <c r="E47" s="842"/>
    </row>
    <row r="48" spans="1:5" s="805" customFormat="1" ht="15" customHeight="1" x14ac:dyDescent="0.25">
      <c r="A48" s="839" t="s">
        <v>1227</v>
      </c>
      <c r="B48" s="840"/>
      <c r="C48" s="852"/>
      <c r="D48" s="845" t="s">
        <v>1228</v>
      </c>
      <c r="E48" s="853"/>
    </row>
    <row r="49" spans="1:5" s="805" customFormat="1" ht="15.75" x14ac:dyDescent="0.25">
      <c r="A49" s="839" t="s">
        <v>1229</v>
      </c>
      <c r="B49" s="840"/>
      <c r="C49" s="852"/>
      <c r="D49" s="841" t="s">
        <v>1230</v>
      </c>
      <c r="E49" s="853"/>
    </row>
    <row r="50" spans="1:5" s="805" customFormat="1" ht="15.75" x14ac:dyDescent="0.25">
      <c r="A50" s="839" t="s">
        <v>1231</v>
      </c>
      <c r="B50" s="840"/>
      <c r="C50" s="852"/>
      <c r="D50" s="841"/>
      <c r="E50" s="842"/>
    </row>
    <row r="51" spans="1:5" s="805" customFormat="1" ht="15.75" x14ac:dyDescent="0.25">
      <c r="A51" s="839" t="s">
        <v>1232</v>
      </c>
      <c r="B51" s="840"/>
      <c r="C51" s="852"/>
      <c r="D51" s="841" t="s">
        <v>1233</v>
      </c>
      <c r="E51" s="853"/>
    </row>
    <row r="52" spans="1:5" s="805" customFormat="1" ht="15.75" x14ac:dyDescent="0.25">
      <c r="A52" s="839" t="s">
        <v>1234</v>
      </c>
      <c r="B52" s="840"/>
      <c r="C52" s="843"/>
      <c r="D52" s="840"/>
      <c r="E52" s="844"/>
    </row>
    <row r="53" spans="1:5" s="805" customFormat="1" x14ac:dyDescent="0.25">
      <c r="A53" s="1450"/>
      <c r="B53" s="1451"/>
      <c r="C53" s="1451"/>
      <c r="D53" s="1451"/>
      <c r="E53" s="1452"/>
    </row>
    <row r="54" spans="1:5" s="805" customFormat="1" ht="15.75" thickBot="1" x14ac:dyDescent="0.3">
      <c r="A54" s="1453"/>
      <c r="B54" s="1454"/>
      <c r="C54" s="1454"/>
      <c r="D54" s="1454"/>
      <c r="E54" s="1455"/>
    </row>
    <row r="55" spans="1:5" ht="15.75" thickBot="1" x14ac:dyDescent="0.3">
      <c r="A55" s="838"/>
      <c r="B55" s="805"/>
      <c r="C55" s="805"/>
      <c r="D55" s="805"/>
      <c r="E55" s="805"/>
    </row>
    <row r="56" spans="1:5" ht="30.75" customHeight="1" thickBot="1" x14ac:dyDescent="0.3">
      <c r="A56" s="1432" t="s">
        <v>775</v>
      </c>
      <c r="B56" s="1433"/>
      <c r="C56" s="1433"/>
      <c r="D56" s="1433"/>
      <c r="E56" s="1434"/>
    </row>
    <row r="57" spans="1:5" ht="15" customHeight="1" x14ac:dyDescent="0.25">
      <c r="A57" s="76"/>
      <c r="B57" s="77"/>
      <c r="C57" s="77"/>
      <c r="D57" s="77"/>
    </row>
    <row r="58" spans="1:5" ht="30.95" customHeight="1" thickBot="1" x14ac:dyDescent="0.3">
      <c r="A58" s="78" t="s">
        <v>776</v>
      </c>
      <c r="B58" s="274"/>
      <c r="C58" s="79" t="s">
        <v>777</v>
      </c>
      <c r="D58" s="274"/>
    </row>
    <row r="59" spans="1:5" ht="30.95" customHeight="1" thickBot="1" x14ac:dyDescent="0.3">
      <c r="A59" s="80" t="s">
        <v>778</v>
      </c>
      <c r="B59" s="274"/>
      <c r="C59" s="79" t="s">
        <v>779</v>
      </c>
      <c r="D59" s="275" t="s">
        <v>780</v>
      </c>
    </row>
    <row r="60" spans="1:5" ht="30.95" customHeight="1" thickBot="1" x14ac:dyDescent="0.3">
      <c r="A60" s="78" t="s">
        <v>781</v>
      </c>
      <c r="B60" s="274"/>
      <c r="C60" s="79" t="s">
        <v>777</v>
      </c>
      <c r="D60" s="275"/>
    </row>
    <row r="61" spans="1:5" ht="30.6" customHeight="1" thickBot="1" x14ac:dyDescent="0.3">
      <c r="A61" s="80" t="s">
        <v>778</v>
      </c>
      <c r="B61" s="274"/>
      <c r="C61" s="79" t="s">
        <v>779</v>
      </c>
      <c r="D61" s="275" t="s">
        <v>782</v>
      </c>
    </row>
    <row r="62" spans="1:5" ht="30.75" customHeight="1" thickBot="1" x14ac:dyDescent="0.3">
      <c r="A62" s="78" t="s">
        <v>783</v>
      </c>
      <c r="B62" s="274"/>
      <c r="C62" s="79" t="s">
        <v>777</v>
      </c>
      <c r="D62" s="274"/>
    </row>
    <row r="63" spans="1:5" ht="30.75" customHeight="1" thickBot="1" x14ac:dyDescent="0.3">
      <c r="A63" s="80" t="s">
        <v>778</v>
      </c>
      <c r="B63" s="275"/>
      <c r="C63" s="79" t="s">
        <v>779</v>
      </c>
      <c r="D63" s="275" t="s">
        <v>784</v>
      </c>
    </row>
    <row r="64" spans="1:5" ht="30.75" customHeight="1" thickBot="1" x14ac:dyDescent="0.3">
      <c r="A64" s="78" t="s">
        <v>785</v>
      </c>
      <c r="B64" s="275"/>
      <c r="C64" s="79" t="s">
        <v>777</v>
      </c>
      <c r="D64" s="275"/>
    </row>
    <row r="65" spans="1:5" ht="30.95" customHeight="1" thickBot="1" x14ac:dyDescent="0.3">
      <c r="A65" s="80" t="s">
        <v>778</v>
      </c>
      <c r="B65" s="275"/>
      <c r="C65" s="79" t="s">
        <v>779</v>
      </c>
      <c r="D65" s="275" t="s">
        <v>786</v>
      </c>
    </row>
    <row r="66" spans="1:5" ht="15.75" thickBot="1" x14ac:dyDescent="0.3">
      <c r="A66" s="5"/>
    </row>
    <row r="67" spans="1:5" ht="15.75" thickBot="1" x14ac:dyDescent="0.3">
      <c r="A67" s="1435" t="s">
        <v>787</v>
      </c>
      <c r="B67" s="1436"/>
      <c r="C67" s="1436"/>
      <c r="D67" s="1436"/>
      <c r="E67" s="1437"/>
    </row>
    <row r="68" spans="1:5" x14ac:dyDescent="0.25">
      <c r="A68" s="76"/>
      <c r="B68" s="77"/>
      <c r="C68" s="77"/>
      <c r="D68" s="77"/>
    </row>
    <row r="69" spans="1:5" ht="30.95" customHeight="1" thickBot="1" x14ac:dyDescent="0.3">
      <c r="A69" s="78" t="s">
        <v>776</v>
      </c>
      <c r="B69" s="274"/>
      <c r="C69" s="79" t="s">
        <v>777</v>
      </c>
      <c r="D69" s="274"/>
    </row>
    <row r="70" spans="1:5" ht="30.95" customHeight="1" thickBot="1" x14ac:dyDescent="0.3">
      <c r="A70" s="80" t="s">
        <v>778</v>
      </c>
      <c r="B70" s="274"/>
      <c r="C70" s="79" t="s">
        <v>779</v>
      </c>
      <c r="D70" s="275" t="s">
        <v>788</v>
      </c>
    </row>
    <row r="71" spans="1:5" ht="30.95" customHeight="1" thickBot="1" x14ac:dyDescent="0.3">
      <c r="A71" s="78" t="s">
        <v>781</v>
      </c>
      <c r="B71" s="274"/>
      <c r="C71" s="79" t="s">
        <v>777</v>
      </c>
      <c r="D71" s="274"/>
    </row>
    <row r="72" spans="1:5" ht="30.95" customHeight="1" thickBot="1" x14ac:dyDescent="0.3">
      <c r="A72" s="80" t="s">
        <v>778</v>
      </c>
      <c r="B72" s="275"/>
      <c r="C72" s="79" t="s">
        <v>779</v>
      </c>
      <c r="D72" s="275" t="s">
        <v>789</v>
      </c>
    </row>
    <row r="73" spans="1:5" ht="15.75" thickBot="1" x14ac:dyDescent="0.3"/>
    <row r="74" spans="1:5" ht="15.75" thickBot="1" x14ac:dyDescent="0.3">
      <c r="A74" s="1425" t="s">
        <v>1236</v>
      </c>
      <c r="B74" s="1426"/>
      <c r="C74" s="1426"/>
      <c r="D74" s="1426"/>
      <c r="E74" s="1427"/>
    </row>
    <row r="75" spans="1:5" ht="30.95" customHeight="1" thickBot="1" x14ac:dyDescent="0.3">
      <c r="A75" s="849" t="s">
        <v>791</v>
      </c>
      <c r="B75" s="274"/>
      <c r="C75" s="846" t="s">
        <v>777</v>
      </c>
      <c r="D75" s="274"/>
    </row>
    <row r="76" spans="1:5" ht="30.95" customHeight="1" thickBot="1" x14ac:dyDescent="0.3">
      <c r="A76" s="849" t="s">
        <v>1237</v>
      </c>
      <c r="B76" s="274"/>
      <c r="C76" s="846" t="s">
        <v>779</v>
      </c>
      <c r="D76" s="850" t="s">
        <v>1238</v>
      </c>
    </row>
    <row r="77" spans="1:5" ht="15" customHeight="1" thickBot="1" x14ac:dyDescent="0.3">
      <c r="A77" s="847"/>
      <c r="B77" s="847"/>
      <c r="C77" s="848"/>
      <c r="D77" s="848"/>
      <c r="E77" s="848"/>
    </row>
    <row r="78" spans="1:5" ht="15.75" thickBot="1" x14ac:dyDescent="0.3">
      <c r="A78" s="1428" t="s">
        <v>790</v>
      </c>
      <c r="B78" s="1429"/>
      <c r="C78" s="1429"/>
      <c r="D78" s="1429"/>
      <c r="E78" s="1430"/>
    </row>
    <row r="79" spans="1:5" x14ac:dyDescent="0.25">
      <c r="A79" s="76"/>
      <c r="B79" s="77"/>
      <c r="C79" s="77"/>
      <c r="D79" s="77"/>
    </row>
    <row r="80" spans="1:5" ht="30.95" customHeight="1" thickBot="1" x14ac:dyDescent="0.3">
      <c r="A80" s="78" t="s">
        <v>791</v>
      </c>
      <c r="B80" s="274"/>
      <c r="C80" s="79" t="s">
        <v>777</v>
      </c>
      <c r="D80" s="274"/>
    </row>
    <row r="81" spans="1:5" ht="30.95" customHeight="1" thickBot="1" x14ac:dyDescent="0.3">
      <c r="A81" s="81" t="s">
        <v>778</v>
      </c>
      <c r="B81" s="274"/>
      <c r="C81" s="79" t="s">
        <v>779</v>
      </c>
      <c r="D81" s="274"/>
    </row>
    <row r="82" spans="1:5" ht="15.75" thickBot="1" x14ac:dyDescent="0.3">
      <c r="A82" s="5"/>
    </row>
    <row r="83" spans="1:5" ht="15.75" thickBot="1" x14ac:dyDescent="0.3">
      <c r="A83" s="1428" t="s">
        <v>792</v>
      </c>
      <c r="B83" s="1429"/>
      <c r="C83" s="1429"/>
      <c r="D83" s="1429"/>
      <c r="E83" s="1430"/>
    </row>
    <row r="84" spans="1:5" x14ac:dyDescent="0.25">
      <c r="A84" s="76"/>
      <c r="B84" s="77"/>
      <c r="C84" s="77"/>
      <c r="D84" s="77"/>
    </row>
    <row r="85" spans="1:5" ht="30.95" customHeight="1" thickBot="1" x14ac:dyDescent="0.3">
      <c r="A85" s="78" t="s">
        <v>791</v>
      </c>
      <c r="B85" s="274"/>
      <c r="C85" s="79" t="s">
        <v>777</v>
      </c>
      <c r="D85" s="274"/>
    </row>
    <row r="86" spans="1:5" ht="30.95" customHeight="1" thickBot="1" x14ac:dyDescent="0.3">
      <c r="A86" s="81" t="s">
        <v>778</v>
      </c>
      <c r="B86" s="274"/>
      <c r="C86" s="79" t="s">
        <v>779</v>
      </c>
      <c r="D86" s="274"/>
    </row>
  </sheetData>
  <sheetProtection algorithmName="SHA-512" hashValue="5Tt2riOF0i3d77D155qDg2kmBpzYjYKdKOfCwdgk7Ka44Hn6cSIfCjEFBDxAzTEppldOXgosaqdYZuiJcXTvfw==" saltValue="6UfQqmLw10AauGNP5uJf1w==" spinCount="100000" sheet="1" objects="1" scenarios="1"/>
  <mergeCells count="20">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 ref="A83:E83"/>
    <mergeCell ref="A2:E2"/>
  </mergeCells>
  <conditionalFormatting sqref="C48">
    <cfRule type="expression" dxfId="524" priority="7">
      <formula>NOT(ISBLANK(C48))</formula>
    </cfRule>
  </conditionalFormatting>
  <conditionalFormatting sqref="E48">
    <cfRule type="expression" dxfId="523" priority="6">
      <formula>NOT(ISBLANK(E48))</formula>
    </cfRule>
  </conditionalFormatting>
  <conditionalFormatting sqref="E49">
    <cfRule type="expression" dxfId="522" priority="5">
      <formula>NOT(ISBLANK(E49))</formula>
    </cfRule>
  </conditionalFormatting>
  <conditionalFormatting sqref="E51">
    <cfRule type="expression" dxfId="521" priority="4">
      <formula>NOT(ISBLANK(E51))</formula>
    </cfRule>
  </conditionalFormatting>
  <conditionalFormatting sqref="C49">
    <cfRule type="expression" dxfId="520" priority="3">
      <formula>NOT(ISBLANK(C49))</formula>
    </cfRule>
  </conditionalFormatting>
  <conditionalFormatting sqref="C50">
    <cfRule type="expression" dxfId="519" priority="2">
      <formula>NOT(ISBLANK(C50))</formula>
    </cfRule>
  </conditionalFormatting>
  <conditionalFormatting sqref="C51">
    <cfRule type="expression" dxfId="518"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tabSelected="1" zoomScaleNormal="100" workbookViewId="0">
      <selection activeCell="D12" sqref="D12"/>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871" customWidth="1"/>
    <col min="6" max="6" width="14.7109375" style="871" customWidth="1"/>
    <col min="7" max="7" width="13.140625" style="871" customWidth="1"/>
    <col min="8" max="8" width="15.140625" style="871"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494"/>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991</v>
      </c>
      <c r="AA1" s="134"/>
      <c r="AB1" s="134"/>
      <c r="AC1" s="134"/>
    </row>
    <row r="2" spans="1:29" ht="21" customHeight="1" x14ac:dyDescent="0.3">
      <c r="A2" s="141"/>
      <c r="B2" s="325"/>
      <c r="C2" s="346" t="s">
        <v>888</v>
      </c>
      <c r="D2" s="347"/>
      <c r="E2" s="347"/>
      <c r="F2" s="347"/>
      <c r="G2" s="347"/>
      <c r="H2" s="347"/>
      <c r="I2" s="348"/>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62"/>
      <c r="C3" s="1456" t="s">
        <v>1208</v>
      </c>
      <c r="D3" s="1457"/>
      <c r="E3" s="134"/>
      <c r="F3" s="134"/>
      <c r="G3" s="134"/>
      <c r="H3" s="134"/>
      <c r="I3" s="345"/>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63"/>
      <c r="C4" s="349" t="s">
        <v>1569</v>
      </c>
      <c r="D4" s="493">
        <f>'Existing Customers'!$L$2</f>
        <v>0</v>
      </c>
      <c r="E4" s="141"/>
      <c r="F4" s="141"/>
      <c r="G4" s="141"/>
      <c r="H4" s="141"/>
      <c r="I4" s="345"/>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63"/>
      <c r="C5" s="141"/>
      <c r="D5" s="141"/>
      <c r="E5" s="141"/>
      <c r="F5" s="141"/>
      <c r="G5" s="141"/>
      <c r="H5" s="141"/>
      <c r="I5" s="345"/>
      <c r="J5" s="141"/>
      <c r="K5" s="134"/>
      <c r="L5" s="134"/>
      <c r="M5" s="134"/>
      <c r="N5" s="134"/>
      <c r="O5" s="134"/>
      <c r="P5" s="134"/>
      <c r="Q5" s="134"/>
      <c r="R5" s="134"/>
      <c r="S5" s="134"/>
      <c r="T5" s="134"/>
      <c r="U5" s="134"/>
      <c r="V5" s="134"/>
      <c r="W5" s="134"/>
      <c r="X5" s="134"/>
      <c r="Y5" s="134"/>
      <c r="Z5" s="134"/>
      <c r="AA5" s="134"/>
      <c r="AB5" s="134"/>
      <c r="AC5" s="134"/>
    </row>
    <row r="6" spans="1:29" s="867" customFormat="1" ht="16.899999999999999" customHeight="1" x14ac:dyDescent="0.25">
      <c r="A6" s="141"/>
      <c r="B6" s="363"/>
      <c r="C6" s="349" t="s">
        <v>1244</v>
      </c>
      <c r="D6" s="868" t="s">
        <v>1245</v>
      </c>
      <c r="E6" s="141"/>
      <c r="F6" s="141"/>
      <c r="G6" s="141"/>
      <c r="H6" s="141"/>
      <c r="I6" s="345"/>
      <c r="J6" s="141"/>
      <c r="K6" s="134"/>
      <c r="L6" s="134"/>
      <c r="M6" s="134"/>
      <c r="N6" s="134"/>
      <c r="O6" s="134"/>
      <c r="P6" s="134"/>
      <c r="Q6" s="134"/>
      <c r="R6" s="134"/>
      <c r="S6" s="134"/>
      <c r="T6" s="134"/>
      <c r="U6" s="134"/>
      <c r="V6" s="134"/>
      <c r="W6" s="134"/>
      <c r="X6" s="134"/>
      <c r="Y6" s="134"/>
      <c r="Z6" s="134"/>
      <c r="AA6" s="134"/>
      <c r="AB6" s="134"/>
      <c r="AC6" s="134"/>
    </row>
    <row r="7" spans="1:29" s="867" customFormat="1" ht="16.899999999999999" customHeight="1" x14ac:dyDescent="0.25">
      <c r="A7" s="141"/>
      <c r="B7" s="363"/>
      <c r="C7" s="141"/>
      <c r="D7" s="141"/>
      <c r="E7" s="141"/>
      <c r="F7" s="141"/>
      <c r="G7" s="141"/>
      <c r="H7" s="141"/>
      <c r="I7" s="345"/>
      <c r="J7" s="141"/>
      <c r="K7" s="134"/>
      <c r="L7" s="134"/>
      <c r="M7" s="134"/>
      <c r="N7" s="134"/>
      <c r="O7" s="134"/>
      <c r="P7" s="134"/>
      <c r="Q7" s="134"/>
      <c r="R7" s="134"/>
      <c r="S7" s="134"/>
      <c r="T7" s="134"/>
      <c r="U7" s="134"/>
      <c r="V7" s="134"/>
      <c r="W7" s="134"/>
      <c r="X7" s="134"/>
      <c r="Y7" s="134"/>
      <c r="Z7" s="134"/>
      <c r="AA7" s="134"/>
      <c r="AB7" s="134"/>
      <c r="AC7" s="134"/>
    </row>
    <row r="8" spans="1:29" x14ac:dyDescent="0.25">
      <c r="A8" s="141"/>
      <c r="B8" s="363"/>
      <c r="C8" s="349" t="s">
        <v>1269</v>
      </c>
      <c r="D8" s="350"/>
      <c r="E8" s="141"/>
      <c r="F8" s="141"/>
      <c r="G8" s="141"/>
      <c r="H8" s="141"/>
      <c r="I8" s="345"/>
      <c r="J8" s="141"/>
      <c r="K8" s="134"/>
      <c r="L8" s="134"/>
      <c r="M8" s="134"/>
      <c r="N8" s="134"/>
      <c r="O8" s="134"/>
      <c r="P8" s="134"/>
      <c r="Q8" s="134"/>
      <c r="R8" s="134"/>
      <c r="S8" s="134"/>
      <c r="T8" s="134"/>
      <c r="U8" s="134"/>
      <c r="V8" s="134"/>
      <c r="W8" s="134"/>
      <c r="X8" s="134"/>
      <c r="Y8" s="134"/>
      <c r="Z8" s="134"/>
      <c r="AA8" s="134"/>
      <c r="AB8" s="134"/>
      <c r="AC8" s="134"/>
    </row>
    <row r="9" spans="1:29" ht="16.899999999999999" customHeight="1" x14ac:dyDescent="0.25">
      <c r="A9" s="141"/>
      <c r="B9" s="363"/>
      <c r="C9" s="737"/>
      <c r="D9" s="737"/>
      <c r="E9" s="141"/>
      <c r="F9" s="141"/>
      <c r="G9" s="141"/>
      <c r="H9" s="141"/>
      <c r="I9" s="345"/>
      <c r="J9" s="141"/>
      <c r="K9" s="134"/>
      <c r="L9" s="134"/>
      <c r="M9" s="134"/>
      <c r="N9" s="134"/>
      <c r="O9" s="134"/>
      <c r="P9" s="134"/>
      <c r="Q9" s="134"/>
      <c r="R9" s="134"/>
      <c r="S9" s="134"/>
      <c r="T9" s="134"/>
      <c r="U9" s="134"/>
      <c r="V9" s="134"/>
      <c r="W9" s="134"/>
      <c r="X9" s="134"/>
      <c r="Y9" s="134" t="s">
        <v>1172</v>
      </c>
      <c r="Z9" s="134">
        <f>D8</f>
        <v>0</v>
      </c>
      <c r="AA9" s="134"/>
      <c r="AB9" s="134"/>
      <c r="AC9" s="134"/>
    </row>
    <row r="10" spans="1:29" hidden="1" x14ac:dyDescent="0.25">
      <c r="A10" s="141"/>
      <c r="B10" s="363"/>
      <c r="C10" s="349" t="s">
        <v>1173</v>
      </c>
      <c r="D10" s="350" t="s">
        <v>653</v>
      </c>
      <c r="E10" s="141"/>
      <c r="F10" s="141"/>
      <c r="G10" s="141"/>
      <c r="H10" s="141"/>
      <c r="I10" s="345"/>
      <c r="J10" s="141"/>
      <c r="K10" s="134"/>
      <c r="L10" s="134"/>
      <c r="M10" s="134"/>
      <c r="N10" s="134"/>
      <c r="O10" s="134"/>
      <c r="P10" s="134"/>
      <c r="Q10" s="134"/>
      <c r="R10" s="134"/>
      <c r="S10" s="134"/>
      <c r="T10" s="134"/>
      <c r="U10" s="134"/>
      <c r="V10" s="134"/>
      <c r="W10" s="134"/>
      <c r="X10" s="134"/>
      <c r="Y10" s="134" t="s">
        <v>1171</v>
      </c>
      <c r="Z10" s="779" t="s">
        <v>211</v>
      </c>
      <c r="AA10" s="134"/>
      <c r="AB10" s="134"/>
      <c r="AC10" s="134"/>
    </row>
    <row r="11" spans="1:29" ht="16.899999999999999" hidden="1" customHeight="1" x14ac:dyDescent="0.25">
      <c r="A11" s="141"/>
      <c r="B11" s="363"/>
      <c r="C11" s="141"/>
      <c r="D11" s="141"/>
      <c r="E11" s="141"/>
      <c r="F11" s="141"/>
      <c r="G11" s="141"/>
      <c r="H11" s="141"/>
      <c r="I11" s="345"/>
      <c r="J11" s="141"/>
      <c r="K11" s="134"/>
      <c r="L11" s="134"/>
      <c r="M11" s="134"/>
      <c r="N11" s="134"/>
      <c r="O11" s="134"/>
      <c r="P11" s="134"/>
      <c r="Q11" s="134"/>
      <c r="R11" s="134"/>
      <c r="S11" s="134"/>
      <c r="T11" s="134"/>
      <c r="U11" s="134"/>
      <c r="V11" s="134"/>
      <c r="W11" s="134"/>
      <c r="X11" s="134"/>
      <c r="Y11" s="134">
        <v>1</v>
      </c>
      <c r="Z11" s="52" t="str">
        <f>IF(AND($Z$9="MDA",$D$10="No"),"",IF(AND($Z$9="MDA",$D$10="Yes"),Y11,IF(OR($Z$9="PON ONLY",$Z$9="MDA",$Z$9="CIA",$Z$9="PON with Existing CIA",$Z$9="PON with New CIA"),Y11,"")))</f>
        <v/>
      </c>
      <c r="AA11" s="134"/>
      <c r="AB11" s="134"/>
      <c r="AC11" s="134"/>
    </row>
    <row r="12" spans="1:29" x14ac:dyDescent="0.25">
      <c r="A12" s="141"/>
      <c r="B12" s="363"/>
      <c r="C12" s="349" t="s">
        <v>1497</v>
      </c>
      <c r="D12" s="869" t="s">
        <v>211</v>
      </c>
      <c r="E12" s="141"/>
      <c r="F12" s="141"/>
      <c r="G12" s="141"/>
      <c r="H12" s="141"/>
      <c r="I12" s="345"/>
      <c r="J12" s="141"/>
      <c r="K12" s="134"/>
      <c r="L12" s="134"/>
      <c r="M12" s="134"/>
      <c r="N12" s="134"/>
      <c r="O12" s="134"/>
      <c r="P12" s="134"/>
      <c r="Q12" s="134"/>
      <c r="R12" s="134"/>
      <c r="S12" s="134"/>
      <c r="T12" s="134"/>
      <c r="U12" s="134"/>
      <c r="V12" s="134"/>
      <c r="W12" s="134"/>
      <c r="X12" s="134"/>
      <c r="Y12" s="134">
        <v>2</v>
      </c>
      <c r="Z12" s="52" t="str">
        <f>IF(OR($Z$9="PON ONLY",$Z$9="PON with Existing CIA"),"",IF($Z$9="MDA",Y12,IF($Z$9="CIA",Y12,IF($Z$9="PON with New CIA",Y12,""))))</f>
        <v/>
      </c>
      <c r="AA12" s="134"/>
      <c r="AB12" s="134"/>
      <c r="AC12" s="134"/>
    </row>
    <row r="13" spans="1:29" s="727" customFormat="1" x14ac:dyDescent="0.25">
      <c r="A13" s="141"/>
      <c r="B13" s="363"/>
      <c r="C13" s="351"/>
      <c r="D13" s="142"/>
      <c r="E13" s="141"/>
      <c r="F13" s="141"/>
      <c r="G13" s="141"/>
      <c r="H13" s="141"/>
      <c r="I13" s="345"/>
      <c r="J13" s="141"/>
      <c r="K13" s="134"/>
      <c r="L13" s="134"/>
      <c r="M13" s="134"/>
      <c r="N13" s="134"/>
      <c r="O13" s="134"/>
      <c r="P13" s="134"/>
      <c r="Q13" s="134"/>
      <c r="R13" s="134"/>
      <c r="S13" s="134"/>
      <c r="T13" s="134"/>
      <c r="U13" s="134"/>
      <c r="V13" s="134"/>
      <c r="W13" s="134"/>
      <c r="X13" s="134"/>
      <c r="Y13" s="134">
        <v>3</v>
      </c>
      <c r="Z13" s="52" t="str">
        <f>IF(OR($Z$9="PON ONLY",$Z$9="PON with Existing CIA"),"",IF($Z$9="MDA",Y13,IF($Z$9="CIA",Y13,IF($Z$9="PON with New CIA",Y13,""))))</f>
        <v/>
      </c>
      <c r="AA13" s="134"/>
      <c r="AB13" s="134"/>
      <c r="AC13" s="134"/>
    </row>
    <row r="14" spans="1:29" x14ac:dyDescent="0.25">
      <c r="A14" s="141"/>
      <c r="B14" s="363"/>
      <c r="C14" s="349" t="s">
        <v>1568</v>
      </c>
      <c r="D14" s="350" t="s">
        <v>457</v>
      </c>
      <c r="E14" s="141"/>
      <c r="F14" s="141"/>
      <c r="G14" s="141"/>
      <c r="H14" s="141"/>
      <c r="I14" s="345"/>
      <c r="J14" s="141"/>
      <c r="K14" s="134"/>
      <c r="L14" s="134"/>
      <c r="M14" s="134"/>
      <c r="N14" s="134"/>
      <c r="O14" s="134"/>
      <c r="P14" s="134"/>
      <c r="Q14" s="134"/>
      <c r="R14" s="134"/>
      <c r="S14" s="134"/>
      <c r="T14" s="134"/>
      <c r="U14" s="134"/>
      <c r="V14" s="134"/>
      <c r="W14" s="134"/>
      <c r="X14" s="134"/>
      <c r="Y14" s="134">
        <v>4</v>
      </c>
      <c r="Z14" s="52" t="str">
        <f>IF(OR($Z$9="PON ONLY",$Z$9="PON with Existing CIA"),"",IF($Z$9="MDA",Y14,IF($Z$9="CIA",Y14,IF($Z$9="PON with New CIA",Y14,""))))</f>
        <v/>
      </c>
      <c r="AA14" s="134"/>
      <c r="AB14" s="134"/>
      <c r="AC14" s="134"/>
    </row>
    <row r="15" spans="1:29" ht="19.899999999999999" customHeight="1" x14ac:dyDescent="0.25">
      <c r="A15" s="141"/>
      <c r="B15" s="363"/>
      <c r="E15" s="141"/>
      <c r="F15" s="141"/>
      <c r="G15" s="141"/>
      <c r="H15" s="141"/>
      <c r="I15" s="345"/>
      <c r="J15" s="141"/>
      <c r="K15" s="134"/>
      <c r="L15" s="134"/>
      <c r="M15" s="134"/>
      <c r="N15" s="134"/>
      <c r="O15" s="134"/>
      <c r="P15" s="134"/>
      <c r="Q15" s="134"/>
      <c r="R15" s="134"/>
      <c r="S15" s="134"/>
      <c r="T15" s="134"/>
      <c r="U15" s="134"/>
      <c r="V15" s="134"/>
      <c r="W15" s="134"/>
      <c r="X15" s="134"/>
      <c r="Y15" s="134">
        <v>5</v>
      </c>
      <c r="Z15" s="52" t="str">
        <f>IF(OR($Z$9="PON ONLY",$Z$9="PON with Existing CIA"),"",IF($Z$9="MDA",Y15,IF($Z$9="CIA",Y15,IF($Z$9="PON with New CIA",Y15,""))))</f>
        <v/>
      </c>
      <c r="AA15" s="134"/>
      <c r="AB15" s="134"/>
      <c r="AC15" s="134"/>
    </row>
    <row r="16" spans="1:29" x14ac:dyDescent="0.25">
      <c r="A16" s="141"/>
      <c r="B16" s="363"/>
      <c r="C16" s="349" t="s">
        <v>1498</v>
      </c>
      <c r="D16" s="350" t="s">
        <v>653</v>
      </c>
      <c r="E16" s="141"/>
      <c r="F16" s="141"/>
      <c r="G16" s="141"/>
      <c r="H16" s="141"/>
      <c r="I16" s="345"/>
      <c r="J16" s="141"/>
      <c r="K16" s="134"/>
      <c r="L16" s="134"/>
      <c r="M16" s="134"/>
      <c r="N16" s="134"/>
      <c r="O16" s="134"/>
      <c r="P16" s="134"/>
      <c r="Q16" s="134"/>
      <c r="R16" s="134"/>
      <c r="S16" s="134"/>
      <c r="T16" s="134"/>
      <c r="U16" s="134"/>
      <c r="V16" s="134"/>
      <c r="W16" s="134"/>
      <c r="X16" s="134"/>
      <c r="Y16" s="134"/>
      <c r="Z16" s="134"/>
      <c r="AA16" s="134"/>
      <c r="AB16" s="134"/>
      <c r="AC16" s="134"/>
    </row>
    <row r="17" spans="1:29" s="870" customFormat="1" x14ac:dyDescent="0.25">
      <c r="A17" s="141"/>
      <c r="B17" s="363"/>
      <c r="C17" s="134"/>
      <c r="D17" s="134"/>
      <c r="E17" s="141"/>
      <c r="F17" s="141"/>
      <c r="G17" s="141"/>
      <c r="H17" s="141"/>
      <c r="I17" s="345"/>
      <c r="J17" s="141"/>
      <c r="K17" s="134"/>
      <c r="L17" s="134"/>
      <c r="M17" s="134"/>
      <c r="N17" s="134"/>
      <c r="O17" s="134"/>
      <c r="P17" s="134"/>
      <c r="Q17" s="134"/>
      <c r="R17" s="134"/>
      <c r="S17" s="134"/>
      <c r="T17" s="134"/>
      <c r="U17" s="134"/>
      <c r="V17" s="134"/>
      <c r="W17" s="134"/>
      <c r="X17" s="134"/>
      <c r="Y17" s="134"/>
      <c r="Z17" s="134"/>
      <c r="AA17" s="134"/>
      <c r="AB17" s="134"/>
      <c r="AC17" s="134"/>
    </row>
    <row r="18" spans="1:29" s="870" customFormat="1" hidden="1" x14ac:dyDescent="0.25">
      <c r="A18" s="141"/>
      <c r="B18" s="363"/>
      <c r="C18" s="349" t="s">
        <v>1499</v>
      </c>
      <c r="D18" s="350" t="s">
        <v>653</v>
      </c>
      <c r="E18" s="141"/>
      <c r="F18" s="141"/>
      <c r="G18" s="141"/>
      <c r="H18" s="141"/>
      <c r="I18" s="345"/>
      <c r="J18" s="141"/>
      <c r="K18" s="134"/>
      <c r="L18" s="134"/>
      <c r="M18" s="134"/>
      <c r="N18" s="134"/>
      <c r="O18" s="134"/>
      <c r="P18" s="134"/>
      <c r="Q18" s="134"/>
      <c r="R18" s="134"/>
      <c r="S18" s="134"/>
      <c r="T18" s="134"/>
      <c r="U18" s="134"/>
      <c r="V18" s="134"/>
      <c r="W18" s="134"/>
      <c r="X18" s="134"/>
      <c r="Y18" s="134"/>
      <c r="Z18" s="134"/>
      <c r="AA18" s="134"/>
      <c r="AB18" s="134"/>
      <c r="AC18" s="134"/>
    </row>
    <row r="19" spans="1:29" s="870" customFormat="1" hidden="1" x14ac:dyDescent="0.25">
      <c r="A19" s="141"/>
      <c r="B19" s="363"/>
      <c r="C19" s="134"/>
      <c r="D19" s="134"/>
      <c r="E19" s="141"/>
      <c r="F19" s="141"/>
      <c r="G19" s="141"/>
      <c r="H19" s="141"/>
      <c r="I19" s="345"/>
      <c r="J19" s="141"/>
      <c r="K19" s="134"/>
      <c r="L19" s="134"/>
      <c r="M19" s="134"/>
      <c r="N19" s="134"/>
      <c r="O19" s="134"/>
      <c r="P19" s="134"/>
      <c r="Q19" s="134"/>
      <c r="R19" s="134"/>
      <c r="S19" s="134"/>
      <c r="T19" s="134"/>
      <c r="U19" s="134"/>
      <c r="V19" s="134"/>
      <c r="W19" s="134"/>
      <c r="X19" s="134"/>
      <c r="Y19" s="134"/>
      <c r="Z19" s="134"/>
      <c r="AA19" s="134"/>
      <c r="AB19" s="134"/>
      <c r="AC19" s="134"/>
    </row>
    <row r="20" spans="1:29" s="870" customFormat="1" hidden="1" x14ac:dyDescent="0.25">
      <c r="A20" s="141"/>
      <c r="B20" s="363"/>
      <c r="C20" s="349" t="s">
        <v>1570</v>
      </c>
      <c r="D20" s="872"/>
      <c r="E20" s="141"/>
      <c r="F20" s="141"/>
      <c r="G20" s="141"/>
      <c r="H20" s="141"/>
      <c r="I20" s="345"/>
      <c r="J20" s="141"/>
      <c r="K20" s="134"/>
      <c r="L20" s="134"/>
      <c r="M20" s="134"/>
      <c r="N20" s="134"/>
      <c r="O20" s="134"/>
      <c r="P20" s="134"/>
      <c r="Q20" s="134"/>
      <c r="R20" s="134"/>
      <c r="S20" s="134"/>
      <c r="T20" s="134"/>
      <c r="U20" s="134"/>
      <c r="V20" s="134"/>
      <c r="W20" s="134"/>
      <c r="X20" s="134"/>
      <c r="Y20" s="134"/>
      <c r="Z20" s="134"/>
      <c r="AA20" s="134"/>
      <c r="AB20" s="134"/>
      <c r="AC20" s="134"/>
    </row>
    <row r="21" spans="1:29" s="871" customFormat="1" hidden="1" x14ac:dyDescent="0.25">
      <c r="A21" s="141"/>
      <c r="B21" s="363"/>
      <c r="C21" s="134"/>
      <c r="D21" s="134"/>
      <c r="E21" s="134"/>
      <c r="F21" s="134"/>
      <c r="G21" s="134"/>
      <c r="H21" s="134"/>
      <c r="I21" s="345"/>
      <c r="J21" s="141"/>
      <c r="K21" s="134"/>
      <c r="L21" s="134"/>
      <c r="M21" s="134"/>
      <c r="N21" s="134"/>
      <c r="O21" s="134"/>
      <c r="P21" s="134"/>
      <c r="Q21" s="134"/>
      <c r="R21" s="134"/>
      <c r="S21" s="134"/>
      <c r="T21" s="134"/>
      <c r="U21" s="134"/>
      <c r="V21" s="134"/>
      <c r="W21" s="134"/>
      <c r="X21" s="134"/>
      <c r="Y21" s="134"/>
      <c r="Z21" s="134"/>
      <c r="AA21" s="134"/>
      <c r="AB21" s="134"/>
      <c r="AC21" s="134"/>
    </row>
    <row r="22" spans="1:29" s="134" customFormat="1" x14ac:dyDescent="0.25">
      <c r="A22" s="141"/>
      <c r="B22" s="363"/>
      <c r="I22" s="345"/>
      <c r="J22" s="141"/>
    </row>
    <row r="23" spans="1:29" s="134" customFormat="1" x14ac:dyDescent="0.25">
      <c r="A23" s="141"/>
      <c r="B23" s="363"/>
      <c r="I23" s="345"/>
      <c r="J23" s="141"/>
    </row>
    <row r="24" spans="1:29" s="871" customFormat="1" x14ac:dyDescent="0.25">
      <c r="A24" s="141"/>
      <c r="B24" s="363"/>
      <c r="C24" s="134"/>
      <c r="D24" s="134"/>
      <c r="E24" s="134"/>
      <c r="F24" s="134"/>
      <c r="G24" s="134"/>
      <c r="H24" s="134"/>
      <c r="I24" s="345"/>
      <c r="J24" s="141"/>
      <c r="K24" s="134"/>
      <c r="L24" s="134"/>
      <c r="M24" s="134"/>
      <c r="N24" s="134"/>
      <c r="O24" s="134"/>
      <c r="P24" s="134"/>
      <c r="Q24" s="134"/>
      <c r="R24" s="134"/>
      <c r="S24" s="134"/>
      <c r="T24" s="134"/>
      <c r="U24" s="134"/>
      <c r="V24" s="134"/>
      <c r="W24" s="134"/>
      <c r="X24" s="134"/>
      <c r="Y24" s="134"/>
      <c r="Z24" s="134"/>
      <c r="AA24" s="134"/>
      <c r="AB24" s="134"/>
      <c r="AC24" s="134"/>
    </row>
    <row r="25" spans="1:29" s="871" customFormat="1" ht="29.25" hidden="1" customHeight="1" x14ac:dyDescent="0.25">
      <c r="A25" s="141"/>
      <c r="B25" s="363"/>
      <c r="C25" s="873" t="s">
        <v>245</v>
      </c>
      <c r="D25" s="876" t="s">
        <v>657</v>
      </c>
      <c r="E25" s="876" t="s">
        <v>1248</v>
      </c>
      <c r="F25" s="876" t="s">
        <v>1249</v>
      </c>
      <c r="G25" s="875" t="s">
        <v>266</v>
      </c>
      <c r="H25" s="874" t="s">
        <v>1250</v>
      </c>
      <c r="I25" s="345"/>
      <c r="J25" s="141"/>
      <c r="K25" s="134"/>
      <c r="L25" s="134"/>
      <c r="M25" s="134"/>
      <c r="N25" s="134"/>
      <c r="O25" s="134"/>
      <c r="P25" s="134"/>
      <c r="Q25" s="134"/>
      <c r="R25" s="134"/>
      <c r="S25" s="134"/>
      <c r="T25" s="134"/>
      <c r="U25" s="134"/>
      <c r="V25" s="134"/>
      <c r="W25" s="134"/>
      <c r="X25" s="134"/>
      <c r="Y25" s="134"/>
      <c r="Z25" s="134"/>
      <c r="AA25" s="134"/>
      <c r="AB25" s="134"/>
      <c r="AC25" s="134"/>
    </row>
    <row r="26" spans="1:29" s="871" customFormat="1" ht="26.25" hidden="1" customHeight="1" thickBot="1" x14ac:dyDescent="0.3">
      <c r="A26" s="141"/>
      <c r="B26" s="363"/>
      <c r="C26" s="877">
        <f>D4</f>
        <v>0</v>
      </c>
      <c r="D26" s="878"/>
      <c r="E26" s="878"/>
      <c r="F26" s="879"/>
      <c r="G26" s="881">
        <f>D26+E26+F26</f>
        <v>0</v>
      </c>
      <c r="H26" s="880">
        <v>5</v>
      </c>
      <c r="I26" s="345"/>
      <c r="J26" s="141"/>
      <c r="K26" s="134"/>
      <c r="L26" s="134"/>
      <c r="M26" s="134"/>
      <c r="N26" s="134"/>
      <c r="O26" s="134"/>
      <c r="P26" s="134"/>
      <c r="Q26" s="134"/>
      <c r="R26" s="134"/>
      <c r="S26" s="134"/>
      <c r="T26" s="134"/>
      <c r="U26" s="134"/>
      <c r="V26" s="134"/>
      <c r="W26" s="134"/>
      <c r="X26" s="134"/>
      <c r="Y26" s="134"/>
      <c r="Z26" s="134"/>
      <c r="AA26" s="134"/>
      <c r="AB26" s="134"/>
      <c r="AC26" s="134"/>
    </row>
    <row r="27" spans="1:29" ht="19.899999999999999" customHeight="1" thickBot="1" x14ac:dyDescent="0.3">
      <c r="A27" s="141"/>
      <c r="B27" s="352"/>
      <c r="C27" s="364"/>
      <c r="D27" s="381"/>
      <c r="E27" s="381"/>
      <c r="F27" s="381"/>
      <c r="G27" s="381"/>
      <c r="H27" s="381"/>
      <c r="I27" s="353"/>
      <c r="J27" s="141"/>
      <c r="K27" s="134"/>
      <c r="L27" s="134"/>
      <c r="M27" s="134"/>
      <c r="N27" s="134"/>
      <c r="O27" s="134"/>
      <c r="P27" s="134"/>
      <c r="Q27" s="134"/>
      <c r="R27" s="134"/>
      <c r="S27" s="134"/>
      <c r="T27" s="134"/>
      <c r="U27" s="134"/>
      <c r="V27" s="134"/>
      <c r="W27" s="134"/>
      <c r="X27" s="134"/>
      <c r="Y27" s="134"/>
      <c r="Z27" s="134"/>
      <c r="AA27" s="134"/>
      <c r="AB27" s="134"/>
      <c r="AC27" s="134"/>
    </row>
    <row r="28" spans="1:29" ht="33" customHeight="1" thickBot="1" x14ac:dyDescent="0.3">
      <c r="A28" s="141"/>
      <c r="B28" s="141"/>
      <c r="C28" s="351"/>
      <c r="D28" s="142"/>
      <c r="E28" s="142"/>
      <c r="F28" s="142"/>
      <c r="G28" s="142"/>
      <c r="H28" s="142"/>
      <c r="I28" s="141"/>
      <c r="J28" s="141"/>
      <c r="K28" s="134"/>
      <c r="L28" s="134"/>
      <c r="M28" s="134"/>
      <c r="N28" s="134"/>
      <c r="O28" s="134"/>
      <c r="P28" s="134"/>
      <c r="Q28" s="134"/>
      <c r="R28" s="134"/>
      <c r="S28" s="134"/>
      <c r="T28" s="134"/>
      <c r="U28" s="134"/>
      <c r="V28" s="134"/>
      <c r="W28" s="134"/>
      <c r="X28" s="134"/>
      <c r="Y28" s="134"/>
      <c r="Z28" s="134"/>
      <c r="AA28" s="134"/>
      <c r="AB28" s="134"/>
      <c r="AC28" s="134"/>
    </row>
    <row r="29" spans="1:29" ht="19.899999999999999" customHeight="1" thickBot="1" x14ac:dyDescent="0.3">
      <c r="A29" s="141"/>
      <c r="B29" s="1467" t="s">
        <v>1251</v>
      </c>
      <c r="C29" s="1468"/>
      <c r="D29" s="1468"/>
      <c r="E29" s="1468"/>
      <c r="F29" s="1468"/>
      <c r="G29" s="1468"/>
      <c r="H29" s="1468"/>
      <c r="I29" s="1469"/>
      <c r="J29" s="141"/>
      <c r="K29" s="134"/>
      <c r="L29" s="134"/>
      <c r="M29" s="134"/>
      <c r="N29" s="134"/>
      <c r="O29" s="134"/>
      <c r="P29" s="134"/>
      <c r="Q29" s="134"/>
      <c r="R29" s="134"/>
      <c r="S29" s="134"/>
      <c r="T29" s="134"/>
      <c r="U29" s="134"/>
      <c r="V29" s="134"/>
      <c r="W29" s="134"/>
      <c r="X29" s="134"/>
      <c r="Y29" s="134"/>
      <c r="Z29" s="134"/>
      <c r="AA29" s="134"/>
      <c r="AB29" s="134"/>
      <c r="AC29" s="134"/>
    </row>
    <row r="30" spans="1:29" ht="19.899999999999999" customHeight="1" x14ac:dyDescent="0.25">
      <c r="A30" s="141"/>
      <c r="B30" s="1458"/>
      <c r="C30" s="1459"/>
      <c r="D30" s="1459"/>
      <c r="E30" s="1459"/>
      <c r="F30" s="1459"/>
      <c r="G30" s="1459"/>
      <c r="H30" s="1459"/>
      <c r="I30" s="1460"/>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x14ac:dyDescent="0.25">
      <c r="A31" s="141"/>
      <c r="B31" s="1461"/>
      <c r="C31" s="1462"/>
      <c r="D31" s="1462"/>
      <c r="E31" s="1462"/>
      <c r="F31" s="1462"/>
      <c r="G31" s="1462"/>
      <c r="H31" s="1462"/>
      <c r="I31" s="1463"/>
      <c r="J31" s="141"/>
      <c r="K31" s="134"/>
      <c r="L31" s="134"/>
      <c r="M31" s="134"/>
      <c r="N31" s="134"/>
      <c r="O31" s="134"/>
      <c r="P31" s="134"/>
      <c r="Q31" s="134"/>
      <c r="R31" s="134"/>
      <c r="S31" s="134"/>
      <c r="T31" s="134"/>
      <c r="U31" s="134"/>
      <c r="V31" s="134"/>
      <c r="W31" s="134"/>
      <c r="X31" s="134"/>
      <c r="Y31" s="134"/>
      <c r="Z31" s="134"/>
      <c r="AA31" s="134"/>
      <c r="AB31" s="134"/>
      <c r="AC31" s="134"/>
    </row>
    <row r="32" spans="1:29" ht="19.899999999999999" customHeight="1" x14ac:dyDescent="0.25">
      <c r="A32" s="141"/>
      <c r="B32" s="1461"/>
      <c r="C32" s="1462"/>
      <c r="D32" s="1462"/>
      <c r="E32" s="1462"/>
      <c r="F32" s="1462"/>
      <c r="G32" s="1462"/>
      <c r="H32" s="1462"/>
      <c r="I32" s="1463"/>
      <c r="J32" s="141"/>
      <c r="K32" s="134"/>
      <c r="L32" s="134"/>
      <c r="M32" s="134"/>
      <c r="N32" s="134"/>
      <c r="O32" s="134"/>
      <c r="P32" s="134"/>
      <c r="Q32" s="134"/>
      <c r="R32" s="134"/>
      <c r="S32" s="134"/>
      <c r="T32" s="134"/>
      <c r="U32" s="134"/>
      <c r="V32" s="134"/>
      <c r="W32" s="134"/>
      <c r="X32" s="134"/>
      <c r="Y32" s="134"/>
      <c r="Z32" s="134"/>
      <c r="AA32" s="134"/>
      <c r="AB32" s="134"/>
      <c r="AC32" s="134"/>
    </row>
    <row r="33" spans="1:29" ht="27" customHeight="1" x14ac:dyDescent="0.25">
      <c r="A33" s="141"/>
      <c r="B33" s="1461"/>
      <c r="C33" s="1462"/>
      <c r="D33" s="1462"/>
      <c r="E33" s="1462"/>
      <c r="F33" s="1462"/>
      <c r="G33" s="1462"/>
      <c r="H33" s="1462"/>
      <c r="I33" s="1463"/>
      <c r="J33" s="141"/>
      <c r="K33" s="134"/>
      <c r="L33" s="134"/>
      <c r="M33" s="134"/>
      <c r="N33" s="134"/>
      <c r="O33" s="134"/>
      <c r="P33" s="134"/>
      <c r="Q33" s="134"/>
      <c r="R33" s="134"/>
      <c r="S33" s="134"/>
      <c r="T33" s="134"/>
      <c r="U33" s="134"/>
      <c r="V33" s="134"/>
      <c r="W33" s="134"/>
      <c r="X33" s="134"/>
      <c r="Y33" s="134"/>
      <c r="Z33" s="134"/>
      <c r="AA33" s="134"/>
      <c r="AB33" s="134"/>
      <c r="AC33" s="134"/>
    </row>
    <row r="34" spans="1:29" ht="15.6" customHeight="1" x14ac:dyDescent="0.25">
      <c r="A34" s="141"/>
      <c r="B34" s="1461"/>
      <c r="C34" s="1462"/>
      <c r="D34" s="1462"/>
      <c r="E34" s="1462"/>
      <c r="F34" s="1462"/>
      <c r="G34" s="1462"/>
      <c r="H34" s="1462"/>
      <c r="I34" s="1463"/>
      <c r="J34" s="141"/>
      <c r="K34" s="134"/>
      <c r="L34" s="134"/>
      <c r="M34" s="134"/>
      <c r="N34" s="134"/>
      <c r="O34" s="134"/>
      <c r="P34" s="134"/>
      <c r="Q34" s="134"/>
      <c r="R34" s="134"/>
      <c r="S34" s="134"/>
      <c r="T34" s="134"/>
      <c r="U34" s="134"/>
      <c r="V34" s="134"/>
      <c r="W34" s="134"/>
      <c r="X34" s="134"/>
      <c r="Y34" s="134"/>
      <c r="Z34" s="134"/>
      <c r="AA34" s="134"/>
      <c r="AB34" s="134"/>
      <c r="AC34" s="134"/>
    </row>
    <row r="35" spans="1:29" ht="27.75" customHeight="1" thickBot="1" x14ac:dyDescent="0.3">
      <c r="A35" s="134"/>
      <c r="B35" s="1464"/>
      <c r="C35" s="1465"/>
      <c r="D35" s="1465"/>
      <c r="E35" s="1465"/>
      <c r="F35" s="1465"/>
      <c r="G35" s="1465"/>
      <c r="H35" s="1465"/>
      <c r="I35" s="1466"/>
      <c r="J35" s="134"/>
      <c r="K35" s="134"/>
      <c r="L35" s="134"/>
      <c r="M35" s="134"/>
      <c r="N35" s="134"/>
      <c r="O35" s="134"/>
      <c r="P35" s="134"/>
      <c r="Q35" s="134"/>
      <c r="R35" s="134"/>
      <c r="S35" s="134"/>
      <c r="T35" s="134"/>
      <c r="U35" s="134"/>
      <c r="V35" s="134"/>
      <c r="W35" s="134"/>
      <c r="X35" s="134"/>
      <c r="Y35" s="134"/>
      <c r="Z35" s="134"/>
      <c r="AA35" s="134"/>
      <c r="AB35" s="134"/>
      <c r="AC35" s="134"/>
    </row>
    <row r="36" spans="1:29" ht="15.75" thickBot="1" x14ac:dyDescent="0.3">
      <c r="A36" s="134"/>
      <c r="B36" s="141"/>
      <c r="C36" s="351"/>
      <c r="D36" s="142"/>
      <c r="E36" s="142"/>
      <c r="F36" s="142"/>
      <c r="G36" s="142"/>
      <c r="H36" s="142"/>
      <c r="I36" s="141"/>
      <c r="J36" s="134"/>
      <c r="K36" s="134"/>
      <c r="L36" s="134"/>
      <c r="M36" s="134"/>
      <c r="N36" s="134"/>
      <c r="O36" s="134"/>
      <c r="P36" s="134"/>
      <c r="Q36" s="134"/>
      <c r="R36" s="134"/>
      <c r="S36" s="134"/>
      <c r="T36" s="134"/>
      <c r="U36" s="134"/>
      <c r="V36" s="134"/>
      <c r="W36" s="134"/>
      <c r="X36" s="134"/>
      <c r="Y36" s="134"/>
      <c r="Z36" s="134"/>
      <c r="AA36" s="134"/>
      <c r="AB36" s="134"/>
      <c r="AC36" s="134"/>
    </row>
    <row r="37" spans="1:29" ht="15.75" thickBot="1" x14ac:dyDescent="0.3">
      <c r="A37" s="134"/>
      <c r="B37" s="1470" t="s">
        <v>1165</v>
      </c>
      <c r="C37" s="1471"/>
      <c r="D37" s="1471"/>
      <c r="E37" s="1471"/>
      <c r="F37" s="1471"/>
      <c r="G37" s="1471"/>
      <c r="H37" s="1471"/>
      <c r="I37" s="1472"/>
      <c r="J37" s="134"/>
      <c r="K37" s="134"/>
      <c r="L37" s="134"/>
      <c r="M37" s="134"/>
      <c r="N37" s="134"/>
      <c r="O37" s="134"/>
      <c r="P37" s="134"/>
      <c r="Q37" s="134"/>
      <c r="R37" s="134"/>
      <c r="S37" s="134"/>
      <c r="T37" s="134"/>
      <c r="U37" s="134"/>
      <c r="V37" s="134"/>
      <c r="W37" s="134"/>
      <c r="X37" s="134"/>
      <c r="Y37" s="134"/>
      <c r="Z37" s="134"/>
      <c r="AA37" s="134"/>
      <c r="AB37" s="134"/>
      <c r="AC37" s="134"/>
    </row>
    <row r="38" spans="1:29" x14ac:dyDescent="0.25">
      <c r="A38" s="134"/>
      <c r="B38" s="1458"/>
      <c r="C38" s="1459"/>
      <c r="D38" s="1459"/>
      <c r="E38" s="1459"/>
      <c r="F38" s="1459"/>
      <c r="G38" s="1459"/>
      <c r="H38" s="1459"/>
      <c r="I38" s="1460"/>
      <c r="J38" s="134"/>
      <c r="K38" s="134"/>
      <c r="L38" s="134"/>
      <c r="M38" s="134"/>
      <c r="N38" s="134"/>
      <c r="O38" s="134"/>
      <c r="P38" s="134"/>
      <c r="Q38" s="134"/>
      <c r="R38" s="134"/>
      <c r="S38" s="134"/>
      <c r="T38" s="134"/>
      <c r="U38" s="134"/>
      <c r="V38" s="134"/>
      <c r="W38" s="134"/>
      <c r="X38" s="134"/>
      <c r="Y38" s="134"/>
      <c r="Z38" s="134"/>
      <c r="AA38" s="134"/>
      <c r="AB38" s="134"/>
      <c r="AC38" s="134"/>
    </row>
    <row r="39" spans="1:29" x14ac:dyDescent="0.25">
      <c r="A39" s="134"/>
      <c r="B39" s="1461"/>
      <c r="C39" s="1462"/>
      <c r="D39" s="1462"/>
      <c r="E39" s="1462"/>
      <c r="F39" s="1462"/>
      <c r="G39" s="1462"/>
      <c r="H39" s="1462"/>
      <c r="I39" s="1463"/>
      <c r="J39" s="134"/>
      <c r="K39" s="134"/>
      <c r="L39" s="134"/>
      <c r="M39" s="134"/>
      <c r="N39" s="134"/>
      <c r="O39" s="134"/>
      <c r="P39" s="134"/>
      <c r="Q39" s="134"/>
      <c r="R39" s="134"/>
      <c r="S39" s="134"/>
      <c r="T39" s="134"/>
      <c r="U39" s="134"/>
      <c r="V39" s="134"/>
      <c r="W39" s="134"/>
      <c r="X39" s="134"/>
      <c r="Y39" s="134"/>
      <c r="Z39" s="134"/>
      <c r="AA39" s="134"/>
      <c r="AB39" s="134"/>
      <c r="AC39" s="134"/>
    </row>
    <row r="40" spans="1:29" x14ac:dyDescent="0.25">
      <c r="A40" s="134"/>
      <c r="B40" s="1461"/>
      <c r="C40" s="1462"/>
      <c r="D40" s="1462"/>
      <c r="E40" s="1462"/>
      <c r="F40" s="1462"/>
      <c r="G40" s="1462"/>
      <c r="H40" s="1462"/>
      <c r="I40" s="1463"/>
      <c r="J40" s="134"/>
      <c r="K40" s="134"/>
      <c r="L40" s="134"/>
      <c r="M40" s="134"/>
      <c r="N40" s="134"/>
      <c r="O40" s="134"/>
      <c r="P40" s="134"/>
      <c r="Q40" s="134"/>
      <c r="R40" s="134"/>
      <c r="S40" s="134"/>
      <c r="T40" s="134"/>
      <c r="U40" s="134"/>
      <c r="V40" s="134"/>
      <c r="W40" s="134"/>
      <c r="X40" s="134"/>
      <c r="Y40" s="134"/>
      <c r="Z40" s="134"/>
      <c r="AA40" s="134"/>
      <c r="AB40" s="134"/>
      <c r="AC40" s="134"/>
    </row>
    <row r="41" spans="1:29" x14ac:dyDescent="0.25">
      <c r="A41" s="134"/>
      <c r="B41" s="1461"/>
      <c r="C41" s="1462"/>
      <c r="D41" s="1462"/>
      <c r="E41" s="1462"/>
      <c r="F41" s="1462"/>
      <c r="G41" s="1462"/>
      <c r="H41" s="1462"/>
      <c r="I41" s="1463"/>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461"/>
      <c r="C42" s="1462"/>
      <c r="D42" s="1462"/>
      <c r="E42" s="1462"/>
      <c r="F42" s="1462"/>
      <c r="G42" s="1462"/>
      <c r="H42" s="1462"/>
      <c r="I42" s="1463"/>
      <c r="J42" s="134"/>
      <c r="K42" s="134"/>
      <c r="L42" s="134"/>
      <c r="M42" s="134"/>
      <c r="N42" s="134"/>
      <c r="O42" s="134"/>
      <c r="P42" s="134"/>
      <c r="Q42" s="134"/>
      <c r="R42" s="134"/>
      <c r="S42" s="134"/>
      <c r="T42" s="134"/>
      <c r="U42" s="134"/>
      <c r="V42" s="134"/>
      <c r="W42" s="134"/>
      <c r="X42" s="134"/>
      <c r="Y42" s="134"/>
      <c r="Z42" s="134"/>
      <c r="AA42" s="134"/>
      <c r="AB42" s="134"/>
      <c r="AC42" s="134"/>
    </row>
    <row r="43" spans="1:29" ht="15.75" thickBot="1" x14ac:dyDescent="0.3">
      <c r="A43" s="134"/>
      <c r="B43" s="1464"/>
      <c r="C43" s="1465"/>
      <c r="D43" s="1465"/>
      <c r="E43" s="1465"/>
      <c r="F43" s="1465"/>
      <c r="G43" s="1465"/>
      <c r="H43" s="1465"/>
      <c r="I43" s="1466"/>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34"/>
      <c r="C44" s="134"/>
      <c r="D44" s="134"/>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34"/>
      <c r="C45" s="134"/>
      <c r="D45" s="134"/>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34"/>
      <c r="C46" s="134"/>
      <c r="D46" s="134"/>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row>
    <row r="47" spans="1:29" x14ac:dyDescent="0.25">
      <c r="A47" s="134"/>
      <c r="B47" s="134"/>
      <c r="C47" s="134"/>
      <c r="D47" s="134"/>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41"/>
      <c r="B48" s="134"/>
      <c r="C48" s="134"/>
      <c r="D48" s="134"/>
      <c r="E48" s="134"/>
      <c r="F48" s="134"/>
      <c r="G48" s="134"/>
      <c r="H48" s="134"/>
      <c r="I48" s="134"/>
      <c r="J48" s="141"/>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41"/>
      <c r="B49" s="134"/>
      <c r="C49" s="134"/>
      <c r="D49" s="134"/>
      <c r="E49" s="134"/>
      <c r="F49" s="134"/>
      <c r="G49" s="134"/>
      <c r="H49" s="134"/>
      <c r="I49" s="134"/>
      <c r="J49" s="141"/>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41"/>
      <c r="B50" s="134"/>
      <c r="C50" s="134"/>
      <c r="D50" s="134"/>
      <c r="E50" s="134"/>
      <c r="F50" s="134"/>
      <c r="G50" s="134"/>
      <c r="H50" s="134"/>
      <c r="I50" s="134"/>
      <c r="J50" s="141"/>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41"/>
      <c r="B51" s="141"/>
      <c r="C51" s="141"/>
      <c r="D51" s="141"/>
      <c r="E51" s="141"/>
      <c r="F51" s="141"/>
      <c r="G51" s="141"/>
      <c r="H51" s="141"/>
      <c r="I51" s="141"/>
      <c r="J51" s="141"/>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41"/>
      <c r="C52" s="141"/>
      <c r="D52" s="141"/>
      <c r="E52" s="141"/>
      <c r="F52" s="141"/>
      <c r="G52" s="141"/>
      <c r="H52" s="141"/>
      <c r="I52" s="141"/>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41"/>
      <c r="C53" s="141"/>
      <c r="D53" s="141"/>
      <c r="E53" s="141"/>
      <c r="F53" s="141"/>
      <c r="G53" s="141"/>
      <c r="H53" s="141"/>
      <c r="I53" s="141"/>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41"/>
      <c r="C54" s="141"/>
      <c r="D54" s="141"/>
      <c r="E54" s="141"/>
      <c r="F54" s="141"/>
      <c r="G54" s="141"/>
      <c r="H54" s="141"/>
      <c r="I54" s="141"/>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34"/>
      <c r="B59" s="141"/>
      <c r="C59" s="141"/>
      <c r="D59" s="141"/>
      <c r="E59" s="141"/>
      <c r="F59" s="141"/>
      <c r="G59" s="141"/>
      <c r="H59" s="141"/>
      <c r="I59" s="141"/>
      <c r="J59" s="134"/>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34"/>
      <c r="B60" s="141"/>
      <c r="C60" s="141"/>
      <c r="D60" s="141"/>
      <c r="E60" s="141"/>
      <c r="F60" s="141"/>
      <c r="G60" s="141"/>
      <c r="H60" s="141"/>
      <c r="I60" s="141"/>
      <c r="J60" s="134"/>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34"/>
      <c r="B61" s="141"/>
      <c r="C61" s="141"/>
      <c r="D61" s="141"/>
      <c r="E61" s="141"/>
      <c r="F61" s="141"/>
      <c r="G61" s="141"/>
      <c r="H61" s="141"/>
      <c r="I61" s="141"/>
      <c r="J61" s="134"/>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34"/>
      <c r="B62" s="134"/>
      <c r="C62" s="134"/>
      <c r="D62" s="134"/>
      <c r="E62" s="134"/>
      <c r="F62" s="134"/>
      <c r="G62" s="134"/>
      <c r="H62" s="134"/>
      <c r="I62" s="134"/>
      <c r="J62" s="134"/>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34"/>
      <c r="C63" s="134"/>
      <c r="D63" s="134"/>
      <c r="E63" s="134"/>
      <c r="F63" s="134"/>
      <c r="G63" s="134"/>
      <c r="H63" s="134"/>
      <c r="I63" s="134"/>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34"/>
      <c r="C64" s="134"/>
      <c r="D64" s="134"/>
      <c r="E64" s="134"/>
      <c r="F64" s="134"/>
      <c r="G64" s="134"/>
      <c r="H64" s="134"/>
      <c r="I64" s="134"/>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34"/>
      <c r="C65" s="134"/>
      <c r="D65" s="134"/>
      <c r="E65" s="134"/>
      <c r="F65" s="134"/>
      <c r="G65" s="134"/>
      <c r="H65" s="134"/>
      <c r="I65" s="134"/>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B103" s="134"/>
      <c r="C103" s="134"/>
      <c r="D103" s="134"/>
      <c r="E103" s="134"/>
      <c r="F103" s="134"/>
      <c r="G103" s="134"/>
      <c r="H103" s="134"/>
      <c r="I103" s="134"/>
    </row>
    <row r="104" spans="1:29" x14ac:dyDescent="0.25">
      <c r="B104" s="134"/>
      <c r="C104" s="134"/>
      <c r="D104" s="134"/>
      <c r="E104" s="134"/>
      <c r="F104" s="134"/>
      <c r="G104" s="134"/>
      <c r="H104" s="134"/>
      <c r="I104" s="134"/>
    </row>
    <row r="105" spans="1:29" x14ac:dyDescent="0.25">
      <c r="B105" s="134"/>
      <c r="C105" s="134"/>
      <c r="D105" s="134"/>
      <c r="E105" s="134"/>
      <c r="F105" s="134"/>
      <c r="G105" s="134"/>
      <c r="H105" s="134"/>
      <c r="I105" s="134"/>
    </row>
  </sheetData>
  <sheetProtection algorithmName="SHA-512" hashValue="uf46LAZvxvm8VpgeRllDgfRGNiNVytZTgnZqaDUsesNQLGGP0jKTbml0rMi1HWs33iqf+pesLctEXPG6wIqAjw==" saltValue="bEGme/8rwEnotUtGnKFyaQ==" spinCount="100000" sheet="1" objects="1" scenarios="1" selectLockedCells="1"/>
  <mergeCells count="5">
    <mergeCell ref="C3:D3"/>
    <mergeCell ref="B30:I35"/>
    <mergeCell ref="B29:I29"/>
    <mergeCell ref="B37:I37"/>
    <mergeCell ref="B38:I43"/>
  </mergeCells>
  <conditionalFormatting sqref="B37:I43">
    <cfRule type="expression" dxfId="517" priority="2">
      <formula>$D$16="No"</formula>
    </cfRule>
  </conditionalFormatting>
  <dataValidations count="4">
    <dataValidation type="list" allowBlank="1" showInputMessage="1" showErrorMessage="1" sqref="D10" xr:uid="{00000000-0002-0000-0100-000000000000}">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00000000-0002-0000-0100-000002000000}">
      <formula1>"Yes,No"</formula1>
    </dataValidation>
    <dataValidation type="list" allowBlank="1" showInputMessage="1" showErrorMessage="1" error="Please select from the dropdown menu" sqref="D6" xr:uid="{00000000-0002-0000-0100-000003000000}">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D14</xm:sqref>
        </x14:dataValidation>
        <x14:dataValidation type="list" allowBlank="1" showInputMessage="1" showErrorMessage="1" error="Please select from the dropdown menu" xr:uid="{00000000-0002-0000-0100-000005000000}">
          <x14:formula1>
            <xm:f>Lookups!$AB$2:$AB$6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889" customWidth="1"/>
    <col min="9" max="9" width="17" style="929" hidden="1" customWidth="1"/>
    <col min="10" max="10" width="23.140625" style="929"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889" customWidth="1"/>
    <col min="22" max="22" width="13.28515625" style="889"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994"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customWidth="1"/>
  </cols>
  <sheetData>
    <row r="1" spans="1:56" ht="10.9" customHeight="1" thickBot="1" x14ac:dyDescent="0.3">
      <c r="E1" s="134"/>
      <c r="F1" s="134"/>
      <c r="G1" s="382"/>
      <c r="H1" s="382"/>
      <c r="I1" s="382"/>
      <c r="J1" s="382"/>
      <c r="K1" s="134"/>
      <c r="L1" s="134"/>
      <c r="M1" s="134"/>
      <c r="N1" s="134"/>
      <c r="O1" s="134"/>
      <c r="P1" s="134"/>
      <c r="Q1" s="134"/>
      <c r="R1" s="134"/>
      <c r="S1" s="134"/>
      <c r="T1" s="134"/>
      <c r="U1" s="134"/>
      <c r="V1" s="134"/>
      <c r="W1" s="134"/>
      <c r="X1" s="134"/>
      <c r="Y1" s="134"/>
      <c r="Z1" s="134"/>
      <c r="AA1" s="134"/>
      <c r="AB1" s="134"/>
      <c r="AC1" s="134"/>
      <c r="AD1" s="134"/>
      <c r="AE1" s="134"/>
      <c r="AF1" s="134"/>
      <c r="AG1" s="134" t="e">
        <f>VLOOKUP('Existing Customers'!AB2,'Market Geography'!A:B,2,0)</f>
        <v>#N/A</v>
      </c>
      <c r="AH1" s="134"/>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84"/>
      <c r="F2" s="1476" t="s">
        <v>917</v>
      </c>
      <c r="G2" s="1476"/>
      <c r="H2" s="888"/>
      <c r="I2" s="928"/>
      <c r="J2" s="928"/>
      <c r="K2" s="612"/>
      <c r="L2" s="612"/>
      <c r="M2" s="612"/>
      <c r="N2" s="612"/>
      <c r="O2" s="612"/>
      <c r="P2" s="135"/>
      <c r="Q2" s="135"/>
      <c r="R2" s="135"/>
      <c r="S2" s="612"/>
      <c r="T2" s="612"/>
      <c r="U2" s="612"/>
      <c r="V2" s="612"/>
      <c r="W2" s="613"/>
      <c r="X2" s="13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614"/>
      <c r="F3" s="736"/>
      <c r="G3" s="736"/>
      <c r="H3" s="736"/>
      <c r="I3" s="736"/>
      <c r="J3" s="736"/>
      <c r="K3" s="736"/>
      <c r="L3" s="1273"/>
      <c r="M3" s="1273"/>
      <c r="N3" s="1273"/>
      <c r="O3" s="737"/>
      <c r="P3" s="1272" t="str">
        <f>IF(COUNTIFS($P$6:$P$15,"&gt;0")&lt;$C$4,"Must Enter Expected Sales for All Locations","")</f>
        <v/>
      </c>
      <c r="Q3" s="1271"/>
      <c r="R3" s="1271"/>
      <c r="S3" s="736"/>
      <c r="T3" s="736"/>
      <c r="U3" s="736"/>
      <c r="V3" s="736"/>
      <c r="W3" s="615"/>
      <c r="X3" s="134"/>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IF(Welcome!$D$14="Select # of Locations",0,Welcome!$D$14)</f>
        <v>0</v>
      </c>
      <c r="D4" s="141"/>
      <c r="E4" s="363"/>
      <c r="F4" s="738"/>
      <c r="G4" s="738"/>
      <c r="H4" s="738"/>
      <c r="I4" s="738"/>
      <c r="J4" s="738"/>
      <c r="K4" s="738"/>
      <c r="L4" s="738"/>
      <c r="M4" s="738"/>
      <c r="N4" s="738"/>
      <c r="O4" s="1269"/>
      <c r="P4" s="1270" t="str">
        <f>IF(COUNTIFS($P$6:$P$15,"&gt;0")&lt;$C$4,"VVVVV","")</f>
        <v/>
      </c>
      <c r="Q4" s="1269"/>
      <c r="R4" s="736"/>
      <c r="S4" s="736"/>
      <c r="T4" s="739"/>
      <c r="U4" s="739"/>
      <c r="V4" s="739"/>
      <c r="W4" s="615"/>
      <c r="X4" s="134"/>
      <c r="Y4" s="134"/>
      <c r="Z4" s="134"/>
      <c r="AA4" s="134"/>
      <c r="AB4" s="134"/>
      <c r="AE4" s="2"/>
      <c r="AF4" s="134"/>
      <c r="AH4" s="134"/>
      <c r="AI4" s="134"/>
      <c r="AJ4" s="134"/>
      <c r="AK4" s="436" t="e">
        <f>Welcome!#REF!</f>
        <v>#REF!</v>
      </c>
      <c r="AL4" s="436"/>
      <c r="AM4" s="436"/>
      <c r="AN4" s="734">
        <f>COUNTIF($AN$6:$AN$15,"FLAG")</f>
        <v>0</v>
      </c>
      <c r="AO4" s="134"/>
      <c r="AP4" s="134"/>
      <c r="AQ4" s="134"/>
      <c r="AR4" s="134"/>
      <c r="AS4" s="134"/>
      <c r="AT4" s="134"/>
      <c r="AU4" s="134"/>
      <c r="AV4" s="134"/>
      <c r="AW4" s="134"/>
      <c r="AX4" s="134"/>
      <c r="AY4" s="134"/>
      <c r="AZ4" s="134" t="s">
        <v>1405</v>
      </c>
      <c r="BA4" s="134" t="s">
        <v>1406</v>
      </c>
      <c r="BB4" s="134" t="s">
        <v>1407</v>
      </c>
      <c r="BC4" s="134"/>
      <c r="BD4" s="134" t="s">
        <v>1408</v>
      </c>
    </row>
    <row r="5" spans="1:56" ht="49.5" customHeight="1" thickBot="1" x14ac:dyDescent="0.3">
      <c r="E5" s="614"/>
      <c r="F5" s="682" t="s">
        <v>1041</v>
      </c>
      <c r="G5" s="935" t="s">
        <v>1270</v>
      </c>
      <c r="H5" s="1377" t="s">
        <v>1274</v>
      </c>
      <c r="I5" s="935" t="s">
        <v>1355</v>
      </c>
      <c r="J5" s="638" t="s">
        <v>1356</v>
      </c>
      <c r="K5" s="890" t="s">
        <v>915</v>
      </c>
      <c r="L5" s="639" t="s">
        <v>1275</v>
      </c>
      <c r="M5" s="639" t="s">
        <v>1282</v>
      </c>
      <c r="N5" s="639" t="s">
        <v>913</v>
      </c>
      <c r="O5" s="640" t="s">
        <v>1276</v>
      </c>
      <c r="P5" s="743" t="s">
        <v>1277</v>
      </c>
      <c r="Q5" s="744" t="s">
        <v>1278</v>
      </c>
      <c r="R5" s="1378" t="s">
        <v>1279</v>
      </c>
      <c r="S5" s="1378" t="s">
        <v>204</v>
      </c>
      <c r="T5" s="894" t="s">
        <v>1280</v>
      </c>
      <c r="U5" s="1274" t="s">
        <v>1281</v>
      </c>
      <c r="V5" s="897" t="s">
        <v>1437</v>
      </c>
      <c r="W5" s="615"/>
      <c r="X5" s="610" t="s">
        <v>461</v>
      </c>
      <c r="Y5" s="52" t="s">
        <v>916</v>
      </c>
      <c r="Z5" s="52" t="s">
        <v>204</v>
      </c>
      <c r="AA5" s="52" t="s">
        <v>506</v>
      </c>
      <c r="AB5" s="134"/>
      <c r="AC5" t="s">
        <v>932</v>
      </c>
      <c r="AD5">
        <f>MAX(AD6:AD15)</f>
        <v>0</v>
      </c>
      <c r="AE5" s="2"/>
      <c r="AF5" s="134"/>
      <c r="AH5" s="134"/>
      <c r="AI5" s="134"/>
      <c r="AJ5" s="134"/>
      <c r="AK5" s="134" t="s">
        <v>1131</v>
      </c>
      <c r="AL5" s="134" t="s">
        <v>1132</v>
      </c>
      <c r="AM5" s="134" t="s">
        <v>1133</v>
      </c>
      <c r="AN5" s="134" t="s">
        <v>1134</v>
      </c>
      <c r="AO5" s="134"/>
      <c r="AP5" s="134"/>
      <c r="AQ5" s="134"/>
      <c r="AR5" s="134"/>
      <c r="AS5" s="995" t="s">
        <v>1392</v>
      </c>
      <c r="AT5" s="995" t="s">
        <v>1398</v>
      </c>
      <c r="AU5" s="995" t="s">
        <v>1399</v>
      </c>
      <c r="AV5" s="995" t="s">
        <v>1409</v>
      </c>
      <c r="AW5" s="995" t="s">
        <v>1410</v>
      </c>
      <c r="AX5" s="995" t="s">
        <v>1394</v>
      </c>
      <c r="AY5" s="995" t="s">
        <v>1397</v>
      </c>
      <c r="AZ5" s="995" t="s">
        <v>1400</v>
      </c>
      <c r="BA5" s="996" t="s">
        <v>1401</v>
      </c>
      <c r="BB5" s="996" t="s">
        <v>1402</v>
      </c>
      <c r="BC5" s="1321" t="s">
        <v>1403</v>
      </c>
      <c r="BD5" s="1321" t="s">
        <v>1404</v>
      </c>
    </row>
    <row r="6" spans="1:56" x14ac:dyDescent="0.25">
      <c r="A6" t="str">
        <f t="shared" ref="A6:A15" si="0">IFERROR(RANK($AE6,$AE$6:$AE$15,1),"")</f>
        <v/>
      </c>
      <c r="B6">
        <f t="shared" ref="B6:B15" si="1">IF($G6="New Store",$G6&amp;" "&amp;$AC6,$G6)</f>
        <v>0</v>
      </c>
      <c r="C6" s="141">
        <v>1</v>
      </c>
      <c r="D6" s="141"/>
      <c r="E6" s="681"/>
      <c r="F6" s="601" t="str">
        <f>IF(Welcome!$D$14="Select # of Locations","",IF($C6&lt;=Welcome!$D$14,$C6,""))</f>
        <v/>
      </c>
      <c r="G6" s="939"/>
      <c r="H6" s="936"/>
      <c r="I6" s="990"/>
      <c r="J6" s="980"/>
      <c r="K6" s="891" t="str">
        <f>IF($C$4&gt;=$C6,IF(SUMIF('Existing Customers'!$A:$A,'Customer Inputs'!$G6,'Existing Customers'!$Q:$Q)=0,"Enter Spend&gt;&gt;&gt;",ROUND(SUMIF('Existing Customers'!$A:$A,'Customer Inputs'!$G6,'Existing Customers'!$Q:$Q),0)),"")</f>
        <v/>
      </c>
      <c r="L6" s="1098" t="str">
        <f>IF($F6="","",'Multi-Customer'!$BB49)</f>
        <v/>
      </c>
      <c r="M6" s="892" t="str">
        <f>IF($F6="","",IFERROR(VLOOKUP($G6,'Existing Customers'!$A:$AD,30,FALSE),"Enter Menu Type&gt;&gt;"))</f>
        <v/>
      </c>
      <c r="N6" s="735" t="str">
        <f>IFERROR(IF($C$4&gt;=$C6,VLOOKUP($G6,'Existing Customers'!$A:$J,10,FALSE),""),"Enter Zip Code &gt;")</f>
        <v/>
      </c>
      <c r="O6" s="1101" t="str">
        <f>IF($F6="","",'Multi-Customer'!$BB50)</f>
        <v/>
      </c>
      <c r="P6" s="747"/>
      <c r="Q6" s="619"/>
      <c r="R6" s="748"/>
      <c r="S6" s="749"/>
      <c r="T6" s="1020"/>
      <c r="U6" s="746"/>
      <c r="V6" s="896" t="s">
        <v>653</v>
      </c>
      <c r="W6" s="1277" t="str">
        <f>IF($F6="","",'Variable Costs (Back)'!$A15)</f>
        <v/>
      </c>
      <c r="X6" s="611" t="str">
        <f>IF(Q6="",L6,Q6)</f>
        <v/>
      </c>
      <c r="Y6" s="52" t="str">
        <f t="shared" ref="Y6:Y15" si="2">IF(K6="Enter Spend&gt;&gt;&gt;",R6,M6)</f>
        <v/>
      </c>
      <c r="Z6" s="52" t="str">
        <f t="shared" ref="Z6:Z15" si="3">IF(K6="Enter Spend&gt;&gt;&gt;",S6,N6)</f>
        <v/>
      </c>
      <c r="AA6" s="52" t="str">
        <f>IF(T6="",O6,T6)</f>
        <v/>
      </c>
      <c r="AB6" s="134">
        <f>IFERROR(AA6*(P6/$P$17),0)</f>
        <v>0</v>
      </c>
      <c r="AC6">
        <f>IF($G6="New Store",COUNTIF($G$6:$G$15,"New Store")-COUNTIF($G7:$G$15,"New Store"),0)</f>
        <v>0</v>
      </c>
      <c r="AD6" t="str">
        <f t="shared" ref="AD6:AD15" si="4">IFERROR(RANK($AE6,$AE$6:$AE$15,1),"")</f>
        <v/>
      </c>
      <c r="AE6" s="2" t="str">
        <f t="shared" ref="AE6:AE15" si="5">IF($G6="New Store",$F6,IF($K6="Enter Spend&gt;&gt;&gt;",$F6,""))</f>
        <v/>
      </c>
      <c r="AF6" s="134"/>
      <c r="AG6" t="e">
        <f>_xlfn.CONCAT($AG$1,"_",IF(NOT(ISBLANK($H$6)),$H$6,""),"_",IF(AND(NOT(ISBLANK($G$6)),$G$6&lt;&gt;"New"),IF($M$6&lt;&gt;"Enter Menu Type&gt;&gt;",IF($R$6=0,$M$6,$R$6),$R$6),""))</f>
        <v>#N/A</v>
      </c>
      <c r="AH6" s="134"/>
      <c r="AI6" s="134"/>
      <c r="AJ6" s="134"/>
      <c r="AK6" s="134" t="b">
        <f>NOT(ISERROR(IFERROR(VLOOKUP($G6&amp;"",'HOS_Modellable Customers'!$A:$A,1,0),VLOOKUP($G6,'HOS_Modellable Customers'!$A:$A,1,0))))</f>
        <v>0</v>
      </c>
      <c r="AL6" s="134" t="b">
        <f>NOT(ISERROR(IFERROR(VLOOKUP($G6&amp;"",'Modellable Customers'!$A:$A,1,0),VLOOKUP($G6,'Modellable Customers'!$A:$A,1,0))))</f>
        <v>0</v>
      </c>
      <c r="AM6" s="134" t="b">
        <f>IF(K6="Enter Spend&gt;&gt;&gt;",TRUE,FALSE)</f>
        <v>0</v>
      </c>
      <c r="AN6" s="134" t="str">
        <f>IF(G6="","CLEAR",IF(AM6=TRUE,"CLEAR",IF(AND($AK$4="HOSPITALITY",AK6=TRUE),"CLEAR",IF(AND($AK$4="INDEPENDENT RESTAURATEURS",AL6=TRUE),"CLEAR","FLAG"))))</f>
        <v>CLEAR</v>
      </c>
      <c r="AO6" s="134"/>
      <c r="AP6" s="134" t="str">
        <f>IF($G6="","",IF(AR6="","Prospect","Existing"))</f>
        <v/>
      </c>
      <c r="AQ6" s="895" t="str">
        <f>IF($F6="","",IF(OR(U6="",U6="Existing"),IFERROR(VLOOKUP($G6,'Existing Customers'!$A:$F,4,FALSE),""),""))</f>
        <v/>
      </c>
      <c r="AR6" s="134" t="str">
        <f>IF($F6="","",IFERROR(VLOOKUP($G6,'Existing Customers'!$A:$F,4,FALSE),""))</f>
        <v/>
      </c>
      <c r="AS6" s="52" t="str">
        <f>IF($F6="","",IFERROR(VLOOKUP($G6,'Existing Customer Variable Exp'!$B:$L,6,FALSE),0))</f>
        <v/>
      </c>
      <c r="AT6" s="52" t="str">
        <f>IF($F6="","",IF(AS6=0,Welcome!$G$26,0))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81"/>
      <c r="F7" s="602" t="str">
        <f>IF(Welcome!$D$14="Select # of Locations","",IF($C7&lt;=Welcome!$D$14,$C7,""))</f>
        <v/>
      </c>
      <c r="G7" s="937"/>
      <c r="H7" s="933"/>
      <c r="I7" s="991"/>
      <c r="J7" s="982"/>
      <c r="K7" s="892" t="str">
        <f>IF($C$4&gt;=$C7,IF(SUMIF('Existing Customers'!$A:$A,'Customer Inputs'!$G7,'Existing Customers'!$Q:$Q)=0,"Enter Spend&gt;&gt;&gt;",ROUND(SUMIF('Existing Customers'!$A:$A,'Customer Inputs'!$G7,'Existing Customers'!$Q:$Q),0)),"")</f>
        <v/>
      </c>
      <c r="L7" s="1099" t="str">
        <f>IF($F7="","",'Multi-Customer'!$BY49)</f>
        <v/>
      </c>
      <c r="M7" s="892" t="str">
        <f>IF($F7="","",IFERROR(VLOOKUP($G7,'Existing Customers'!$A:$AD,30,FALSE),"Enter Menu Type&gt;&gt;"))</f>
        <v/>
      </c>
      <c r="N7" s="732" t="str">
        <f>IFERROR(IF($C$4&gt;=$C7,VLOOKUP($G7,'Existing Customers'!$A:$J,10,FALSE),""),"Enter Zip Code &gt;")</f>
        <v/>
      </c>
      <c r="O7" s="1102" t="str">
        <f>IF($F7="","",'Multi-Customer'!$BY50)</f>
        <v/>
      </c>
      <c r="P7" s="750"/>
      <c r="Q7" s="620"/>
      <c r="R7" s="745"/>
      <c r="S7" s="746"/>
      <c r="T7" s="1021"/>
      <c r="U7" s="746"/>
      <c r="V7" s="604" t="s">
        <v>653</v>
      </c>
      <c r="W7" s="1277" t="str">
        <f>IF($F7="","",'Variable Costs (Back)'!$A16)</f>
        <v/>
      </c>
      <c r="X7" s="611" t="str">
        <f t="shared" ref="X7:X15" si="6">IF(Q7="",L7,Q7)</f>
        <v/>
      </c>
      <c r="Y7" s="52" t="str">
        <f t="shared" si="2"/>
        <v/>
      </c>
      <c r="Z7" s="52" t="str">
        <f t="shared" si="3"/>
        <v/>
      </c>
      <c r="AA7" s="52" t="str">
        <f t="shared" ref="AA7:AA15" si="7">IF(T7="",O7,T7)</f>
        <v/>
      </c>
      <c r="AB7" s="134">
        <f t="shared" ref="AB7:AB15" si="8">IFERROR(AA7*(P7/$P$17),0)</f>
        <v>0</v>
      </c>
      <c r="AC7">
        <f>IF($G7="New Store",COUNTIF($G$6:$G$15,"New Store")-COUNTIF($G8:$G$15,"New Store"),0)</f>
        <v>0</v>
      </c>
      <c r="AD7" t="str">
        <f t="shared" si="4"/>
        <v/>
      </c>
      <c r="AE7" s="2" t="str">
        <f t="shared" si="5"/>
        <v/>
      </c>
      <c r="AF7" s="134"/>
      <c r="AG7" t="e">
        <f>_xlfn.CONCAT($AG$1,"_",IF(NOT(ISBLANK($H$7)),$H$7,""),"_",IF(AND(NOT(ISBLANK($G$7)),$G$7&lt;&gt;"New"),IF($M$7&lt;&gt;"Enter Menu Type&gt;&gt;",IF($R$7=0,$M$7,$R$7),$R$7),""))</f>
        <v>#N/A</v>
      </c>
      <c r="AH7" s="134"/>
      <c r="AI7" s="134"/>
      <c r="AJ7" s="134"/>
      <c r="AK7" s="134" t="b">
        <f>NOT(ISERROR(IFERROR(VLOOKUP($G7&amp;"",'HOS_Modellable Customers'!$A:$A,1,0),VLOOKUP($G7,'HOS_Modellable Customers'!$A:$A,1,0))))</f>
        <v>0</v>
      </c>
      <c r="AL7" s="134" t="b">
        <f>NOT(ISERROR(IFERROR(VLOOKUP($G7&amp;"",'Modellable Customers'!$A:$A,1,0),VLOOKUP($G7,'Modellable Customers'!$A:$A,1,0))))</f>
        <v>0</v>
      </c>
      <c r="AM7" s="134" t="b">
        <f t="shared" ref="AM7:AM12" si="9">IF(K7="Enter Spend&gt;&gt;&gt;",TRUE,FALSE)</f>
        <v>0</v>
      </c>
      <c r="AN7" s="134" t="str">
        <f t="shared" ref="AN7:AN15" si="10">IF(G7="","CLEAR",IF(AM7=TRUE,"CLEAR",IF(AND($AK$4="HOSPITALITY",AK7=TRUE),"CLEAR",IF(AND($AK$4="INDEPENDENT RESTAURATEURS",AL7=TRUE),"CLEAR","FLAG"))))</f>
        <v>CLEAR</v>
      </c>
      <c r="AO7" s="134"/>
      <c r="AP7" s="134" t="str">
        <f t="shared" ref="AP7:AP15" si="11">IF($G7="","",IF(AR7="","Prospect","Existing"))</f>
        <v/>
      </c>
      <c r="AQ7" s="895" t="str">
        <f>IF($F7="","",IF(OR(U7="",U7="Existing"),IFERROR(VLOOKUP($G7,'Existing Customers'!$A:$F,4,FALSE),""),""))</f>
        <v/>
      </c>
      <c r="AR7" s="134" t="str">
        <f>IF($F7="","",IFERROR(VLOOKUP($G7,'Existing Customers'!$A:$F,4,FALSE),""))</f>
        <v/>
      </c>
      <c r="AS7" s="52" t="str">
        <f>IF($F7="","",IFERROR(VLOOKUP($G7,'Existing Customer Variable Exp'!$B:$L,6,FALSE),0))</f>
        <v/>
      </c>
      <c r="AT7" s="52" t="str">
        <f>IF($F7="","",IF(AS7=0,Welcome!$G$26,0))</f>
        <v/>
      </c>
      <c r="AU7" s="52" t="str">
        <f t="shared" ref="AU7:AU15" si="12">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ref="AZ7:AZ15" si="13">IF($F7="","",IF(AS7&lt;&gt;"",COUNTIF($AS$6:$AS$15,AS7),1))</f>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81"/>
      <c r="F8" s="602" t="str">
        <f>IF(Welcome!$D$14="Select # of Locations","",IF($C8&lt;=Welcome!$D$14,$C8,""))</f>
        <v/>
      </c>
      <c r="G8" s="937"/>
      <c r="H8" s="933"/>
      <c r="I8" s="991"/>
      <c r="J8" s="982"/>
      <c r="K8" s="892" t="str">
        <f>IF($C$4&gt;=$C8,IF(SUMIF('Existing Customers'!$A:$A,'Customer Inputs'!$G8,'Existing Customers'!$Q:$Q)=0,"Enter Spend&gt;&gt;&gt;",ROUND(SUMIF('Existing Customers'!$A:$A,'Customer Inputs'!$G8,'Existing Customers'!$Q:$Q),0)),"")</f>
        <v/>
      </c>
      <c r="L8" s="1099" t="str">
        <f>IF($F8="","",'Multi-Customer'!$CV49)</f>
        <v/>
      </c>
      <c r="M8" s="892" t="str">
        <f>IF($F8="","",IFERROR(VLOOKUP($G8,'Existing Customers'!$A:$AD,30,FALSE),"Enter Menu Type&gt;&gt;"))</f>
        <v/>
      </c>
      <c r="N8" s="732" t="str">
        <f>IFERROR(IF($C$4&gt;=$C8,VLOOKUP($G8,'Existing Customers'!$A:$J,10,FALSE),""),"Enter Zip Code &gt;")</f>
        <v/>
      </c>
      <c r="O8" s="1102" t="str">
        <f>IF($F8="","",'Multi-Customer'!$CV50)</f>
        <v/>
      </c>
      <c r="P8" s="750"/>
      <c r="Q8" s="620"/>
      <c r="R8" s="745"/>
      <c r="S8" s="746"/>
      <c r="T8" s="1021"/>
      <c r="U8" s="746"/>
      <c r="V8" s="604" t="s">
        <v>653</v>
      </c>
      <c r="W8" s="1277" t="str">
        <f>IF($F8="","",'Variable Costs (Back)'!$A17)</f>
        <v/>
      </c>
      <c r="X8" s="611" t="str">
        <f t="shared" si="6"/>
        <v/>
      </c>
      <c r="Y8" s="52" t="str">
        <f t="shared" si="2"/>
        <v/>
      </c>
      <c r="Z8" s="52" t="str">
        <f t="shared" si="3"/>
        <v/>
      </c>
      <c r="AA8" s="52" t="str">
        <f t="shared" si="7"/>
        <v/>
      </c>
      <c r="AB8" s="134">
        <f t="shared" si="8"/>
        <v>0</v>
      </c>
      <c r="AC8">
        <f>IF($G8="New Store",COUNTIF($G$6:$G$15,"New Store")-COUNTIF($G9:$G$15,"New Store"),0)</f>
        <v>0</v>
      </c>
      <c r="AD8" t="str">
        <f t="shared" si="4"/>
        <v/>
      </c>
      <c r="AE8" s="2" t="str">
        <f t="shared" si="5"/>
        <v/>
      </c>
      <c r="AF8" s="134"/>
      <c r="AG8" t="e">
        <f>_xlfn.CONCAT($AG$1,"_",IF(NOT(ISBLANK($H$8)),$H$8,""),"_",IF(AND(NOT(ISBLANK($G$8)),$G$8&lt;&gt;"New"),IF($M$8&lt;&gt;"Enter Menu Type&gt;&gt;",IF($R$8=0,$M$8,$R$8),$R$8),""))</f>
        <v>#N/A</v>
      </c>
      <c r="AH8" s="134"/>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9"/>
        <v>0</v>
      </c>
      <c r="AN8" s="134" t="str">
        <f t="shared" si="10"/>
        <v>CLEAR</v>
      </c>
      <c r="AO8" s="134"/>
      <c r="AP8" s="134" t="str">
        <f t="shared" si="11"/>
        <v/>
      </c>
      <c r="AQ8" s="895" t="str">
        <f>IF($F8="","",IF(OR(U8="",U8="Existing"),IFERROR(VLOOKUP($G8,'Existing Customers'!$A:$F,4,FALSE),""),""))</f>
        <v/>
      </c>
      <c r="AR8" s="134" t="str">
        <f>IF($F8="","",IFERROR(VLOOKUP($G8,'Existing Customers'!$A:$F,4,FALSE),""))</f>
        <v/>
      </c>
      <c r="AS8" s="52" t="str">
        <f>IF($F8="","",IFERROR(VLOOKUP($G8,'Existing Customer Variable Exp'!$B:$L,6,FALSE),0))</f>
        <v/>
      </c>
      <c r="AT8" s="52" t="str">
        <f>IF($F8="","",IF(AS8=0,Welcome!$G$26,0))</f>
        <v/>
      </c>
      <c r="AU8" s="52" t="str">
        <f t="shared" si="12"/>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13"/>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81"/>
      <c r="F9" s="602" t="str">
        <f>IF(Welcome!$D$14="Select # of Locations","",IF($C9&lt;=Welcome!$D$14,$C9,""))</f>
        <v/>
      </c>
      <c r="G9" s="937"/>
      <c r="H9" s="933"/>
      <c r="I9" s="991"/>
      <c r="J9" s="982"/>
      <c r="K9" s="892" t="str">
        <f>IF($C$4&gt;=$C9,IF(SUMIF('Existing Customers'!$A:$A,'Customer Inputs'!$G9,'Existing Customers'!$Q:$Q)=0,"Enter Spend&gt;&gt;&gt;",ROUND(SUMIF('Existing Customers'!$A:$A,'Customer Inputs'!$G9,'Existing Customers'!$Q:$Q),0)),"")</f>
        <v/>
      </c>
      <c r="L9" s="1099" t="str">
        <f>IF($F9="","",'Multi-Customer'!$DS49)</f>
        <v/>
      </c>
      <c r="M9" s="892" t="str">
        <f>IF($F9="","",IFERROR(VLOOKUP($G9,'Existing Customers'!$A:$AD,30,FALSE),"Enter Menu Type&gt;&gt;"))</f>
        <v/>
      </c>
      <c r="N9" s="732" t="str">
        <f>IFERROR(IF($C$4&gt;=$C9,VLOOKUP($G9,'Existing Customers'!$A:$J,10,FALSE),""),"Enter Zip Code &gt;")</f>
        <v/>
      </c>
      <c r="O9" s="1102" t="str">
        <f>IF($F9="","",'Multi-Customer'!$DS50)</f>
        <v/>
      </c>
      <c r="P9" s="750"/>
      <c r="Q9" s="620"/>
      <c r="R9" s="745"/>
      <c r="S9" s="746"/>
      <c r="T9" s="1021"/>
      <c r="U9" s="746"/>
      <c r="V9" s="604" t="s">
        <v>653</v>
      </c>
      <c r="W9" s="1277" t="str">
        <f>IF($F9="","",'Variable Costs (Back)'!$A18)</f>
        <v/>
      </c>
      <c r="X9" s="611" t="str">
        <f>IF(Q9="",L9,Q9)</f>
        <v/>
      </c>
      <c r="Y9" s="52" t="str">
        <f t="shared" si="2"/>
        <v/>
      </c>
      <c r="Z9" s="52" t="str">
        <f t="shared" si="3"/>
        <v/>
      </c>
      <c r="AA9" s="52" t="str">
        <f t="shared" si="7"/>
        <v/>
      </c>
      <c r="AB9" s="134">
        <f t="shared" si="8"/>
        <v>0</v>
      </c>
      <c r="AC9">
        <f>IF($G9="New Store",COUNTIF($G$6:$G$15,"New Store")-COUNTIF($G10:$G$15,"New Store"),0)</f>
        <v>0</v>
      </c>
      <c r="AD9" t="str">
        <f t="shared" si="4"/>
        <v/>
      </c>
      <c r="AE9" s="2" t="str">
        <f t="shared" si="5"/>
        <v/>
      </c>
      <c r="AF9" s="134"/>
      <c r="AG9" t="e">
        <f>_xlfn.CONCAT($AG$1,"_",IF(NOT(ISBLANK($H$9)),$H$9,""),"_",IF(AND(NOT(ISBLANK($G$9)),$G$9&lt;&gt;"New"),IF($M$9&lt;&gt;"Enter Menu Type&gt;&gt;",IF($R$9=0,$M$9,$R$9),$R$9),""))</f>
        <v>#N/A</v>
      </c>
      <c r="AH9" s="134"/>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9"/>
        <v>0</v>
      </c>
      <c r="AN9" s="134" t="str">
        <f t="shared" si="10"/>
        <v>CLEAR</v>
      </c>
      <c r="AO9" s="134"/>
      <c r="AP9" s="134" t="str">
        <f t="shared" si="11"/>
        <v/>
      </c>
      <c r="AQ9" s="895" t="str">
        <f>IF($F9="","",IF(OR(U9="",U9="Existing"),IFERROR(VLOOKUP($G9,'Existing Customers'!$A:$F,4,FALSE),""),""))</f>
        <v/>
      </c>
      <c r="AR9" s="134" t="str">
        <f>IF($F9="","",IFERROR(VLOOKUP($G9,'Existing Customers'!$A:$F,4,FALSE),""))</f>
        <v/>
      </c>
      <c r="AS9" s="52" t="str">
        <f>IF($F9="","",IFERROR(VLOOKUP($G9,'Existing Customer Variable Exp'!$B:$L,6,FALSE),0))</f>
        <v/>
      </c>
      <c r="AT9" s="52" t="str">
        <f>IF($F9="","",IF(AS9=0,Welcome!$G$26,0))</f>
        <v/>
      </c>
      <c r="AU9" s="52" t="str">
        <f t="shared" si="12"/>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13"/>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81"/>
      <c r="F10" s="602" t="str">
        <f>IF(Welcome!$D$14="Select # of Locations","",IF($C10&lt;=Welcome!$D$14,$C10,""))</f>
        <v/>
      </c>
      <c r="G10" s="937"/>
      <c r="H10" s="933"/>
      <c r="I10" s="991"/>
      <c r="J10" s="982"/>
      <c r="K10" s="892" t="str">
        <f>IF($C$4&gt;=$C10,IF(SUMIF('Existing Customers'!$A:$A,'Customer Inputs'!$G10,'Existing Customers'!$Q:$Q)=0,"Enter Spend&gt;&gt;&gt;",ROUND(SUMIF('Existing Customers'!$A:$A,'Customer Inputs'!$G10,'Existing Customers'!$Q:$Q),0)),"")</f>
        <v/>
      </c>
      <c r="L10" s="1099" t="str">
        <f>IF($F10="","",'Multi-Customer'!$EP49)</f>
        <v/>
      </c>
      <c r="M10" s="892" t="str">
        <f>IF($F10="","",IFERROR(VLOOKUP($G10,'Existing Customers'!$A:$AD,30,FALSE),"Enter Menu Type&gt;&gt;"))</f>
        <v/>
      </c>
      <c r="N10" s="732" t="str">
        <f>IFERROR(IF($C$4&gt;=$C10,VLOOKUP($G10,'Existing Customers'!$A:$J,10,FALSE),""),"Enter Zip Code &gt;")</f>
        <v/>
      </c>
      <c r="O10" s="1102" t="str">
        <f>IF($F10="","",'Multi-Customer'!$EP50)</f>
        <v/>
      </c>
      <c r="P10" s="750"/>
      <c r="Q10" s="620"/>
      <c r="R10" s="745"/>
      <c r="S10" s="746"/>
      <c r="T10" s="1021"/>
      <c r="U10" s="746"/>
      <c r="V10" s="604" t="s">
        <v>653</v>
      </c>
      <c r="W10" s="1277" t="str">
        <f>IF($F10="","",'Variable Costs (Back)'!$A19)</f>
        <v/>
      </c>
      <c r="X10" s="611" t="str">
        <f t="shared" si="6"/>
        <v/>
      </c>
      <c r="Y10" s="52" t="str">
        <f t="shared" si="2"/>
        <v/>
      </c>
      <c r="Z10" s="52" t="str">
        <f t="shared" si="3"/>
        <v/>
      </c>
      <c r="AA10" s="52" t="str">
        <f t="shared" si="7"/>
        <v/>
      </c>
      <c r="AB10" s="134">
        <f t="shared" si="8"/>
        <v>0</v>
      </c>
      <c r="AC10">
        <f>IF($G10="New Store",COUNTIF($G$6:$G$15,"New Store")-COUNTIF($G11:$G$15,"New Store"),0)</f>
        <v>0</v>
      </c>
      <c r="AD10" t="str">
        <f t="shared" si="4"/>
        <v/>
      </c>
      <c r="AE10" s="2" t="str">
        <f t="shared" si="5"/>
        <v/>
      </c>
      <c r="AF10" s="134"/>
      <c r="AG10" t="e">
        <f>_xlfn.CONCAT($AG$1,"_",IF(NOT(ISBLANK($H$10)),$H$10,""),"_",IF(AND(NOT(ISBLANK($G$10)),$G$10&lt;&gt;"New"),IF($M$10&lt;&gt;"Enter Menu Type&gt;&gt;",IF($R$10=0,$M$10,$R$10),$R$10),""))</f>
        <v>#N/A</v>
      </c>
      <c r="AH10" s="134"/>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9"/>
        <v>0</v>
      </c>
      <c r="AN10" s="134" t="str">
        <f t="shared" si="10"/>
        <v>CLEAR</v>
      </c>
      <c r="AO10" s="134"/>
      <c r="AP10" s="134" t="str">
        <f t="shared" si="11"/>
        <v/>
      </c>
      <c r="AQ10" s="895" t="str">
        <f>IF($F10="","",IF(OR(U10="",U10="Existing"),IFERROR(VLOOKUP($G10,'Existing Customers'!$A:$F,4,FALSE),""),""))</f>
        <v/>
      </c>
      <c r="AR10" s="134" t="str">
        <f>IF($F10="","",IFERROR(VLOOKUP($G10,'Existing Customers'!$A:$F,4,FALSE),""))</f>
        <v/>
      </c>
      <c r="AS10" s="52" t="str">
        <f>IF($F10="","",IFERROR(VLOOKUP($G10,'Existing Customer Variable Exp'!$B:$L,6,FALSE),0))</f>
        <v/>
      </c>
      <c r="AT10" s="52" t="str">
        <f>IF($F10="","",IF(AS10=0,Welcome!$G$26,0))</f>
        <v/>
      </c>
      <c r="AU10" s="52" t="str">
        <f t="shared" si="12"/>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13"/>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81"/>
      <c r="F11" s="602" t="str">
        <f>IF(Welcome!$D$14="Select # of Locations","",IF($C11&lt;=Welcome!$D$14,$C11,""))</f>
        <v/>
      </c>
      <c r="G11" s="937"/>
      <c r="H11" s="933"/>
      <c r="I11" s="991"/>
      <c r="J11" s="982"/>
      <c r="K11" s="892" t="str">
        <f>IF($C$4&gt;=$C11,IF(SUMIF('Existing Customers'!$A:$A,'Customer Inputs'!$G11,'Existing Customers'!$Q:$Q)=0,"Enter Spend&gt;&gt;&gt;",ROUND(SUMIF('Existing Customers'!$A:$A,'Customer Inputs'!$G11,'Existing Customers'!$Q:$Q),0)),"")</f>
        <v/>
      </c>
      <c r="L11" s="1099" t="str">
        <f>IF($F11="","",'Multi-Customer'!$FM49)</f>
        <v/>
      </c>
      <c r="M11" s="892" t="str">
        <f>IF($F11="","",IFERROR(VLOOKUP($G11,'Existing Customers'!$A:$AD,30,FALSE),"Enter Menu Type&gt;&gt;"))</f>
        <v/>
      </c>
      <c r="N11" s="732" t="str">
        <f>IFERROR(IF($C$4&gt;=$C11,VLOOKUP($G11,'Existing Customers'!$A:$J,10,FALSE),""),"Enter Zip Code &gt;")</f>
        <v/>
      </c>
      <c r="O11" s="1102" t="str">
        <f>IF($F11="","",'Multi-Customer'!$FM50)</f>
        <v/>
      </c>
      <c r="P11" s="750"/>
      <c r="Q11" s="620"/>
      <c r="R11" s="745"/>
      <c r="S11" s="746"/>
      <c r="T11" s="1021"/>
      <c r="U11" s="746"/>
      <c r="V11" s="604" t="s">
        <v>653</v>
      </c>
      <c r="W11" s="1277" t="str">
        <f>IF($F11="","",'Variable Costs (Back)'!$A20)</f>
        <v/>
      </c>
      <c r="X11" s="611" t="str">
        <f t="shared" si="6"/>
        <v/>
      </c>
      <c r="Y11" s="52" t="str">
        <f t="shared" si="2"/>
        <v/>
      </c>
      <c r="Z11" s="52" t="str">
        <f t="shared" si="3"/>
        <v/>
      </c>
      <c r="AA11" s="52" t="str">
        <f t="shared" si="7"/>
        <v/>
      </c>
      <c r="AB11" s="134">
        <f t="shared" si="8"/>
        <v>0</v>
      </c>
      <c r="AC11">
        <f>IF($G11="New Store",COUNTIF($G$6:$G$15,"New Store")-COUNTIF($G12:$G$15,"New Store"),0)</f>
        <v>0</v>
      </c>
      <c r="AD11" t="str">
        <f t="shared" si="4"/>
        <v/>
      </c>
      <c r="AE11" s="2" t="str">
        <f t="shared" si="5"/>
        <v/>
      </c>
      <c r="AF11" s="134"/>
      <c r="AG11" t="e">
        <f>_xlfn.CONCAT($AG$1,"_",IF(NOT(ISBLANK($H$11)),$H$11,""),"_",IF(AND(NOT(ISBLANK($G$11)),$G$11&lt;&gt;"New"),IF($M$11&lt;&gt;"Enter Menu Type&gt;&gt;",IF($R$11=0,$M$11,$R$11),$R$11),""))</f>
        <v>#N/A</v>
      </c>
      <c r="AH11" s="134"/>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9"/>
        <v>0</v>
      </c>
      <c r="AN11" s="134" t="str">
        <f t="shared" si="10"/>
        <v>CLEAR</v>
      </c>
      <c r="AO11" s="134"/>
      <c r="AP11" s="134" t="str">
        <f t="shared" si="11"/>
        <v/>
      </c>
      <c r="AQ11" s="895" t="str">
        <f>IF($F11="","",IF(OR(U11="",U11="Existing"),IFERROR(VLOOKUP($G11,'Existing Customers'!$A:$F,4,FALSE),""),""))</f>
        <v/>
      </c>
      <c r="AR11" s="134" t="str">
        <f>IF($F11="","",IFERROR(VLOOKUP($G11,'Existing Customers'!$A:$F,4,FALSE),""))</f>
        <v/>
      </c>
      <c r="AS11" s="52" t="str">
        <f>IF($F11="","",IFERROR(VLOOKUP($G11,'Existing Customer Variable Exp'!$B:$L,6,FALSE),0))</f>
        <v/>
      </c>
      <c r="AT11" s="52" t="str">
        <f>IF($F11="","",IF(AS11=0,Welcome!$G$26,0))</f>
        <v/>
      </c>
      <c r="AU11" s="52" t="str">
        <f t="shared" si="12"/>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13"/>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81"/>
      <c r="F12" s="602" t="str">
        <f>IF(Welcome!$D$14="Select # of Locations","",IF($C12&lt;=Welcome!$D$14,$C12,""))</f>
        <v/>
      </c>
      <c r="G12" s="937"/>
      <c r="H12" s="933"/>
      <c r="I12" s="991"/>
      <c r="J12" s="982"/>
      <c r="K12" s="892" t="str">
        <f>IF($C$4&gt;=$C12,IF(SUMIF('Existing Customers'!$A:$A,'Customer Inputs'!$G12,'Existing Customers'!$Q:$Q)=0,"Enter Spend&gt;&gt;&gt;",ROUND(SUMIF('Existing Customers'!$A:$A,'Customer Inputs'!$G12,'Existing Customers'!$Q:$Q),0)),"")</f>
        <v/>
      </c>
      <c r="L12" s="1099" t="str">
        <f>IF($F12="","",'Multi-Customer'!$GJ49)</f>
        <v/>
      </c>
      <c r="M12" s="892" t="str">
        <f>IF($F12="","",IFERROR(VLOOKUP($G12,'Existing Customers'!$A:$AD,30,FALSE),"Enter Menu Type&gt;&gt;"))</f>
        <v/>
      </c>
      <c r="N12" s="732" t="str">
        <f>IFERROR(IF($C$4&gt;=$C12,VLOOKUP($G12,'Existing Customers'!$A:$J,10,FALSE),""),"Enter Zip Code &gt;")</f>
        <v/>
      </c>
      <c r="O12" s="1102" t="str">
        <f>IF($F12="","",'Multi-Customer'!$GJ50)</f>
        <v/>
      </c>
      <c r="P12" s="750"/>
      <c r="Q12" s="620"/>
      <c r="R12" s="745"/>
      <c r="S12" s="746"/>
      <c r="T12" s="1021"/>
      <c r="U12" s="746"/>
      <c r="V12" s="604" t="s">
        <v>653</v>
      </c>
      <c r="W12" s="1277" t="str">
        <f>IF($F12="","",'Variable Costs (Back)'!$A21)</f>
        <v/>
      </c>
      <c r="X12" s="611" t="str">
        <f t="shared" si="6"/>
        <v/>
      </c>
      <c r="Y12" s="52" t="str">
        <f t="shared" si="2"/>
        <v/>
      </c>
      <c r="Z12" s="52" t="str">
        <f t="shared" si="3"/>
        <v/>
      </c>
      <c r="AA12" s="52" t="str">
        <f t="shared" si="7"/>
        <v/>
      </c>
      <c r="AB12" s="134">
        <f t="shared" si="8"/>
        <v>0</v>
      </c>
      <c r="AC12">
        <f>IF($G12="New Store",COUNTIF($G$6:$G$15,"New Store")-COUNTIF($G13:$G$15,"New Store"),0)</f>
        <v>0</v>
      </c>
      <c r="AD12" t="str">
        <f t="shared" si="4"/>
        <v/>
      </c>
      <c r="AE12" s="2" t="str">
        <f t="shared" si="5"/>
        <v/>
      </c>
      <c r="AF12" s="134"/>
      <c r="AG12" t="e">
        <f>_xlfn.CONCAT($AG$1,"_",IF(NOT(ISBLANK($H$12)),$H$12,""),"_",IF(AND(NOT(ISBLANK($G$12)),$G$12&lt;&gt;"New"),IF($M$12&lt;&gt;"Enter Menu Type&gt;&gt;",IF($R$12=0,$M$12,$R$12),$R$12),""))</f>
        <v>#N/A</v>
      </c>
      <c r="AH12" s="134"/>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9"/>
        <v>0</v>
      </c>
      <c r="AN12" s="134" t="str">
        <f t="shared" si="10"/>
        <v>CLEAR</v>
      </c>
      <c r="AO12" s="134"/>
      <c r="AP12" s="134" t="str">
        <f t="shared" si="11"/>
        <v/>
      </c>
      <c r="AQ12" s="895" t="str">
        <f>IF($F12="","",IF(OR(U12="",U12="Existing"),IFERROR(VLOOKUP($G12,'Existing Customers'!$A:$F,4,FALSE),""),""))</f>
        <v/>
      </c>
      <c r="AR12" s="134" t="str">
        <f>IF($F12="","",IFERROR(VLOOKUP($G12,'Existing Customers'!$A:$F,4,FALSE),""))</f>
        <v/>
      </c>
      <c r="AS12" s="52" t="str">
        <f>IF($F12="","",IFERROR(VLOOKUP($G12,'Existing Customer Variable Exp'!$B:$L,6,FALSE),0))</f>
        <v/>
      </c>
      <c r="AT12" s="52" t="str">
        <f>IF($F12="","",IF(AS12=0,Welcome!$G$26,0))</f>
        <v/>
      </c>
      <c r="AU12" s="52" t="str">
        <f t="shared" si="12"/>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13"/>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81"/>
      <c r="F13" s="602" t="str">
        <f>IF(Welcome!$D$14="Select # of Locations","",IF($C13&lt;=Welcome!$D$14,$C13,""))</f>
        <v/>
      </c>
      <c r="G13" s="937"/>
      <c r="H13" s="933"/>
      <c r="I13" s="991"/>
      <c r="J13" s="982"/>
      <c r="K13" s="892" t="str">
        <f>IF($C$4&gt;=$C13,IF(SUMIF('Existing Customers'!$A:$A,'Customer Inputs'!$G13,'Existing Customers'!$Q:$Q)=0,"Enter Spend&gt;&gt;&gt;",ROUND(SUMIF('Existing Customers'!$A:$A,'Customer Inputs'!$G13,'Existing Customers'!$Q:$Q),0)),"")</f>
        <v/>
      </c>
      <c r="L13" s="1099" t="str">
        <f>IF($F13="","",'Multi-Customer'!$HG49)</f>
        <v/>
      </c>
      <c r="M13" s="892" t="str">
        <f>IF($F13="","",IFERROR(VLOOKUP($G13,'Existing Customers'!$A:$AD,30,FALSE),"Enter Menu Type&gt;&gt;"))</f>
        <v/>
      </c>
      <c r="N13" s="732" t="str">
        <f>IFERROR(IF($C$4&gt;=$C13,VLOOKUP($G13,'Existing Customers'!$A:$J,10,FALSE),""),"Enter Zip Code &gt;")</f>
        <v/>
      </c>
      <c r="O13" s="1102" t="str">
        <f>IF($F13="","",'Multi-Customer'!$HG50)</f>
        <v/>
      </c>
      <c r="P13" s="750"/>
      <c r="Q13" s="620"/>
      <c r="R13" s="745"/>
      <c r="S13" s="746"/>
      <c r="T13" s="1021"/>
      <c r="U13" s="746"/>
      <c r="V13" s="604" t="s">
        <v>653</v>
      </c>
      <c r="W13" s="1277" t="str">
        <f>IF($F13="","",'Variable Costs (Back)'!$A22)</f>
        <v/>
      </c>
      <c r="X13" s="611" t="str">
        <f t="shared" si="6"/>
        <v/>
      </c>
      <c r="Y13" s="52" t="str">
        <f t="shared" si="2"/>
        <v/>
      </c>
      <c r="Z13" s="52" t="str">
        <f t="shared" si="3"/>
        <v/>
      </c>
      <c r="AA13" s="52" t="str">
        <f t="shared" si="7"/>
        <v/>
      </c>
      <c r="AB13" s="134">
        <f t="shared" si="8"/>
        <v>0</v>
      </c>
      <c r="AC13">
        <f>IF($G13="New Store",COUNTIF($G$6:$G$15,"New Store")-COUNTIF($G14:$G$15,"New Store"),0)</f>
        <v>0</v>
      </c>
      <c r="AD13" t="str">
        <f t="shared" si="4"/>
        <v/>
      </c>
      <c r="AE13" s="2" t="str">
        <f t="shared" si="5"/>
        <v/>
      </c>
      <c r="AF13" s="134"/>
      <c r="AG13" t="e">
        <f>_xlfn.CONCAT($AG$1,"_",IF(NOT(ISBLANK($H$13)),$H$13,""),"_",IF(AND(NOT(ISBLANK($G$13)),$G$13&lt;&gt;"New"),IF($M$13&lt;&gt;"Enter Menu Type&gt;&gt;",IF($R$13=0,$M$13,$R$13),$R$13),""))</f>
        <v>#N/A</v>
      </c>
      <c r="AH13" s="134"/>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10"/>
        <v>CLEAR</v>
      </c>
      <c r="AO13" s="134"/>
      <c r="AP13" s="134" t="str">
        <f t="shared" si="11"/>
        <v/>
      </c>
      <c r="AQ13" s="895" t="str">
        <f>IF($F13="","",IF(OR(U13="",U13="Existing"),IFERROR(VLOOKUP($G13,'Existing Customers'!$A:$F,4,FALSE),""),""))</f>
        <v/>
      </c>
      <c r="AR13" s="134" t="str">
        <f>IF($F13="","",IFERROR(VLOOKUP($G13,'Existing Customers'!$A:$F,4,FALSE),""))</f>
        <v/>
      </c>
      <c r="AS13" s="52" t="str">
        <f>IF($F13="","",IFERROR(VLOOKUP($G13,'Existing Customer Variable Exp'!$B:$L,6,FALSE),0))</f>
        <v/>
      </c>
      <c r="AT13" s="52" t="str">
        <f>IF($F13="","",IF(AS13=0,Welcome!$G$26,0))</f>
        <v/>
      </c>
      <c r="AU13" s="52" t="str">
        <f t="shared" si="12"/>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13"/>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81"/>
      <c r="F14" s="602" t="str">
        <f>IF(Welcome!$D$14="Select # of Locations","",IF($C14&lt;=Welcome!$D$14,$C14,""))</f>
        <v/>
      </c>
      <c r="G14" s="937"/>
      <c r="H14" s="933"/>
      <c r="I14" s="991"/>
      <c r="J14" s="982"/>
      <c r="K14" s="892" t="str">
        <f>IF($C$4&gt;=$C14,IF(SUMIF('Existing Customers'!$A:$A,'Customer Inputs'!$G14,'Existing Customers'!$Q:$Q)=0,"Enter Spend&gt;&gt;&gt;",ROUND(SUMIF('Existing Customers'!$A:$A,'Customer Inputs'!$G14,'Existing Customers'!$Q:$Q),0)),"")</f>
        <v/>
      </c>
      <c r="L14" s="1099" t="str">
        <f>IF($F14="","",'Multi-Customer'!$ID49)</f>
        <v/>
      </c>
      <c r="M14" s="892" t="str">
        <f>IF($F14="","",IFERROR(VLOOKUP($G14,'Existing Customers'!$A:$AD,30,FALSE),"Enter Menu Type&gt;&gt;"))</f>
        <v/>
      </c>
      <c r="N14" s="732" t="str">
        <f>IFERROR(IF($C$4&gt;=$C14,VLOOKUP($G14,'Existing Customers'!$A:$J,10,FALSE),""),"Enter Zip Code &gt;")</f>
        <v/>
      </c>
      <c r="O14" s="1102" t="str">
        <f>IF($F14="","",'Multi-Customer'!$ID50)</f>
        <v/>
      </c>
      <c r="P14" s="750"/>
      <c r="Q14" s="620"/>
      <c r="R14" s="745"/>
      <c r="S14" s="746"/>
      <c r="T14" s="1021"/>
      <c r="U14" s="746"/>
      <c r="V14" s="604" t="s">
        <v>653</v>
      </c>
      <c r="W14" s="1277" t="str">
        <f>IF($F14="","",'Variable Costs (Back)'!$A23)</f>
        <v/>
      </c>
      <c r="X14" s="611" t="str">
        <f t="shared" si="6"/>
        <v/>
      </c>
      <c r="Y14" s="52" t="str">
        <f t="shared" si="2"/>
        <v/>
      </c>
      <c r="Z14" s="52" t="str">
        <f t="shared" si="3"/>
        <v/>
      </c>
      <c r="AA14" s="52" t="str">
        <f t="shared" si="7"/>
        <v/>
      </c>
      <c r="AB14" s="134">
        <f t="shared" si="8"/>
        <v>0</v>
      </c>
      <c r="AC14">
        <f>IF($G14="New Store",COUNTIF($G$6:$G$15,"New Store")-COUNTIF($G15:$G$15,"New Store"),0)</f>
        <v>0</v>
      </c>
      <c r="AD14" t="str">
        <f t="shared" si="4"/>
        <v/>
      </c>
      <c r="AE14" s="2" t="str">
        <f t="shared" si="5"/>
        <v/>
      </c>
      <c r="AF14" s="134"/>
      <c r="AG14" t="e">
        <f>_xlfn.CONCAT($AG$1,"_",IF(NOT(ISBLANK($H$14)),$H$14,""),"_",IF(AND(NOT(ISBLANK($G$14)),$G$14&lt;&gt;"New"),IF($M$14&lt;&gt;"Enter Menu Type&gt;&gt;",IF($R$14=0,$M$14,$R$14),$R$14),""))</f>
        <v>#N/A</v>
      </c>
      <c r="AH14" s="134"/>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10"/>
        <v>CLEAR</v>
      </c>
      <c r="AO14" s="134"/>
      <c r="AP14" s="134" t="str">
        <f t="shared" si="11"/>
        <v/>
      </c>
      <c r="AQ14" s="895" t="str">
        <f>IF($F14="","",IF(OR(U14="",U14="Existing"),IFERROR(VLOOKUP($G14,'Existing Customers'!$A:$F,4,FALSE),""),""))</f>
        <v/>
      </c>
      <c r="AR14" s="134" t="str">
        <f>IF($F14="","",IFERROR(VLOOKUP($G14,'Existing Customers'!$A:$F,4,FALSE),""))</f>
        <v/>
      </c>
      <c r="AS14" s="52" t="str">
        <f>IF($F14="","",IFERROR(VLOOKUP($G14,'Existing Customer Variable Exp'!$B:$L,6,FALSE),0))</f>
        <v/>
      </c>
      <c r="AT14" s="52" t="str">
        <f>IF($F14="","",IF(AS14=0,Welcome!$G$26,0))</f>
        <v/>
      </c>
      <c r="AU14" s="52" t="str">
        <f t="shared" si="12"/>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13"/>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81"/>
      <c r="F15" s="603" t="str">
        <f>IF(Welcome!$D$14="Select # of Locations","",IF($C15&lt;=Welcome!$D$14,$C15,""))</f>
        <v/>
      </c>
      <c r="G15" s="938"/>
      <c r="H15" s="934"/>
      <c r="I15" s="940"/>
      <c r="J15" s="981"/>
      <c r="K15" s="893" t="str">
        <f>IF($C$4&gt;=$C15,IF(SUMIF('Existing Customers'!$A:$A,'Customer Inputs'!$G15,'Existing Customers'!$Q:$Q)=0,"Enter Spend&gt;&gt;&gt;",ROUND(SUMIF('Existing Customers'!$A:$A,'Customer Inputs'!$G15,'Existing Customers'!$Q:$Q),0)),"")</f>
        <v/>
      </c>
      <c r="L15" s="1100" t="str">
        <f>IF($F15="","",'Multi-Customer'!$JA49)</f>
        <v/>
      </c>
      <c r="M15" s="1007" t="str">
        <f>IF($F15="","",IFERROR(VLOOKUP($G15,'Existing Customers'!$A:$AD,30,FALSE),"Enter Menu Type&gt;&gt;"))</f>
        <v/>
      </c>
      <c r="N15" s="733" t="str">
        <f>IFERROR(IF($C$4&gt;=$C15,VLOOKUP($G15,'Existing Customers'!$A:$J,10,FALSE),""),"Enter Zip Code &gt;")</f>
        <v/>
      </c>
      <c r="O15" s="1103" t="str">
        <f>IF($F15="","",'Multi-Customer'!$JA50)</f>
        <v/>
      </c>
      <c r="P15" s="751"/>
      <c r="Q15" s="621"/>
      <c r="R15" s="752"/>
      <c r="S15" s="753"/>
      <c r="T15" s="1022"/>
      <c r="U15" s="753"/>
      <c r="V15" s="605" t="s">
        <v>653</v>
      </c>
      <c r="W15" s="1277" t="str">
        <f>IF($F15="","",'Variable Costs (Back)'!$A24)</f>
        <v/>
      </c>
      <c r="X15" s="611" t="str">
        <f t="shared" si="6"/>
        <v/>
      </c>
      <c r="Y15" s="52" t="str">
        <f t="shared" si="2"/>
        <v/>
      </c>
      <c r="Z15" s="52" t="str">
        <f t="shared" si="3"/>
        <v/>
      </c>
      <c r="AA15" s="52" t="str">
        <f t="shared" si="7"/>
        <v/>
      </c>
      <c r="AB15" s="134">
        <f t="shared" si="8"/>
        <v>0</v>
      </c>
      <c r="AC15">
        <f>IF(IF($G15="New Store",COUNTIF($G$6:$G$15,"New Store")-COUNTIF($G$15:$G16,"New Store"),0)=9,10,9)</f>
        <v>9</v>
      </c>
      <c r="AD15" t="str">
        <f t="shared" si="4"/>
        <v/>
      </c>
      <c r="AE15" s="2" t="str">
        <f t="shared" si="5"/>
        <v/>
      </c>
      <c r="AF15" s="134"/>
      <c r="AG15" s="134" t="e">
        <f>_xlfn.CONCAT($AG$1,"_",IF(NOT(ISBLANK($H$15)),$H$15,""),"_",IF(AND(NOT(ISBLANK($G$15)),$G$15&lt;&gt;"New"),IF($M$15&lt;&gt;"Enter Menu Type&gt;&gt;",IF($R$15=0,$M$15,$R$15),$R$15),""))</f>
        <v>#N/A</v>
      </c>
      <c r="AH15" s="134"/>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10"/>
        <v>CLEAR</v>
      </c>
      <c r="AO15" s="134"/>
      <c r="AP15" s="134" t="str">
        <f t="shared" si="11"/>
        <v/>
      </c>
      <c r="AQ15" s="895" t="str">
        <f>IF($F15="","",IF(OR(U15="",U15="Existing"),IFERROR(VLOOKUP($G15,'Existing Customers'!$A:$F,4,FALSE),""),""))</f>
        <v/>
      </c>
      <c r="AR15" s="134" t="str">
        <f>IF($F15="","",IFERROR(VLOOKUP($G15,'Existing Customers'!$A:$F,4,FALSE),""))</f>
        <v/>
      </c>
      <c r="AS15" s="52" t="str">
        <f>IF($F15="","",IFERROR(VLOOKUP($G15,'Existing Customer Variable Exp'!$B:$L,6,FALSE),0))</f>
        <v/>
      </c>
      <c r="AT15" s="52" t="str">
        <f>IF($F15="","",IF(AS15=0,Welcome!$G$26,0))</f>
        <v/>
      </c>
      <c r="AU15" s="52" t="str">
        <f t="shared" si="12"/>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13"/>
        <v/>
      </c>
      <c r="BA15" s="52" t="str">
        <f t="shared" si="14"/>
        <v/>
      </c>
      <c r="BB15" s="52" t="str">
        <f t="shared" si="15"/>
        <v/>
      </c>
      <c r="BC15" s="52" t="str">
        <f>IF($F15="","",IFERROR(VLOOKUP($H15,'Prospect Slot Assumptions'!$A:$D,4,FALSE),0))</f>
        <v/>
      </c>
      <c r="BD15" s="52" t="str">
        <f t="shared" si="16"/>
        <v/>
      </c>
    </row>
    <row r="16" spans="1:56" ht="15.75" thickBot="1" x14ac:dyDescent="0.3">
      <c r="E16" s="614"/>
      <c r="F16" s="736"/>
      <c r="G16" s="736"/>
      <c r="H16" s="736"/>
      <c r="I16" s="736"/>
      <c r="J16" s="736"/>
      <c r="K16" s="740"/>
      <c r="L16" s="736"/>
      <c r="M16" s="736"/>
      <c r="N16" s="736"/>
      <c r="O16" s="736"/>
      <c r="P16" s="736"/>
      <c r="Q16" s="736"/>
      <c r="R16" s="736"/>
      <c r="S16" s="1276" t="str" cm="1">
        <f t="array" ref="S16">IFERROR(_xlfn.IFS(W6&lt;&gt;"",W6,W7&lt;&gt;"",W7,W8&lt;&gt;"",W8,W9&lt;&gt;"",W9,W10&lt;&gt;"",W10,W11&lt;&gt;"",W11,W12&lt;&gt;"",W12,W13&lt;&gt;"",W13,W14&lt;&gt;"",W14,W15&lt;&gt;"",W15),"")</f>
        <v/>
      </c>
      <c r="T16" s="736"/>
      <c r="U16" s="736"/>
      <c r="V16" s="736"/>
      <c r="W16" s="615"/>
      <c r="X16" s="134">
        <f>COUNTIF($X$6:$X$15,"Enter Drops &gt;")</f>
        <v>0</v>
      </c>
      <c r="Y16" s="134"/>
      <c r="Z16" s="134"/>
      <c r="AA16" s="670">
        <f>COUNTIF($AA$6:$AA$15,"Enter EB % &gt;")</f>
        <v>0</v>
      </c>
      <c r="AB16" s="134">
        <f>SUM(AB6:AB15)</f>
        <v>0</v>
      </c>
      <c r="AC16" s="134"/>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614"/>
      <c r="F17" s="736"/>
      <c r="G17" s="975" t="s">
        <v>1155</v>
      </c>
      <c r="H17" s="975"/>
      <c r="I17" s="1477">
        <f>SUM($I$6:$I$15)</f>
        <v>0</v>
      </c>
      <c r="J17" s="1479" t="s">
        <v>1386</v>
      </c>
      <c r="K17" s="1481">
        <f>SUM($K$6:$K$15)</f>
        <v>0</v>
      </c>
      <c r="L17" s="1479" t="s">
        <v>1387</v>
      </c>
      <c r="M17" s="736"/>
      <c r="N17" s="736"/>
      <c r="O17" s="736"/>
      <c r="P17" s="1477">
        <f>SUMIF($F$6:$F$15,"&gt;0",$P$6:$P$15)</f>
        <v>0</v>
      </c>
      <c r="Q17" s="1473" t="s">
        <v>1388</v>
      </c>
      <c r="R17" s="1475" t="str">
        <f>IF(Welcome!$D$14="Select # of Locations","",IF(AND(Welcome!D8="CIA",P17&lt;150000),"Annual sales must exceed $150,000 for ALC",IF(AND(OR(Welcome!D8="MDA",Welcome!D8="PON ONLY",Welcome!D8="PON with Existing CIA",Welcome!D8="PON with New CIA"),P17&lt;250000),"Annual sales must exceed $250,000 for ALC",IF(P17&gt;2500000,"Annual sales cannot exceed $2.5M for ALC",""))))</f>
        <v/>
      </c>
      <c r="S17" s="736"/>
      <c r="T17" s="736"/>
      <c r="U17" s="736"/>
      <c r="V17" s="736"/>
      <c r="W17" s="615"/>
      <c r="X17" s="134"/>
      <c r="Y17" s="134"/>
      <c r="Z17" s="134"/>
      <c r="AA17" s="134"/>
      <c r="AB17" s="134" t="s">
        <v>1056</v>
      </c>
      <c r="AC17" s="134"/>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614"/>
      <c r="F18" s="736"/>
      <c r="G18" s="975"/>
      <c r="H18" s="975"/>
      <c r="I18" s="1478"/>
      <c r="J18" s="1480"/>
      <c r="K18" s="1482"/>
      <c r="L18" s="1480"/>
      <c r="M18" s="736"/>
      <c r="N18" s="736"/>
      <c r="O18" s="736"/>
      <c r="P18" s="1478"/>
      <c r="Q18" s="1474"/>
      <c r="R18" s="1475"/>
      <c r="S18" s="736"/>
      <c r="T18" s="736"/>
      <c r="U18" s="736"/>
      <c r="V18" s="736"/>
      <c r="W18" s="615"/>
      <c r="X18" s="134"/>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616"/>
      <c r="F19" s="617"/>
      <c r="G19" s="617"/>
      <c r="H19" s="617"/>
      <c r="I19" s="617"/>
      <c r="J19" s="617"/>
      <c r="K19" s="617"/>
      <c r="L19" s="617"/>
      <c r="M19" s="617"/>
      <c r="N19" s="652"/>
      <c r="O19" s="257"/>
      <c r="P19" s="652"/>
      <c r="Q19" s="652"/>
      <c r="R19" s="617"/>
      <c r="S19" s="617"/>
      <c r="T19" s="617"/>
      <c r="U19" s="617"/>
      <c r="V19" s="617"/>
      <c r="W19" s="618"/>
      <c r="X19" s="1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IKoUkejqKN3hdoXFXQLyPe1So6N8zO6K0mEzVLhfguoh/F37HnQaswt4CBCy/sYOgSAbYzmXN0ri4AonxNIUDQ==" saltValue="3q+YyVSNXePH5pD8m4NmZA==" spinCount="100000" sheet="1" objects="1" scenarios="1"/>
  <mergeCells count="8">
    <mergeCell ref="Q17:Q18"/>
    <mergeCell ref="R17:R18"/>
    <mergeCell ref="F2:G2"/>
    <mergeCell ref="P17:P18"/>
    <mergeCell ref="I17:I18"/>
    <mergeCell ref="J17:J18"/>
    <mergeCell ref="K17:K18"/>
    <mergeCell ref="L17:L18"/>
  </mergeCells>
  <conditionalFormatting sqref="R6:S15">
    <cfRule type="expression" dxfId="516" priority="15">
      <formula>$AP6="Existing"</formula>
    </cfRule>
    <cfRule type="expression" dxfId="515" priority="39">
      <formula>AND($K6&lt;&gt;"Enter Spend&gt;&gt;&gt;",$U6&lt;&gt;"Prospect")</formula>
    </cfRule>
  </conditionalFormatting>
  <conditionalFormatting sqref="S6:S15">
    <cfRule type="expression" dxfId="514" priority="33">
      <formula>$W6="Zip Code Not Serviced"</formula>
    </cfRule>
  </conditionalFormatting>
  <conditionalFormatting sqref="L3:N3">
    <cfRule type="expression" dxfId="513" priority="29">
      <formula>$AN$4&gt;0</formula>
    </cfRule>
  </conditionalFormatting>
  <conditionalFormatting sqref="T6:V15">
    <cfRule type="expression" dxfId="512" priority="24">
      <formula>AND($K6&lt;&gt;"Enter Spend&gt;&gt;&gt;",$U$6&lt;&gt;"Prospect")</formula>
    </cfRule>
  </conditionalFormatting>
  <conditionalFormatting sqref="T6:V15">
    <cfRule type="expression" dxfId="511" priority="25">
      <formula>$F6=""</formula>
    </cfRule>
    <cfRule type="notContainsBlanks" dxfId="510" priority="26">
      <formula>LEN(TRIM(T6))&gt;0</formula>
    </cfRule>
  </conditionalFormatting>
  <conditionalFormatting sqref="T6:V15">
    <cfRule type="expression" dxfId="509" priority="23">
      <formula>$AN6="FLAG"</formula>
    </cfRule>
  </conditionalFormatting>
  <conditionalFormatting sqref="U6:U15">
    <cfRule type="expression" dxfId="508" priority="20">
      <formula>$W6="Zip Code Not Serviced"</formula>
    </cfRule>
  </conditionalFormatting>
  <conditionalFormatting sqref="P6:S15">
    <cfRule type="expression" dxfId="507" priority="40">
      <formula>$F6=""</formula>
    </cfRule>
    <cfRule type="notContainsBlanks" dxfId="506" priority="41">
      <formula>LEN(TRIM(P6))&gt;0</formula>
    </cfRule>
  </conditionalFormatting>
  <conditionalFormatting sqref="K6:K15 M6:N15 P6:S15">
    <cfRule type="expression" dxfId="505" priority="27">
      <formula>$AN6="FLAG"</formula>
    </cfRule>
  </conditionalFormatting>
  <conditionalFormatting sqref="U14">
    <cfRule type="expression" dxfId="504" priority="14">
      <formula>$AP14="Prospect"</formula>
    </cfRule>
  </conditionalFormatting>
  <conditionalFormatting sqref="U13">
    <cfRule type="expression" dxfId="503" priority="13">
      <formula>$AP13="Prospect"</formula>
    </cfRule>
  </conditionalFormatting>
  <conditionalFormatting sqref="U15">
    <cfRule type="expression" dxfId="502" priority="12">
      <formula>$AP15="Prospect"</formula>
    </cfRule>
  </conditionalFormatting>
  <conditionalFormatting sqref="U12">
    <cfRule type="expression" dxfId="501" priority="11">
      <formula>$AP12="Prospect"</formula>
    </cfRule>
  </conditionalFormatting>
  <conditionalFormatting sqref="U11">
    <cfRule type="expression" dxfId="500" priority="10">
      <formula>$AP11="Prospect"</formula>
    </cfRule>
  </conditionalFormatting>
  <conditionalFormatting sqref="U10">
    <cfRule type="expression" dxfId="499" priority="9">
      <formula>$AP10="Prospect"</formula>
    </cfRule>
  </conditionalFormatting>
  <conditionalFormatting sqref="U9">
    <cfRule type="expression" dxfId="498" priority="8">
      <formula>$AP9="Prospect"</formula>
    </cfRule>
  </conditionalFormatting>
  <conditionalFormatting sqref="U8">
    <cfRule type="expression" dxfId="497" priority="7">
      <formula>$AP8="Prospect"</formula>
    </cfRule>
  </conditionalFormatting>
  <conditionalFormatting sqref="U7">
    <cfRule type="expression" dxfId="496" priority="6">
      <formula>$AP7="Prospect"</formula>
    </cfRule>
  </conditionalFormatting>
  <conditionalFormatting sqref="U6">
    <cfRule type="expression" dxfId="495" priority="5">
      <formula>$AP6="Prospect"</formula>
    </cfRule>
  </conditionalFormatting>
  <conditionalFormatting sqref="L6:L15">
    <cfRule type="expression" dxfId="494" priority="4">
      <formula>Q6&lt;&gt;""</formula>
    </cfRule>
  </conditionalFormatting>
  <conditionalFormatting sqref="L6:L15">
    <cfRule type="expression" dxfId="493" priority="3">
      <formula>$AN6="FLAG"</formula>
    </cfRule>
  </conditionalFormatting>
  <conditionalFormatting sqref="O6:O15">
    <cfRule type="expression" dxfId="492" priority="2">
      <formula>T6&lt;&gt;""</formula>
    </cfRule>
  </conditionalFormatting>
  <conditionalFormatting sqref="O6:O15">
    <cfRule type="expression" dxfId="491" priority="1">
      <formula>$AN6="FLAG"</formula>
    </cfRule>
  </conditionalFormatting>
  <conditionalFormatting sqref="G6:H15">
    <cfRule type="notContainsBlanks" dxfId="490" priority="16">
      <formula>LEN(TRIM(G6))&gt;0</formula>
    </cfRule>
    <cfRule type="expression" dxfId="489" priority="17">
      <formula>$F6&lt;&gt;""</formula>
    </cfRule>
  </conditionalFormatting>
  <dataValidations count="3">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97" t="s">
        <v>208</v>
      </c>
      <c r="E1" s="139"/>
      <c r="F1" s="139"/>
      <c r="G1" s="141"/>
      <c r="H1" s="141"/>
      <c r="I1" s="141"/>
      <c r="J1" s="141"/>
      <c r="K1" s="1380"/>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97"/>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72" t="s">
        <v>1246</v>
      </c>
      <c r="E3" s="385">
        <f>Welcome!$D$8</f>
        <v>0</v>
      </c>
      <c r="F3" s="139"/>
      <c r="G3" s="472" t="s">
        <v>110</v>
      </c>
      <c r="H3" s="1494" t="str">
        <f>IFERROR(VLOOKUP($H$4,'Market Geography'!$D:$G,4,FALSE),"Select Market")</f>
        <v>Select Market</v>
      </c>
      <c r="I3" s="1495"/>
      <c r="J3" s="1495"/>
      <c r="K3" s="1496"/>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73" t="s">
        <v>1247</v>
      </c>
      <c r="E4" s="354" t="str">
        <f>Welcome!$D$12</f>
        <v>Select Term</v>
      </c>
      <c r="F4" s="139"/>
      <c r="G4" s="473" t="s">
        <v>881</v>
      </c>
      <c r="H4" s="1491">
        <f>Welcome!$D$4</f>
        <v>0</v>
      </c>
      <c r="I4" s="1492"/>
      <c r="J4" s="1492"/>
      <c r="K4" s="1493"/>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73" t="s">
        <v>1252</v>
      </c>
      <c r="E5" s="143">
        <f>$G$31</f>
        <v>0</v>
      </c>
      <c r="F5" s="139"/>
      <c r="G5" s="473" t="s">
        <v>107</v>
      </c>
      <c r="H5" s="1491" t="str">
        <f>'Multi-Customer'!$S$49</f>
        <v>Enter Customer(s)</v>
      </c>
      <c r="I5" s="1492"/>
      <c r="J5" s="1492"/>
      <c r="K5" s="1493"/>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73" t="s">
        <v>1253</v>
      </c>
      <c r="E6" s="144">
        <f>IFERROR('Variable Costs (Back)'!$K$26,0)</f>
        <v>0</v>
      </c>
      <c r="F6" s="139"/>
      <c r="G6" s="473" t="s">
        <v>1262</v>
      </c>
      <c r="H6" s="1491" t="str">
        <f>'Multi-Customer'!$AH$40</f>
        <v>MULTIPLE TYPES</v>
      </c>
      <c r="I6" s="1492"/>
      <c r="J6" s="1492"/>
      <c r="K6" s="1493"/>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74" t="s">
        <v>1254</v>
      </c>
      <c r="E7" s="386">
        <f>IFERROR('PIM Ranges'!$AU$3,0)</f>
        <v>0</v>
      </c>
      <c r="F7" s="139"/>
      <c r="G7" s="474" t="s">
        <v>1255</v>
      </c>
      <c r="H7" s="1497" t="s">
        <v>206</v>
      </c>
      <c r="I7" s="1498"/>
      <c r="J7" s="1498"/>
      <c r="K7" s="1499"/>
      <c r="L7" s="139"/>
      <c r="M7" s="139"/>
      <c r="N7" s="139"/>
      <c r="O7" s="139"/>
      <c r="P7" s="139"/>
      <c r="Q7" s="1380"/>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600"/>
      <c r="H8" s="134"/>
      <c r="I8" s="134"/>
      <c r="J8" s="134"/>
      <c r="K8" s="139"/>
      <c r="L8" s="139"/>
      <c r="M8" s="139"/>
      <c r="N8" s="139"/>
      <c r="O8" s="467"/>
      <c r="P8" s="560" t="str">
        <f>IF($E$3="MDA","Contract Margin %","Margin % Used For Modeling")</f>
        <v>Margin % Used For Modeling</v>
      </c>
      <c r="Q8" s="467"/>
      <c r="R8" s="134"/>
      <c r="S8" s="146"/>
      <c r="T8" s="147" t="s">
        <v>505</v>
      </c>
      <c r="U8" s="146"/>
      <c r="V8" s="139"/>
      <c r="W8" s="377" t="s">
        <v>496</v>
      </c>
      <c r="X8" s="139"/>
      <c r="Y8" s="139"/>
      <c r="Z8" s="139"/>
      <c r="AA8" s="139"/>
      <c r="AB8" s="139"/>
      <c r="AC8" s="139"/>
      <c r="AD8" s="139"/>
      <c r="AE8" s="139"/>
      <c r="AF8" s="139"/>
      <c r="AG8" s="139"/>
      <c r="AH8" s="139"/>
      <c r="AI8" s="139"/>
      <c r="AJ8" s="139"/>
      <c r="AK8" s="139"/>
      <c r="AL8" s="139"/>
      <c r="AM8" s="139"/>
    </row>
    <row r="9" spans="1:39" ht="30" customHeight="1" thickBot="1" x14ac:dyDescent="0.3">
      <c r="A9" s="139"/>
      <c r="B9" s="495" t="s">
        <v>929</v>
      </c>
      <c r="C9" s="496" t="s">
        <v>1005</v>
      </c>
      <c r="D9" s="496" t="s">
        <v>1338</v>
      </c>
      <c r="E9" s="379" t="s">
        <v>466</v>
      </c>
      <c r="F9" s="148" t="s">
        <v>1385</v>
      </c>
      <c r="G9" s="149" t="s">
        <v>397</v>
      </c>
      <c r="H9" s="150" t="s">
        <v>83</v>
      </c>
      <c r="I9" s="151" t="s">
        <v>1339</v>
      </c>
      <c r="J9" s="148" t="s">
        <v>1340</v>
      </c>
      <c r="K9" s="152" t="s">
        <v>225</v>
      </c>
      <c r="L9" s="153"/>
      <c r="M9" s="154" t="s">
        <v>956</v>
      </c>
      <c r="N9" s="155"/>
      <c r="O9" s="469" t="s">
        <v>126</v>
      </c>
      <c r="P9" s="468" t="str">
        <f>IF($E$3="CIA","Incentive Only","Recommended")</f>
        <v>Recommended</v>
      </c>
      <c r="Q9" s="470" t="s">
        <v>128</v>
      </c>
      <c r="R9" s="134"/>
      <c r="S9" s="156" t="s">
        <v>126</v>
      </c>
      <c r="T9" s="157" t="s">
        <v>127</v>
      </c>
      <c r="U9" s="158" t="s">
        <v>128</v>
      </c>
      <c r="V9" s="139"/>
      <c r="W9" s="378" t="s">
        <v>127</v>
      </c>
      <c r="X9" s="139"/>
      <c r="Y9" s="139"/>
      <c r="Z9" s="139"/>
      <c r="AA9" s="139"/>
      <c r="AB9" s="141"/>
      <c r="AD9" s="159" t="s">
        <v>683</v>
      </c>
      <c r="AE9" s="139"/>
      <c r="AF9" s="626" t="s">
        <v>1011</v>
      </c>
      <c r="AG9" s="139" t="s">
        <v>1012</v>
      </c>
      <c r="AH9" s="139" t="s">
        <v>487</v>
      </c>
      <c r="AI9" s="139"/>
      <c r="AJ9" s="139"/>
      <c r="AK9" s="139"/>
      <c r="AL9" s="139"/>
      <c r="AM9" s="139"/>
    </row>
    <row r="10" spans="1:39" ht="17.25" x14ac:dyDescent="0.25">
      <c r="A10" s="139"/>
      <c r="B10" s="589">
        <v>0</v>
      </c>
      <c r="C10" s="595"/>
      <c r="D10" s="882" t="s">
        <v>482</v>
      </c>
      <c r="E10" s="590" t="s">
        <v>964</v>
      </c>
      <c r="F10" s="160" t="s">
        <v>99</v>
      </c>
      <c r="G10" s="629">
        <f>IFERROR('PIM Ranges'!AL12,0)</f>
        <v>0</v>
      </c>
      <c r="H10" s="630">
        <f>IFERROR('PIM Ranges'!AM12,0)</f>
        <v>0</v>
      </c>
      <c r="I10" s="631">
        <f>IFERROR('PIM Ranges'!AN12,0)</f>
        <v>0</v>
      </c>
      <c r="J10" s="383">
        <f t="shared" ref="J10:J26" si="0">IF($E$3="CIA",IF($D10="%",$P10*$G10,$P10*$I10),IF($D10="%",$K10*$G10,$K10*I10))</f>
        <v>0</v>
      </c>
      <c r="K10" s="785"/>
      <c r="L10" s="680" t="str">
        <f t="shared" ref="L10:L26" si="1">IF($E$3="CIA","",IF(K10="","",IF(K10&lt;O10,"X",IF(K10&gt;Q10,"X",""))))</f>
        <v/>
      </c>
      <c r="M10" s="783">
        <f>'Multi-Customer'!AE14</f>
        <v>0</v>
      </c>
      <c r="N10" s="161"/>
      <c r="O10" s="787">
        <f>IF(D10="%",'Multi-Customer'!$I14,S10)</f>
        <v>0</v>
      </c>
      <c r="P10" s="787">
        <f>IF(D10="%",IF($E$3="CIA",'Multi-Customer'!$N14,'Multi-Customer'!$J14),T10)</f>
        <v>0</v>
      </c>
      <c r="Q10" s="787">
        <f>IF(D10="%",'Multi-Customer'!$K14,U10)</f>
        <v>0</v>
      </c>
      <c r="R10" s="1379"/>
      <c r="S10" s="787"/>
      <c r="T10" s="787"/>
      <c r="U10" s="787"/>
      <c r="V10" s="139"/>
      <c r="W10" s="162" t="e">
        <f>'Multi-Customer'!AU14</f>
        <v>#DIV/0!</v>
      </c>
      <c r="X10" s="139"/>
      <c r="Y10" s="139"/>
      <c r="Z10" s="139"/>
      <c r="AA10" s="139"/>
      <c r="AB10" s="356"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91">
        <v>0</v>
      </c>
      <c r="C11" s="596"/>
      <c r="D11" s="720" t="s">
        <v>482</v>
      </c>
      <c r="E11" s="592" t="s">
        <v>964</v>
      </c>
      <c r="F11" s="965" t="s">
        <v>103</v>
      </c>
      <c r="G11" s="632">
        <f>IFERROR('PIM Ranges'!AL13,0)</f>
        <v>0</v>
      </c>
      <c r="H11" s="633">
        <f>IFERROR('PIM Ranges'!AM13,0)</f>
        <v>0</v>
      </c>
      <c r="I11" s="634">
        <f>IFERROR('PIM Ranges'!AN13,0)</f>
        <v>0</v>
      </c>
      <c r="J11" s="383">
        <f t="shared" si="0"/>
        <v>0</v>
      </c>
      <c r="K11" s="785"/>
      <c r="L11" s="680" t="str">
        <f t="shared" si="1"/>
        <v/>
      </c>
      <c r="M11" s="783">
        <f>'Multi-Customer'!AE15</f>
        <v>0</v>
      </c>
      <c r="N11" s="161"/>
      <c r="O11" s="787">
        <f>IF(D11="%",'Multi-Customer'!$I15,S11)</f>
        <v>0</v>
      </c>
      <c r="P11" s="787">
        <f>IF(D11="%",IF($E$3="CIA",'Multi-Customer'!$N15,'Multi-Customer'!$J15),T11)</f>
        <v>0</v>
      </c>
      <c r="Q11" s="787">
        <f>IF(D11="%",'Multi-Customer'!$K15,U11)</f>
        <v>0</v>
      </c>
      <c r="R11" s="1379"/>
      <c r="S11" s="1023">
        <f>'Multi-Customer'!$I15*'PIM Ranges'!$AP13</f>
        <v>0</v>
      </c>
      <c r="T11" s="1023">
        <f>'Multi-Customer'!$J15*'PIM Ranges'!$AP13</f>
        <v>0</v>
      </c>
      <c r="U11" s="1023">
        <f>'Multi-Customer'!$K15*'PIM Ranges'!$AP13</f>
        <v>0</v>
      </c>
      <c r="V11" s="139"/>
      <c r="W11" s="162" t="e">
        <f>'Multi-Customer'!AU15</f>
        <v>#DIV/0!</v>
      </c>
      <c r="X11" s="139"/>
      <c r="Y11" s="139"/>
      <c r="Z11" s="139"/>
      <c r="AA11" s="139"/>
      <c r="AB11" s="356"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91">
        <v>0</v>
      </c>
      <c r="C12" s="596"/>
      <c r="D12" s="720" t="s">
        <v>482</v>
      </c>
      <c r="E12" s="592" t="s">
        <v>964</v>
      </c>
      <c r="F12" s="965" t="s">
        <v>1389</v>
      </c>
      <c r="G12" s="632">
        <f>IFERROR('PIM Ranges'!AL14,0)</f>
        <v>0</v>
      </c>
      <c r="H12" s="633">
        <f>IFERROR('PIM Ranges'!AM14,0)</f>
        <v>0</v>
      </c>
      <c r="I12" s="634">
        <f>IFERROR('PIM Ranges'!AN14,0)</f>
        <v>0</v>
      </c>
      <c r="J12" s="383">
        <f t="shared" si="0"/>
        <v>0</v>
      </c>
      <c r="K12" s="785"/>
      <c r="L12" s="680" t="str">
        <f t="shared" si="1"/>
        <v/>
      </c>
      <c r="M12" s="783">
        <f>'Multi-Customer'!AE16</f>
        <v>0</v>
      </c>
      <c r="N12" s="161"/>
      <c r="O12" s="787">
        <f>IF(D12="%",'Multi-Customer'!$I16,S12)</f>
        <v>0</v>
      </c>
      <c r="P12" s="787">
        <f>IF(D12="%",IF($E$3="CIA",'Multi-Customer'!$N16,'Multi-Customer'!$J16),T12)</f>
        <v>0</v>
      </c>
      <c r="Q12" s="787">
        <f>IF(D12="%",'Multi-Customer'!$K16,U12)</f>
        <v>0</v>
      </c>
      <c r="R12" s="1379"/>
      <c r="S12" s="1023">
        <f>'Multi-Customer'!$I16*'PIM Ranges'!$AP14</f>
        <v>0</v>
      </c>
      <c r="T12" s="1023">
        <f>'Multi-Customer'!$J16*'PIM Ranges'!$AP14</f>
        <v>0</v>
      </c>
      <c r="U12" s="1023">
        <f>'Multi-Customer'!$K16*'PIM Ranges'!$AP14</f>
        <v>0</v>
      </c>
      <c r="V12" s="139"/>
      <c r="W12" s="162" t="e">
        <f>'Multi-Customer'!AU16</f>
        <v>#DIV/0!</v>
      </c>
      <c r="X12" s="139"/>
      <c r="Y12" s="139"/>
      <c r="Z12" s="139"/>
      <c r="AA12" s="139"/>
      <c r="AB12" s="356"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91">
        <v>0</v>
      </c>
      <c r="C13" s="596"/>
      <c r="D13" s="883" t="s">
        <v>482</v>
      </c>
      <c r="E13" s="592" t="s">
        <v>964</v>
      </c>
      <c r="F13" s="164" t="s">
        <v>102</v>
      </c>
      <c r="G13" s="632">
        <f>IFERROR('PIM Ranges'!AL15,0)</f>
        <v>0</v>
      </c>
      <c r="H13" s="633">
        <f>IFERROR('PIM Ranges'!AM15,0)</f>
        <v>0</v>
      </c>
      <c r="I13" s="634">
        <f>IFERROR('PIM Ranges'!AN15,0)</f>
        <v>0</v>
      </c>
      <c r="J13" s="383">
        <f t="shared" si="0"/>
        <v>0</v>
      </c>
      <c r="K13" s="785"/>
      <c r="L13" s="680" t="str">
        <f t="shared" si="1"/>
        <v/>
      </c>
      <c r="M13" s="783">
        <f>'Multi-Customer'!AE17</f>
        <v>0</v>
      </c>
      <c r="N13" s="161"/>
      <c r="O13" s="787">
        <f>IF(D13="%",'Multi-Customer'!$I17,S13)</f>
        <v>0</v>
      </c>
      <c r="P13" s="787">
        <f>IF(D13="%",IF($E$3="CIA",'Multi-Customer'!$N17,'Multi-Customer'!$J17),T13)</f>
        <v>0</v>
      </c>
      <c r="Q13" s="787">
        <f>IF(D13="%",'Multi-Customer'!$K17,U13)</f>
        <v>0</v>
      </c>
      <c r="R13" s="1379"/>
      <c r="S13" s="787"/>
      <c r="T13" s="787"/>
      <c r="U13" s="787"/>
      <c r="V13" s="139"/>
      <c r="W13" s="162" t="e">
        <f>'Multi-Customer'!AU17</f>
        <v>#DIV/0!</v>
      </c>
      <c r="X13" s="139"/>
      <c r="Y13" s="139"/>
      <c r="Z13" s="139"/>
      <c r="AA13" s="139"/>
      <c r="AB13" s="356"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91">
        <v>0</v>
      </c>
      <c r="C14" s="596"/>
      <c r="D14" s="883" t="s">
        <v>482</v>
      </c>
      <c r="E14" s="592" t="s">
        <v>964</v>
      </c>
      <c r="F14" s="164" t="s">
        <v>100</v>
      </c>
      <c r="G14" s="632">
        <f>IFERROR('PIM Ranges'!AL16,0)</f>
        <v>0</v>
      </c>
      <c r="H14" s="633">
        <f>IFERROR('PIM Ranges'!AM16,0)</f>
        <v>0</v>
      </c>
      <c r="I14" s="634">
        <f>IFERROR('PIM Ranges'!AN16,0)</f>
        <v>0</v>
      </c>
      <c r="J14" s="383">
        <f t="shared" si="0"/>
        <v>0</v>
      </c>
      <c r="K14" s="785"/>
      <c r="L14" s="680" t="str">
        <f t="shared" si="1"/>
        <v/>
      </c>
      <c r="M14" s="783">
        <f>'Multi-Customer'!AE18</f>
        <v>0</v>
      </c>
      <c r="N14" s="161"/>
      <c r="O14" s="787">
        <f>IF(D14="%",'Multi-Customer'!$I18,S14)</f>
        <v>0</v>
      </c>
      <c r="P14" s="787">
        <f>IF(D14="%",IF($E$3="CIA",'Multi-Customer'!$N18,'Multi-Customer'!$J18),T14)</f>
        <v>0</v>
      </c>
      <c r="Q14" s="787">
        <f>IF(D14="%",'Multi-Customer'!$K18,U14)</f>
        <v>0</v>
      </c>
      <c r="R14" s="1379"/>
      <c r="S14" s="787"/>
      <c r="T14" s="787"/>
      <c r="U14" s="787"/>
      <c r="V14" s="139"/>
      <c r="W14" s="162" t="e">
        <f>'Multi-Customer'!AU18</f>
        <v>#DIV/0!</v>
      </c>
      <c r="X14" s="139"/>
      <c r="Y14" s="139"/>
      <c r="Z14" s="139"/>
      <c r="AA14" s="139"/>
      <c r="AB14" s="356"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91">
        <v>0</v>
      </c>
      <c r="C15" s="596"/>
      <c r="D15" s="883" t="s">
        <v>482</v>
      </c>
      <c r="E15" s="592" t="s">
        <v>964</v>
      </c>
      <c r="F15" s="164" t="s">
        <v>104</v>
      </c>
      <c r="G15" s="632">
        <f>IFERROR('PIM Ranges'!AL17,0)</f>
        <v>0</v>
      </c>
      <c r="H15" s="633">
        <f>IFERROR('PIM Ranges'!AM17,0)</f>
        <v>0</v>
      </c>
      <c r="I15" s="634">
        <f>IFERROR('PIM Ranges'!AN17,0)</f>
        <v>0</v>
      </c>
      <c r="J15" s="383">
        <f t="shared" si="0"/>
        <v>0</v>
      </c>
      <c r="K15" s="785"/>
      <c r="L15" s="680" t="str">
        <f t="shared" si="1"/>
        <v/>
      </c>
      <c r="M15" s="783">
        <f>'Multi-Customer'!AE19</f>
        <v>0</v>
      </c>
      <c r="N15" s="161"/>
      <c r="O15" s="787">
        <f>IF(D15="%",'Multi-Customer'!$I19,S15)</f>
        <v>0</v>
      </c>
      <c r="P15" s="787">
        <f>IF(D15="%",IF($E$3="CIA",'Multi-Customer'!$N19,'Multi-Customer'!$J19),T15)</f>
        <v>0</v>
      </c>
      <c r="Q15" s="787">
        <f>IF(D15="%",'Multi-Customer'!$K19,U15)</f>
        <v>0</v>
      </c>
      <c r="R15" s="1379"/>
      <c r="S15" s="787"/>
      <c r="T15" s="787"/>
      <c r="U15" s="787"/>
      <c r="V15" s="139"/>
      <c r="W15" s="162" t="e">
        <f>'Multi-Customer'!AU19</f>
        <v>#DIV/0!</v>
      </c>
      <c r="X15" s="139"/>
      <c r="Y15" s="139"/>
      <c r="Z15" s="139"/>
      <c r="AA15" s="139"/>
      <c r="AB15" s="356"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91">
        <v>0</v>
      </c>
      <c r="C16" s="596"/>
      <c r="D16" s="883" t="s">
        <v>482</v>
      </c>
      <c r="E16" s="592" t="s">
        <v>964</v>
      </c>
      <c r="F16" s="164" t="s">
        <v>98</v>
      </c>
      <c r="G16" s="632">
        <f>IFERROR('PIM Ranges'!AL18,0)</f>
        <v>0</v>
      </c>
      <c r="H16" s="633">
        <f>IFERROR('PIM Ranges'!AM18,0)</f>
        <v>0</v>
      </c>
      <c r="I16" s="634">
        <f>IFERROR('PIM Ranges'!AN18,0)</f>
        <v>0</v>
      </c>
      <c r="J16" s="383">
        <f t="shared" si="0"/>
        <v>0</v>
      </c>
      <c r="K16" s="785"/>
      <c r="L16" s="680" t="str">
        <f t="shared" si="1"/>
        <v/>
      </c>
      <c r="M16" s="783">
        <f>'Multi-Customer'!AE20</f>
        <v>0</v>
      </c>
      <c r="N16" s="161"/>
      <c r="O16" s="787">
        <f>IF(D16="%",'Multi-Customer'!$I20,S16)</f>
        <v>0</v>
      </c>
      <c r="P16" s="787">
        <f>IF(D16="%",IF($E$3="CIA",'Multi-Customer'!$N20,'Multi-Customer'!$J20),T16)</f>
        <v>0</v>
      </c>
      <c r="Q16" s="787">
        <f>IF(D16="%",'Multi-Customer'!$K20,U16)</f>
        <v>0</v>
      </c>
      <c r="R16" s="1379"/>
      <c r="S16" s="787"/>
      <c r="T16" s="787"/>
      <c r="U16" s="787"/>
      <c r="V16" s="139"/>
      <c r="W16" s="162" t="e">
        <f>'Multi-Customer'!AU20</f>
        <v>#DIV/0!</v>
      </c>
      <c r="X16" s="139"/>
      <c r="Y16" s="139"/>
      <c r="Z16" s="139"/>
      <c r="AA16" s="139"/>
      <c r="AB16" s="356"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91">
        <v>0</v>
      </c>
      <c r="C17" s="596"/>
      <c r="D17" s="883" t="s">
        <v>482</v>
      </c>
      <c r="E17" s="592" t="s">
        <v>964</v>
      </c>
      <c r="F17" s="164" t="s">
        <v>95</v>
      </c>
      <c r="G17" s="632">
        <f>IFERROR('PIM Ranges'!AL19,0)</f>
        <v>0</v>
      </c>
      <c r="H17" s="633">
        <f>IFERROR('PIM Ranges'!AM19,0)</f>
        <v>0</v>
      </c>
      <c r="I17" s="634">
        <f>IFERROR('PIM Ranges'!AN19,0)</f>
        <v>0</v>
      </c>
      <c r="J17" s="383">
        <f t="shared" si="0"/>
        <v>0</v>
      </c>
      <c r="K17" s="785"/>
      <c r="L17" s="680" t="str">
        <f t="shared" si="1"/>
        <v/>
      </c>
      <c r="M17" s="783">
        <f>'Multi-Customer'!AE21</f>
        <v>0</v>
      </c>
      <c r="N17" s="161"/>
      <c r="O17" s="787">
        <f>IF(D17="%",'Multi-Customer'!$I21,S17)</f>
        <v>0</v>
      </c>
      <c r="P17" s="787">
        <f>IF(D17="%",IF($E$3="CIA",'Multi-Customer'!$N21,'Multi-Customer'!$J21),T17)</f>
        <v>0</v>
      </c>
      <c r="Q17" s="787">
        <f>IF(D17="%",'Multi-Customer'!$K21,U17)</f>
        <v>0</v>
      </c>
      <c r="R17" s="1379"/>
      <c r="S17" s="787"/>
      <c r="T17" s="787"/>
      <c r="U17" s="787"/>
      <c r="V17" s="139"/>
      <c r="W17" s="162" t="e">
        <f>'Multi-Customer'!AU21</f>
        <v>#DIV/0!</v>
      </c>
      <c r="X17" s="139"/>
      <c r="Y17" s="139"/>
      <c r="Z17" s="139"/>
      <c r="AA17" s="139"/>
      <c r="AB17" s="356"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91">
        <v>0</v>
      </c>
      <c r="C18" s="596"/>
      <c r="D18" s="883" t="s">
        <v>482</v>
      </c>
      <c r="E18" s="592" t="s">
        <v>964</v>
      </c>
      <c r="F18" s="164" t="s">
        <v>96</v>
      </c>
      <c r="G18" s="632">
        <f>IFERROR('PIM Ranges'!AL20,0)</f>
        <v>0</v>
      </c>
      <c r="H18" s="633">
        <f>IFERROR('PIM Ranges'!AM20,0)</f>
        <v>0</v>
      </c>
      <c r="I18" s="634">
        <f>IFERROR('PIM Ranges'!AN20,0)</f>
        <v>0</v>
      </c>
      <c r="J18" s="383">
        <f t="shared" si="0"/>
        <v>0</v>
      </c>
      <c r="K18" s="785"/>
      <c r="L18" s="680" t="str">
        <f t="shared" si="1"/>
        <v/>
      </c>
      <c r="M18" s="783">
        <f>'Multi-Customer'!AE22</f>
        <v>0</v>
      </c>
      <c r="N18" s="161"/>
      <c r="O18" s="787">
        <f>IF(D18="%",'Multi-Customer'!$I22,S18)</f>
        <v>0</v>
      </c>
      <c r="P18" s="787">
        <f>IF(D18="%",IF($E$3="CIA",'Multi-Customer'!$N22,'Multi-Customer'!$J22),T18)</f>
        <v>0</v>
      </c>
      <c r="Q18" s="787">
        <f>IF(D18="%",'Multi-Customer'!$K22,U18)</f>
        <v>0</v>
      </c>
      <c r="R18" s="1379"/>
      <c r="S18" s="787"/>
      <c r="T18" s="787"/>
      <c r="U18" s="787"/>
      <c r="V18" s="139"/>
      <c r="W18" s="162" t="e">
        <f>'Multi-Customer'!AU22</f>
        <v>#DIV/0!</v>
      </c>
      <c r="X18" s="139"/>
      <c r="Y18" s="139"/>
      <c r="Z18" s="139"/>
      <c r="AA18" s="139"/>
      <c r="AB18" s="356"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91">
        <v>0</v>
      </c>
      <c r="C19" s="596"/>
      <c r="D19" s="883" t="s">
        <v>482</v>
      </c>
      <c r="E19" s="592" t="s">
        <v>964</v>
      </c>
      <c r="F19" s="164" t="s">
        <v>101</v>
      </c>
      <c r="G19" s="632">
        <f>IFERROR('PIM Ranges'!AL21,0)</f>
        <v>0</v>
      </c>
      <c r="H19" s="633">
        <f>IFERROR('PIM Ranges'!AM21,0)</f>
        <v>0</v>
      </c>
      <c r="I19" s="634">
        <f>IFERROR('PIM Ranges'!AN21,0)</f>
        <v>0</v>
      </c>
      <c r="J19" s="383">
        <f t="shared" si="0"/>
        <v>0</v>
      </c>
      <c r="K19" s="785"/>
      <c r="L19" s="680" t="str">
        <f t="shared" si="1"/>
        <v/>
      </c>
      <c r="M19" s="783">
        <f>'Multi-Customer'!AE23</f>
        <v>0</v>
      </c>
      <c r="N19" s="161"/>
      <c r="O19" s="787">
        <f>IF(D19="%",'Multi-Customer'!$I23,S19)</f>
        <v>0</v>
      </c>
      <c r="P19" s="787">
        <f>IF(D19="%",IF($E$3="CIA",'Multi-Customer'!$N23,'Multi-Customer'!$J23),T19)</f>
        <v>0</v>
      </c>
      <c r="Q19" s="787">
        <f>IF(D19="%",'Multi-Customer'!$K23,U19)</f>
        <v>0</v>
      </c>
      <c r="R19" s="1379"/>
      <c r="S19" s="787"/>
      <c r="T19" s="787"/>
      <c r="U19" s="787"/>
      <c r="V19" s="139"/>
      <c r="W19" s="162" t="e">
        <f>'Multi-Customer'!AU23</f>
        <v>#DIV/0!</v>
      </c>
      <c r="X19" s="139"/>
      <c r="Y19" s="139"/>
      <c r="Z19" s="139"/>
      <c r="AA19" s="139"/>
      <c r="AB19" s="356"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91">
        <v>0</v>
      </c>
      <c r="C20" s="596"/>
      <c r="D20" s="883" t="s">
        <v>482</v>
      </c>
      <c r="E20" s="592" t="s">
        <v>964</v>
      </c>
      <c r="F20" s="164" t="s">
        <v>97</v>
      </c>
      <c r="G20" s="632">
        <f>IFERROR('PIM Ranges'!AL22,0)</f>
        <v>0</v>
      </c>
      <c r="H20" s="633">
        <f>IFERROR('PIM Ranges'!AM22,0)</f>
        <v>0</v>
      </c>
      <c r="I20" s="634">
        <f>IFERROR('PIM Ranges'!AN22,0)</f>
        <v>0</v>
      </c>
      <c r="J20" s="383">
        <f t="shared" si="0"/>
        <v>0</v>
      </c>
      <c r="K20" s="785"/>
      <c r="L20" s="680" t="str">
        <f t="shared" si="1"/>
        <v/>
      </c>
      <c r="M20" s="783">
        <f>'Multi-Customer'!AE24</f>
        <v>0</v>
      </c>
      <c r="N20" s="161"/>
      <c r="O20" s="787">
        <f>IF(D20="%",'Multi-Customer'!$I24,S20)</f>
        <v>0</v>
      </c>
      <c r="P20" s="787">
        <f>IF(D20="%",IF($E$3="CIA",'Multi-Customer'!$N24,'Multi-Customer'!$J24),T20)</f>
        <v>0</v>
      </c>
      <c r="Q20" s="787">
        <f>IF(D20="%",'Multi-Customer'!$K24,U20)</f>
        <v>0</v>
      </c>
      <c r="R20" s="1379"/>
      <c r="S20" s="787"/>
      <c r="T20" s="787"/>
      <c r="U20" s="787"/>
      <c r="V20" s="139"/>
      <c r="W20" s="162" t="e">
        <f>'Multi-Customer'!AU24</f>
        <v>#DIV/0!</v>
      </c>
      <c r="X20" s="139"/>
      <c r="Y20" s="139"/>
      <c r="Z20" s="139"/>
      <c r="AA20" s="139"/>
      <c r="AB20" s="356"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91">
        <v>0</v>
      </c>
      <c r="C21" s="596"/>
      <c r="D21" s="883" t="s">
        <v>482</v>
      </c>
      <c r="E21" s="592" t="s">
        <v>964</v>
      </c>
      <c r="F21" s="164" t="s">
        <v>93</v>
      </c>
      <c r="G21" s="632">
        <f>IFERROR('PIM Ranges'!AL23,0)</f>
        <v>0</v>
      </c>
      <c r="H21" s="633">
        <f>IFERROR('PIM Ranges'!AM23,0)</f>
        <v>0</v>
      </c>
      <c r="I21" s="634">
        <f>IFERROR('PIM Ranges'!AN23,0)</f>
        <v>0</v>
      </c>
      <c r="J21" s="383">
        <f t="shared" si="0"/>
        <v>0</v>
      </c>
      <c r="K21" s="785"/>
      <c r="L21" s="680" t="str">
        <f t="shared" si="1"/>
        <v/>
      </c>
      <c r="M21" s="783">
        <f>'Multi-Customer'!AE25</f>
        <v>0</v>
      </c>
      <c r="N21" s="161"/>
      <c r="O21" s="787">
        <f>IF(D21="%",'Multi-Customer'!$I25,S21)</f>
        <v>0</v>
      </c>
      <c r="P21" s="787">
        <f>IF(D21="%",IF($E$3="CIA",'Multi-Customer'!$N25,'Multi-Customer'!$J25),T21)</f>
        <v>0</v>
      </c>
      <c r="Q21" s="787">
        <f>IF(D21="%",'Multi-Customer'!$K25,U21)</f>
        <v>0</v>
      </c>
      <c r="R21" s="1379"/>
      <c r="S21" s="787"/>
      <c r="T21" s="787"/>
      <c r="U21" s="787"/>
      <c r="V21" s="139"/>
      <c r="W21" s="162" t="e">
        <f>'Multi-Customer'!AU25</f>
        <v>#DIV/0!</v>
      </c>
      <c r="X21" s="139"/>
      <c r="Y21" s="139"/>
      <c r="Z21" s="139"/>
      <c r="AA21" s="139"/>
      <c r="AB21" s="356"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91">
        <v>0</v>
      </c>
      <c r="C22" s="596"/>
      <c r="D22" s="720" t="s">
        <v>482</v>
      </c>
      <c r="E22" s="592" t="s">
        <v>964</v>
      </c>
      <c r="F22" s="164" t="s">
        <v>105</v>
      </c>
      <c r="G22" s="632">
        <f>IFERROR('PIM Ranges'!AL24,0)</f>
        <v>0</v>
      </c>
      <c r="H22" s="633">
        <f>IFERROR('PIM Ranges'!AM24,0)</f>
        <v>0</v>
      </c>
      <c r="I22" s="634">
        <f>IFERROR('PIM Ranges'!AN24,0)</f>
        <v>0</v>
      </c>
      <c r="J22" s="383">
        <f t="shared" si="0"/>
        <v>0</v>
      </c>
      <c r="K22" s="785"/>
      <c r="L22" s="680" t="str">
        <f t="shared" si="1"/>
        <v/>
      </c>
      <c r="M22" s="783">
        <f>'Multi-Customer'!AE26</f>
        <v>0</v>
      </c>
      <c r="N22" s="161"/>
      <c r="O22" s="787">
        <f>IF(D22="%",'Multi-Customer'!$I26,S22)</f>
        <v>0</v>
      </c>
      <c r="P22" s="787">
        <f>IF(D22="%",IF($E$3="CIA",'Multi-Customer'!$N26,'Multi-Customer'!$J26),T22)</f>
        <v>0</v>
      </c>
      <c r="Q22" s="787">
        <f>IF(D22="%",'Multi-Customer'!$K26,U22)</f>
        <v>0</v>
      </c>
      <c r="R22" s="1379"/>
      <c r="S22" s="1023">
        <f>'Multi-Customer'!$I26*'PIM Ranges'!$AP24</f>
        <v>0</v>
      </c>
      <c r="T22" s="1023">
        <f>'Multi-Customer'!$J26*'PIM Ranges'!$AP24</f>
        <v>0</v>
      </c>
      <c r="U22" s="1023">
        <f>'Multi-Customer'!$K26*'PIM Ranges'!$AP24</f>
        <v>0</v>
      </c>
      <c r="V22" s="139"/>
      <c r="W22" s="162" t="e">
        <f>'Multi-Customer'!AU26</f>
        <v>#DIV/0!</v>
      </c>
      <c r="X22" s="139"/>
      <c r="Y22" s="139"/>
      <c r="Z22" s="139"/>
      <c r="AA22" s="139"/>
      <c r="AB22" s="356"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91">
        <v>0</v>
      </c>
      <c r="C23" s="596"/>
      <c r="D23" s="883" t="s">
        <v>482</v>
      </c>
      <c r="E23" s="592" t="s">
        <v>964</v>
      </c>
      <c r="F23" s="164" t="s">
        <v>92</v>
      </c>
      <c r="G23" s="632">
        <f>IFERROR('PIM Ranges'!AL25,0)</f>
        <v>0</v>
      </c>
      <c r="H23" s="633">
        <f>IFERROR('PIM Ranges'!AM25,0)</f>
        <v>0</v>
      </c>
      <c r="I23" s="634">
        <f>IFERROR('PIM Ranges'!AN25,0)</f>
        <v>0</v>
      </c>
      <c r="J23" s="383">
        <f t="shared" si="0"/>
        <v>0</v>
      </c>
      <c r="K23" s="785"/>
      <c r="L23" s="680" t="str">
        <f t="shared" si="1"/>
        <v/>
      </c>
      <c r="M23" s="783">
        <f>'Multi-Customer'!AE27</f>
        <v>0</v>
      </c>
      <c r="N23" s="161"/>
      <c r="O23" s="787">
        <f>IF(D23="%",'Multi-Customer'!$I27,S23)</f>
        <v>0</v>
      </c>
      <c r="P23" s="787">
        <f>IF(D23="%",IF($E$3="CIA",'Multi-Customer'!$N27,'Multi-Customer'!$J27),T23)</f>
        <v>0</v>
      </c>
      <c r="Q23" s="787">
        <f>IF(D23="%",'Multi-Customer'!$K27,U23)</f>
        <v>0</v>
      </c>
      <c r="R23" s="1379"/>
      <c r="S23" s="787"/>
      <c r="T23" s="787"/>
      <c r="U23" s="787"/>
      <c r="V23" s="139"/>
      <c r="W23" s="162" t="e">
        <f>'Multi-Customer'!AU27</f>
        <v>#DIV/0!</v>
      </c>
      <c r="X23" s="139"/>
      <c r="Y23" s="139"/>
      <c r="Z23" s="139"/>
      <c r="AA23" s="139"/>
      <c r="AB23" s="356"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91">
        <v>0</v>
      </c>
      <c r="C24" s="596"/>
      <c r="D24" s="720" t="s">
        <v>482</v>
      </c>
      <c r="E24" s="592" t="s">
        <v>964</v>
      </c>
      <c r="F24" s="164" t="s">
        <v>91</v>
      </c>
      <c r="G24" s="632">
        <f>IFERROR('PIM Ranges'!AL26,0)</f>
        <v>0</v>
      </c>
      <c r="H24" s="633">
        <f>IFERROR('PIM Ranges'!AM26,0)</f>
        <v>0</v>
      </c>
      <c r="I24" s="634">
        <f>IFERROR('PIM Ranges'!AN26,0)</f>
        <v>0</v>
      </c>
      <c r="J24" s="383">
        <f t="shared" si="0"/>
        <v>0</v>
      </c>
      <c r="K24" s="785"/>
      <c r="L24" s="680" t="str">
        <f t="shared" si="1"/>
        <v/>
      </c>
      <c r="M24" s="783">
        <f>'Multi-Customer'!AE28</f>
        <v>0</v>
      </c>
      <c r="N24" s="161"/>
      <c r="O24" s="787">
        <f>IF(D24="%",'Multi-Customer'!$I28,S24)</f>
        <v>0</v>
      </c>
      <c r="P24" s="787">
        <f>IF(D24="%",IF($E$3="CIA",'Multi-Customer'!$N28,'Multi-Customer'!$J28),T24)</f>
        <v>0</v>
      </c>
      <c r="Q24" s="787">
        <f>IF(D24="%",'Multi-Customer'!$K28,U24)</f>
        <v>0</v>
      </c>
      <c r="R24" s="1379"/>
      <c r="S24" s="1023">
        <f>'Multi-Customer'!$I28*'PIM Ranges'!$AP26</f>
        <v>0</v>
      </c>
      <c r="T24" s="1023">
        <f>'Multi-Customer'!$J28*'PIM Ranges'!$AP26</f>
        <v>0</v>
      </c>
      <c r="U24" s="1023">
        <f>'Multi-Customer'!$K28*'PIM Ranges'!$AP26</f>
        <v>0</v>
      </c>
      <c r="V24" s="139"/>
      <c r="W24" s="162" t="e">
        <f>'Multi-Customer'!AU28</f>
        <v>#DIV/0!</v>
      </c>
      <c r="X24" s="139"/>
      <c r="Y24" s="139"/>
      <c r="Z24" s="139"/>
      <c r="AA24" s="139"/>
      <c r="AB24" s="356"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91">
        <v>0</v>
      </c>
      <c r="C25" s="596"/>
      <c r="D25" s="720" t="s">
        <v>482</v>
      </c>
      <c r="E25" s="592" t="s">
        <v>964</v>
      </c>
      <c r="F25" s="164" t="s">
        <v>90</v>
      </c>
      <c r="G25" s="632">
        <f>IFERROR('PIM Ranges'!AL27,0)</f>
        <v>0</v>
      </c>
      <c r="H25" s="633">
        <f>IFERROR('PIM Ranges'!AM27,0)</f>
        <v>0</v>
      </c>
      <c r="I25" s="634">
        <f>IFERROR('PIM Ranges'!AN27,0)</f>
        <v>0</v>
      </c>
      <c r="J25" s="383">
        <f t="shared" si="0"/>
        <v>0</v>
      </c>
      <c r="K25" s="785"/>
      <c r="L25" s="680" t="str">
        <f t="shared" si="1"/>
        <v/>
      </c>
      <c r="M25" s="783">
        <f>'Multi-Customer'!AE29</f>
        <v>0</v>
      </c>
      <c r="N25" s="161"/>
      <c r="O25" s="787">
        <f>IF(D25="%",'Multi-Customer'!$I29,S25)</f>
        <v>0</v>
      </c>
      <c r="P25" s="787">
        <f>IF(D25="%",IF($E$3="CIA",'Multi-Customer'!$N29,'Multi-Customer'!$J29),T25)</f>
        <v>0</v>
      </c>
      <c r="Q25" s="787">
        <f>IF(D25="%",'Multi-Customer'!$K29,U25)</f>
        <v>0</v>
      </c>
      <c r="R25" s="1379"/>
      <c r="S25" s="1023">
        <f>'Multi-Customer'!$I29*'PIM Ranges'!$AP27</f>
        <v>0</v>
      </c>
      <c r="T25" s="1023">
        <f>'Multi-Customer'!$J29*'PIM Ranges'!$AP27</f>
        <v>0</v>
      </c>
      <c r="U25" s="1023">
        <f>'Multi-Customer'!$K29*'PIM Ranges'!$AP27</f>
        <v>0</v>
      </c>
      <c r="V25" s="139"/>
      <c r="W25" s="162" t="e">
        <f>'Multi-Customer'!AU29</f>
        <v>#DIV/0!</v>
      </c>
      <c r="X25" s="139"/>
      <c r="Y25" s="139"/>
      <c r="Z25" s="139"/>
      <c r="AA25" s="139"/>
      <c r="AB25" s="356"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91">
        <v>0</v>
      </c>
      <c r="C26" s="596"/>
      <c r="D26" s="720" t="s">
        <v>482</v>
      </c>
      <c r="E26" s="592" t="s">
        <v>964</v>
      </c>
      <c r="F26" s="164" t="s">
        <v>89</v>
      </c>
      <c r="G26" s="632">
        <f>IFERROR('PIM Ranges'!AL28,0)</f>
        <v>0</v>
      </c>
      <c r="H26" s="633">
        <f>IFERROR('PIM Ranges'!AM28,0)</f>
        <v>0</v>
      </c>
      <c r="I26" s="634">
        <f>IFERROR('PIM Ranges'!AN28,0)</f>
        <v>0</v>
      </c>
      <c r="J26" s="383">
        <f t="shared" si="0"/>
        <v>0</v>
      </c>
      <c r="K26" s="785"/>
      <c r="L26" s="680" t="str">
        <f t="shared" si="1"/>
        <v/>
      </c>
      <c r="M26" s="783">
        <f>'Multi-Customer'!AE30</f>
        <v>0</v>
      </c>
      <c r="N26" s="161"/>
      <c r="O26" s="787">
        <f>IF(D26="%",'Multi-Customer'!$I30,S26)</f>
        <v>0</v>
      </c>
      <c r="P26" s="787">
        <f>IF(D26="%",IF($E$3="CIA",'Multi-Customer'!$N30,'Multi-Customer'!$J30),T26)</f>
        <v>0</v>
      </c>
      <c r="Q26" s="787">
        <f>IF(D26="%",'Multi-Customer'!$K30,U26)</f>
        <v>0</v>
      </c>
      <c r="R26" s="1379"/>
      <c r="S26" s="1023">
        <f>'Multi-Customer'!$I30*'PIM Ranges'!$AP28</f>
        <v>0</v>
      </c>
      <c r="T26" s="1023">
        <f>'Multi-Customer'!$J30*'PIM Ranges'!$AP28</f>
        <v>0</v>
      </c>
      <c r="U26" s="1023">
        <f>'Multi-Customer'!$K30*'PIM Ranges'!$AP28</f>
        <v>0</v>
      </c>
      <c r="V26" s="139"/>
      <c r="W26" s="162" t="e">
        <f>'Multi-Customer'!AU30</f>
        <v>#DIV/0!</v>
      </c>
      <c r="X26" s="139"/>
      <c r="Y26" s="139"/>
      <c r="Z26" s="139"/>
      <c r="AA26" s="139"/>
      <c r="AB26" s="356"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91">
        <v>0</v>
      </c>
      <c r="C27" s="596"/>
      <c r="D27" s="720" t="s">
        <v>482</v>
      </c>
      <c r="E27" s="592" t="s">
        <v>964</v>
      </c>
      <c r="F27" s="164" t="s">
        <v>94</v>
      </c>
      <c r="G27" s="632">
        <f>IFERROR('PIM Ranges'!AL29,0)</f>
        <v>0</v>
      </c>
      <c r="H27" s="633">
        <f>IFERROR('PIM Ranges'!AM29,0)</f>
        <v>0</v>
      </c>
      <c r="I27" s="634">
        <f>IFERROR('PIM Ranges'!AN29,0)</f>
        <v>0</v>
      </c>
      <c r="J27" s="383">
        <f>IF($E$3="CIA",IF($D27="%",$P27*$G27,$P27*$H27),IF($D27="%",$K27*$G27,$K27*H27))</f>
        <v>0</v>
      </c>
      <c r="K27" s="785"/>
      <c r="L27" s="680" t="str">
        <f>IF(K27&lt;0,"X",IF($E$3="CIA","",IF(K27="","",IF(K27&lt;O27,"L",IF(K27&gt;Q27,"X","")))))</f>
        <v/>
      </c>
      <c r="M27" s="783">
        <f>'Multi-Customer'!AE31</f>
        <v>0</v>
      </c>
      <c r="N27" s="161"/>
      <c r="O27" s="787">
        <f>IF(D27="%",'Multi-Customer'!$I31,S27)</f>
        <v>0</v>
      </c>
      <c r="P27" s="787">
        <f>IF(D27="%",IF($E$3="CIA",'Multi-Customer'!$N31,'Multi-Customer'!$J31),T27)</f>
        <v>0</v>
      </c>
      <c r="Q27" s="787">
        <f>IF(D27="%",'Multi-Customer'!$K31,U27)</f>
        <v>0</v>
      </c>
      <c r="R27" s="1379"/>
      <c r="S27" s="1023">
        <f>'Multi-Customer'!$I31*'PIM Ranges'!$AO29</f>
        <v>0</v>
      </c>
      <c r="T27" s="1023">
        <f>'Multi-Customer'!$J31*'PIM Ranges'!$AO29</f>
        <v>0</v>
      </c>
      <c r="U27" s="1023">
        <f>'Multi-Customer'!$K31*'PIM Ranges'!$AO29</f>
        <v>0</v>
      </c>
      <c r="V27" s="139"/>
      <c r="W27" s="162" t="e">
        <f>'Multi-Customer'!AU31</f>
        <v>#DIV/0!</v>
      </c>
      <c r="X27" s="139"/>
      <c r="Y27" s="139"/>
      <c r="Z27" s="139"/>
      <c r="AA27" s="139"/>
      <c r="AB27" s="356"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91">
        <v>0</v>
      </c>
      <c r="C28" s="596"/>
      <c r="D28" s="883" t="s">
        <v>482</v>
      </c>
      <c r="E28" s="592" t="s">
        <v>964</v>
      </c>
      <c r="F28" s="164" t="s">
        <v>86</v>
      </c>
      <c r="G28" s="632">
        <f>IFERROR('PIM Ranges'!AL30,0)</f>
        <v>0</v>
      </c>
      <c r="H28" s="633">
        <f>IFERROR('PIM Ranges'!AM30,0)</f>
        <v>0</v>
      </c>
      <c r="I28" s="634">
        <f>IFERROR('PIM Ranges'!AN30,0)</f>
        <v>0</v>
      </c>
      <c r="J28" s="383">
        <f>IF($E$3="CIA",IF($D28="%",$P28*$G28,$P28*$I28),IF($D28="%",$K28*$G28,$K28*I28))</f>
        <v>0</v>
      </c>
      <c r="K28" s="785"/>
      <c r="L28" s="680" t="str">
        <f>IF($E$3="CIA","",IF(K28="","",IF(K28&lt;O28,"X",IF(K28&gt;Q28,"X",""))))</f>
        <v/>
      </c>
      <c r="M28" s="783">
        <f>'Multi-Customer'!AE32</f>
        <v>0</v>
      </c>
      <c r="N28" s="161"/>
      <c r="O28" s="787">
        <f>IF(D28="%",'Multi-Customer'!$I32,S28)</f>
        <v>0</v>
      </c>
      <c r="P28" s="787">
        <f>IF(D28="%",IF($E$3="CIA",'Multi-Customer'!$N32,'Multi-Customer'!$J32),T28)</f>
        <v>0</v>
      </c>
      <c r="Q28" s="787">
        <f>IF(D28="%",'Multi-Customer'!$K32,U28)</f>
        <v>0</v>
      </c>
      <c r="R28" s="1379"/>
      <c r="S28" s="787"/>
      <c r="T28" s="787"/>
      <c r="U28" s="787"/>
      <c r="V28" s="139"/>
      <c r="W28" s="162" t="e">
        <f>'Multi-Customer'!AU32</f>
        <v>#DIV/0!</v>
      </c>
      <c r="X28" s="139"/>
      <c r="Y28" s="139"/>
      <c r="Z28" s="139"/>
      <c r="AA28" s="139"/>
      <c r="AB28" s="356"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91">
        <v>0</v>
      </c>
      <c r="C29" s="596"/>
      <c r="D29" s="721" t="s">
        <v>482</v>
      </c>
      <c r="E29" s="592" t="s">
        <v>964</v>
      </c>
      <c r="F29" s="164" t="s">
        <v>88</v>
      </c>
      <c r="G29" s="632">
        <f>IFERROR('PIM Ranges'!AL31,0)</f>
        <v>0</v>
      </c>
      <c r="H29" s="633">
        <f>IFERROR('PIM Ranges'!AM31,0)</f>
        <v>0</v>
      </c>
      <c r="I29" s="634">
        <f>IFERROR('PIM Ranges'!AN31,0)</f>
        <v>0</v>
      </c>
      <c r="J29" s="383">
        <f>IF($E$3="CIA",IF($D29="%",$P29*$G29,$P29*$I29),IF($D29="%",$K29*$G29,$K29*I29))</f>
        <v>0</v>
      </c>
      <c r="K29" s="785"/>
      <c r="L29" s="680" t="str">
        <f>IF($E$3="CIA","",IF(K29="","",IF(K29&lt;O29,"X",IF(K29&gt;Q29,"X",""))))</f>
        <v/>
      </c>
      <c r="M29" s="783">
        <f>'Multi-Customer'!AE33</f>
        <v>0</v>
      </c>
      <c r="N29" s="161"/>
      <c r="O29" s="787">
        <f>IF(D29="%",'Multi-Customer'!$I33,S29)</f>
        <v>0</v>
      </c>
      <c r="P29" s="787">
        <f>IF(D29="%",IF($E$3="CIA",'Multi-Customer'!$N33,'Multi-Customer'!$J33),T29)</f>
        <v>0</v>
      </c>
      <c r="Q29" s="787">
        <f>IF(D29="%",'Multi-Customer'!$K33,U29)</f>
        <v>0</v>
      </c>
      <c r="R29" s="1379"/>
      <c r="S29" s="1023">
        <f>'Multi-Customer'!$I33*'PIM Ranges'!$AP31</f>
        <v>0</v>
      </c>
      <c r="T29" s="1023">
        <f>'Multi-Customer'!$J33*'PIM Ranges'!$AP31</f>
        <v>0</v>
      </c>
      <c r="U29" s="1023">
        <f>'Multi-Customer'!$K33*'PIM Ranges'!$AP31</f>
        <v>0</v>
      </c>
      <c r="V29" s="139"/>
      <c r="W29" s="162" t="e">
        <f>'Multi-Customer'!AU33</f>
        <v>#DIV/0!</v>
      </c>
      <c r="X29" s="139"/>
      <c r="Y29" s="139"/>
      <c r="Z29" s="139"/>
      <c r="AA29" s="139"/>
      <c r="AB29" s="356"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93">
        <v>0</v>
      </c>
      <c r="C30" s="597"/>
      <c r="D30" s="722" t="s">
        <v>482</v>
      </c>
      <c r="E30" s="594" t="s">
        <v>964</v>
      </c>
      <c r="F30" s="165" t="s">
        <v>87</v>
      </c>
      <c r="G30" s="632">
        <f>IFERROR('PIM Ranges'!AL32,0)</f>
        <v>0</v>
      </c>
      <c r="H30" s="633">
        <f>IFERROR('PIM Ranges'!AM32,0)</f>
        <v>0</v>
      </c>
      <c r="I30" s="635">
        <f>IFERROR('PIM Ranges'!AN32,0)</f>
        <v>0</v>
      </c>
      <c r="J30" s="383">
        <f>IF($E$3="CIA",IF($D30="%",$P30*$G30,$P30*$I30),IF($D30="%",$K30*$G30,$K30*I30))</f>
        <v>0</v>
      </c>
      <c r="K30" s="786"/>
      <c r="L30" s="680" t="str">
        <f>IF($E$3="CIA","",IF(K30="","",IF(K30&lt;O30,"X",IF(K30&gt;Q30,"X",""))))</f>
        <v/>
      </c>
      <c r="M30" s="784">
        <f>'Multi-Customer'!AE34</f>
        <v>0</v>
      </c>
      <c r="N30" s="161"/>
      <c r="O30" s="787">
        <f>IF(D30="%",'Multi-Customer'!$I34,S30)</f>
        <v>0</v>
      </c>
      <c r="P30" s="787">
        <f>IF(D30="%",IF($E$3="CIA",'Multi-Customer'!$N34,'Multi-Customer'!$J34),T30)</f>
        <v>0</v>
      </c>
      <c r="Q30" s="787">
        <f>IF(D30="%",'Multi-Customer'!$K34,U30)</f>
        <v>0</v>
      </c>
      <c r="R30" s="1379"/>
      <c r="S30" s="1023">
        <f>'Multi-Customer'!$I34*'PIM Ranges'!$AP32</f>
        <v>0</v>
      </c>
      <c r="T30" s="1023">
        <f>'Multi-Customer'!$J34*'PIM Ranges'!$AP32</f>
        <v>0</v>
      </c>
      <c r="U30" s="1023">
        <f>'Multi-Customer'!$K34*'PIM Ranges'!$AP32</f>
        <v>0</v>
      </c>
      <c r="V30" s="139"/>
      <c r="W30" s="162" t="e">
        <f>'Multi-Customer'!AU34</f>
        <v>#DIV/0!</v>
      </c>
      <c r="X30" s="139"/>
      <c r="Y30" s="139"/>
      <c r="Z30" s="139"/>
      <c r="AA30" s="139"/>
      <c r="AB30" s="356"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84">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488" t="s">
        <v>119</v>
      </c>
      <c r="H33" s="1489"/>
      <c r="I33" s="466">
        <f>IF($E$3="MDA",'PIM Ranges'!$AX$7,'PIM Ranges'!$BJ$7)</f>
        <v>8.8999999999999996E-2</v>
      </c>
      <c r="J33" s="134"/>
      <c r="K33" s="1490" t="str">
        <f>IF(COUNTIF($AB$10:$AB$30,"ERROR")&lt;1,"",IF(COUNTIF($AB$10:$AB$30,"ERROR")&lt;2,(COUNTIF($AB$10:$AB$30,"ERROR")&amp;" Margin Missing Above"),(COUNTIF($AB$10:$AB$30,"ERROR")&amp;" Margins Missing Above")))</f>
        <v/>
      </c>
      <c r="L33" s="1490"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483" t="s">
        <v>491</v>
      </c>
      <c r="H34" s="1484"/>
      <c r="I34" s="462">
        <f>J31</f>
        <v>0</v>
      </c>
      <c r="J34" s="134"/>
      <c r="K34" s="1490" t="str">
        <f>IF(COUNTIFS($L$10:$L$30,"X",$AF$10:$AF$30,"BELOW")&lt;1,"",IF(COUNTIFS($L$10:$L$30,"X",$AF$10:$AF$30,"BELOW")&lt;2,(COUNTIFS($L$10:$L$30,"X",$AF$10:$AF$30,"BELOW")&amp;" Margin Below Minimum"),(COUNTIFS($L$10:$L$30,"X",$AF$10:$AF$30,"BELOW")&amp;" Margins Below Minimum")))</f>
        <v/>
      </c>
      <c r="L34" s="1490"/>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483" t="s">
        <v>1341</v>
      </c>
      <c r="H35" s="1484"/>
      <c r="I35" s="463" t="str">
        <f>IFERROR(I34/G31,"")</f>
        <v/>
      </c>
      <c r="K35" s="1490" t="str">
        <f>IF(COUNTIFS($L$10:$L$30,"X",$AF$10:$AF$30,"ABOVE")&lt;1,"",IF(COUNTIFS($L$10:$L$30,"X",$AF$10:$AF$30,"ABOVE")&lt;2,(COUNTIFS($L$10:$L$30,"X",$AF$10:$AF$30,"ABOVE")&amp;" Margin Above Maximum"),(COUNTIFS($L$10:$L$30,"X",$AF$10:$AF$30,"ABOVE")&amp;" Margins Above Maximum")))</f>
        <v/>
      </c>
      <c r="L35" s="1490"/>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483"/>
      <c r="H36" s="1484"/>
      <c r="I36" s="463"/>
      <c r="J36" s="134"/>
      <c r="K36" s="475">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483" t="str">
        <f>IFERROR(IF(I35&gt;I33,"","Below Recommended TAGP: "),"")</f>
        <v/>
      </c>
      <c r="H37" s="1484"/>
      <c r="I37" s="463"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483"/>
      <c r="H38" s="1484"/>
      <c r="I38" s="463"/>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483" t="s">
        <v>1342</v>
      </c>
      <c r="H39" s="1484"/>
      <c r="I39" s="464">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485" t="s">
        <v>492</v>
      </c>
      <c r="H40" s="1486"/>
      <c r="I40" s="465">
        <f>IFERROR($I$34/(52*$E$6*$K$40),0)</f>
        <v>0</v>
      </c>
      <c r="J40" s="134"/>
      <c r="K40" s="561" t="str">
        <f>Welcome!$D$14</f>
        <v>Select # of Locations</v>
      </c>
      <c r="L40" s="139"/>
      <c r="M40" s="139"/>
      <c r="N40" s="139"/>
      <c r="O40" s="139"/>
      <c r="P40" s="139"/>
      <c r="Q40" s="1380"/>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94"/>
      <c r="J41" s="134"/>
      <c r="K41" s="864"/>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864"/>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487"/>
      <c r="G52" s="1487"/>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487"/>
      <c r="G53" s="1487"/>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487"/>
      <c r="G54" s="1487"/>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Qtf2siDJXv7bDGsZfuOPC2oqbUx7BwYnWnXFukRxONOwMap6qdSeF83W5d9uiigELE4lE7xPJmn0aOux5PiPGg==" saltValue="57ARHgQSXQV2l1NK8qlokA=="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488" priority="40">
      <formula>$E10="EXCLUDE"</formula>
    </cfRule>
  </conditionalFormatting>
  <conditionalFormatting sqref="O8:O9">
    <cfRule type="expression" dxfId="487" priority="42">
      <formula>$E$3="CIA"</formula>
    </cfRule>
  </conditionalFormatting>
  <conditionalFormatting sqref="Q8:Q9">
    <cfRule type="expression" dxfId="486" priority="41">
      <formula>$E$3="CIA"</formula>
    </cfRule>
  </conditionalFormatting>
  <conditionalFormatting sqref="K9:K30">
    <cfRule type="expression" dxfId="485" priority="31">
      <formula>$E$3="CIA"</formula>
    </cfRule>
  </conditionalFormatting>
  <conditionalFormatting sqref="L10:L30">
    <cfRule type="expression" dxfId="484" priority="32">
      <formula>$AF10="ABOVE"</formula>
    </cfRule>
  </conditionalFormatting>
  <conditionalFormatting sqref="I35">
    <cfRule type="expression" dxfId="483" priority="102">
      <formula>$K$36&gt;0</formula>
    </cfRule>
    <cfRule type="expression" dxfId="482" priority="103">
      <formula>$I$35&lt;$I$33</formula>
    </cfRule>
    <cfRule type="expression" dxfId="481" priority="104">
      <formula>$I$35&gt;$I$33</formula>
    </cfRule>
  </conditionalFormatting>
  <conditionalFormatting sqref="D10:D30">
    <cfRule type="expression" dxfId="480" priority="43">
      <formula>$E$3="CIA"</formula>
    </cfRule>
  </conditionalFormatting>
  <conditionalFormatting sqref="K10:K30">
    <cfRule type="expression" dxfId="479" priority="30">
      <formula>$D10&lt;&gt;"%"</formula>
    </cfRule>
  </conditionalFormatting>
  <conditionalFormatting sqref="K27">
    <cfRule type="expression" dxfId="478" priority="28">
      <formula>$K$27&lt;0</formula>
    </cfRule>
  </conditionalFormatting>
  <conditionalFormatting sqref="O10:Q30">
    <cfRule type="expression" dxfId="477" priority="26">
      <formula>$D10&lt;&gt;"%"</formula>
    </cfRule>
  </conditionalFormatting>
  <conditionalFormatting sqref="O10:O30">
    <cfRule type="expression" dxfId="476" priority="25">
      <formula>$E$3="CIA"</formula>
    </cfRule>
  </conditionalFormatting>
  <conditionalFormatting sqref="Q10:Q30">
    <cfRule type="expression" dxfId="475" priority="24">
      <formula>$E$3="CIA"</formula>
    </cfRule>
  </conditionalFormatting>
  <conditionalFormatting sqref="S10:S30">
    <cfRule type="expression" dxfId="474" priority="22">
      <formula>$E$3="CIA"</formula>
    </cfRule>
  </conditionalFormatting>
  <conditionalFormatting sqref="U10:U30">
    <cfRule type="expression" dxfId="473"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31"/>
  <sheetViews>
    <sheetView showGridLines="0" zoomScale="80" zoomScaleNormal="80" workbookViewId="0">
      <selection activeCell="E11" sqref="E11"/>
    </sheetView>
  </sheetViews>
  <sheetFormatPr defaultColWidth="8.85546875" defaultRowHeight="15" x14ac:dyDescent="0.25"/>
  <cols>
    <col min="1" max="1" width="1" style="1034" customWidth="1"/>
    <col min="2" max="2" width="3.7109375" style="1034" customWidth="1"/>
    <col min="3" max="3" width="27.7109375" style="1034" hidden="1" customWidth="1"/>
    <col min="4" max="4" width="26.28515625" style="1148" customWidth="1"/>
    <col min="5" max="5" width="31.7109375" style="1034" customWidth="1"/>
    <col min="6" max="6" width="9.85546875" style="1034" customWidth="1"/>
    <col min="7" max="7" width="36.5703125" style="1034" customWidth="1"/>
    <col min="8" max="8" width="4.85546875" style="1034" customWidth="1"/>
    <col min="9" max="9" width="27.7109375" style="1034" customWidth="1"/>
    <col min="10" max="10" width="4.85546875" style="1034" customWidth="1"/>
    <col min="11" max="11" width="27.140625" style="1034" customWidth="1"/>
    <col min="12" max="12" width="4.7109375" style="1034" customWidth="1"/>
    <col min="13" max="13" width="25.7109375" style="1034" customWidth="1"/>
    <col min="14" max="14" width="4.85546875" style="1034" customWidth="1"/>
    <col min="15" max="15" width="22.7109375" style="1034" customWidth="1"/>
    <col min="16" max="16" width="7" style="1034" customWidth="1"/>
    <col min="17" max="17" width="2.85546875" style="1034" customWidth="1"/>
    <col min="18" max="18" width="8" style="1035" hidden="1" customWidth="1"/>
    <col min="19" max="19" width="31.85546875" style="1034" hidden="1" customWidth="1"/>
    <col min="20" max="20" width="31.140625" style="1034" hidden="1" customWidth="1"/>
    <col min="21" max="21" width="12.7109375" style="1034" hidden="1" customWidth="1"/>
    <col min="22" max="22" width="8.42578125" style="1034" hidden="1" customWidth="1"/>
    <col min="23" max="23" width="8.85546875" style="1034" hidden="1" customWidth="1"/>
    <col min="24" max="16384" width="8.85546875" style="1034"/>
  </cols>
  <sheetData>
    <row r="1" spans="1:31" ht="5.45" customHeight="1" thickBot="1" x14ac:dyDescent="0.3">
      <c r="I1" s="1355"/>
      <c r="R1" s="1220">
        <v>0</v>
      </c>
    </row>
    <row r="2" spans="1:31" s="1035" customFormat="1" ht="22.5" customHeight="1" thickBot="1" x14ac:dyDescent="0.4">
      <c r="A2" s="1037"/>
      <c r="B2" s="499"/>
      <c r="C2" s="1037"/>
      <c r="D2" s="1181" t="s">
        <v>1478</v>
      </c>
      <c r="E2" s="1037"/>
      <c r="F2" s="173"/>
      <c r="G2" s="174"/>
      <c r="H2" s="1037"/>
      <c r="I2" s="499"/>
      <c r="J2" s="1037"/>
      <c r="K2" s="1037"/>
      <c r="L2" s="1037"/>
      <c r="M2" s="1037"/>
      <c r="N2" s="1037"/>
      <c r="O2" s="1037"/>
      <c r="P2" s="1037"/>
      <c r="Q2" s="1381"/>
      <c r="R2" s="1220">
        <v>0</v>
      </c>
      <c r="S2" s="176"/>
      <c r="T2" s="177"/>
      <c r="U2" s="177" t="s">
        <v>1788</v>
      </c>
      <c r="V2" s="177">
        <v>12</v>
      </c>
      <c r="W2" s="177"/>
      <c r="X2" s="177"/>
      <c r="Y2" s="177"/>
      <c r="Z2" s="177"/>
      <c r="AA2" s="177"/>
      <c r="AB2" s="177"/>
      <c r="AC2" s="177"/>
      <c r="AD2" s="177"/>
      <c r="AE2" s="177"/>
    </row>
    <row r="3" spans="1:31" s="1035" customFormat="1" ht="18" customHeight="1" thickBot="1" x14ac:dyDescent="0.3">
      <c r="D3" s="532"/>
      <c r="G3" s="1152" t="s">
        <v>1246</v>
      </c>
      <c r="H3" s="1527">
        <f>Welcome!$D$8</f>
        <v>0</v>
      </c>
      <c r="I3" s="1528"/>
      <c r="J3" s="1034"/>
      <c r="K3" s="1152" t="s">
        <v>110</v>
      </c>
      <c r="L3" s="1529" t="str">
        <f>IFERROR(VLOOKUP($L$4,'Market Geography'!$D:$G,4,FALSE),"Select Market")</f>
        <v>Select Market</v>
      </c>
      <c r="M3" s="1530"/>
      <c r="N3" s="729"/>
      <c r="O3" s="729"/>
      <c r="P3" s="729"/>
      <c r="Q3" s="179"/>
      <c r="R3" s="1219">
        <v>0</v>
      </c>
      <c r="S3" s="180"/>
      <c r="T3" s="177"/>
      <c r="U3" s="177" t="s">
        <v>1789</v>
      </c>
      <c r="V3" s="177">
        <v>26</v>
      </c>
      <c r="W3" s="177"/>
      <c r="X3" s="177"/>
      <c r="Y3" s="177"/>
      <c r="Z3" s="177"/>
      <c r="AA3" s="177"/>
      <c r="AB3" s="177"/>
      <c r="AC3" s="177"/>
      <c r="AD3" s="177"/>
      <c r="AE3" s="177"/>
    </row>
    <row r="4" spans="1:31" s="1035" customFormat="1" ht="18" customHeight="1" thickBot="1" x14ac:dyDescent="0.3">
      <c r="D4" s="1049" t="s">
        <v>1574</v>
      </c>
      <c r="E4" s="1324" t="s">
        <v>651</v>
      </c>
      <c r="G4" s="1153" t="s">
        <v>1247</v>
      </c>
      <c r="H4" s="1531" t="str">
        <f>Welcome!$D$12</f>
        <v>Select Term</v>
      </c>
      <c r="I4" s="1532"/>
      <c r="J4" s="181"/>
      <c r="K4" s="1153" t="s">
        <v>881</v>
      </c>
      <c r="L4" s="1517">
        <f>Welcome!$D$4</f>
        <v>0</v>
      </c>
      <c r="M4" s="1518"/>
      <c r="N4" s="729"/>
      <c r="O4" s="729"/>
      <c r="P4" s="729"/>
      <c r="Q4" s="179"/>
      <c r="R4" s="1219">
        <v>0</v>
      </c>
      <c r="S4" s="180"/>
      <c r="T4" s="177"/>
      <c r="U4" s="177" t="s">
        <v>1790</v>
      </c>
      <c r="V4" s="177">
        <v>40</v>
      </c>
      <c r="W4" s="177"/>
      <c r="X4" s="177"/>
      <c r="Y4" s="177"/>
      <c r="Z4" s="177"/>
      <c r="AA4" s="177"/>
      <c r="AB4" s="177"/>
      <c r="AC4" s="177"/>
      <c r="AD4" s="177"/>
      <c r="AE4" s="177"/>
    </row>
    <row r="5" spans="1:31" s="1035" customFormat="1" ht="18" customHeight="1" thickBot="1" x14ac:dyDescent="0.3">
      <c r="D5" s="1172"/>
      <c r="E5" s="1325"/>
      <c r="G5" s="1153" t="s">
        <v>1252</v>
      </c>
      <c r="H5" s="1533">
        <f>'PIM Model'!$G$31</f>
        <v>0</v>
      </c>
      <c r="I5" s="1534"/>
      <c r="J5" s="1034"/>
      <c r="K5" s="1153" t="s">
        <v>107</v>
      </c>
      <c r="L5" s="1517" t="str">
        <f>'Multi-Customer'!$S$49</f>
        <v>Enter Customer(s)</v>
      </c>
      <c r="M5" s="1518"/>
      <c r="N5" s="729"/>
      <c r="O5" s="729"/>
      <c r="P5" s="729"/>
      <c r="Q5" s="179"/>
      <c r="R5" s="1219">
        <v>0</v>
      </c>
      <c r="S5" s="180"/>
      <c r="T5" s="177"/>
      <c r="U5" s="177" t="s">
        <v>1791</v>
      </c>
      <c r="V5" s="177">
        <v>54</v>
      </c>
      <c r="W5" s="177"/>
      <c r="X5" s="177"/>
      <c r="Y5" s="177"/>
      <c r="Z5" s="177"/>
      <c r="AA5" s="177"/>
      <c r="AB5" s="177"/>
      <c r="AC5" s="177"/>
      <c r="AD5" s="177"/>
      <c r="AE5" s="177"/>
    </row>
    <row r="6" spans="1:31" s="1035" customFormat="1" ht="18" customHeight="1" thickBot="1" x14ac:dyDescent="0.3">
      <c r="D6" s="1050" t="s">
        <v>1573</v>
      </c>
      <c r="E6" s="1083" t="s">
        <v>653</v>
      </c>
      <c r="G6" s="1153" t="s">
        <v>1253</v>
      </c>
      <c r="H6" s="1515">
        <f>'Variable Costs (Back)'!$K$26</f>
        <v>0</v>
      </c>
      <c r="I6" s="1516"/>
      <c r="J6" s="1034"/>
      <c r="K6" s="1153" t="s">
        <v>1262</v>
      </c>
      <c r="L6" s="1517" t="str">
        <f>'Multi-Customer'!$AH$40</f>
        <v>MULTIPLE TYPES</v>
      </c>
      <c r="M6" s="1518"/>
      <c r="N6" s="729"/>
      <c r="O6" s="729"/>
      <c r="P6" s="729"/>
      <c r="Q6" s="179"/>
      <c r="R6" s="1219">
        <v>0</v>
      </c>
      <c r="S6" s="180"/>
      <c r="T6" s="177"/>
      <c r="U6" s="177" t="s">
        <v>1792</v>
      </c>
      <c r="V6" s="177">
        <v>68</v>
      </c>
      <c r="W6" s="177"/>
      <c r="X6" s="177"/>
      <c r="Y6" s="177"/>
      <c r="Z6" s="177"/>
      <c r="AA6" s="177"/>
      <c r="AB6" s="177"/>
      <c r="AC6" s="177"/>
      <c r="AD6" s="177"/>
      <c r="AE6" s="177"/>
    </row>
    <row r="7" spans="1:31" s="1035" customFormat="1" ht="15.75" thickBot="1" x14ac:dyDescent="0.3">
      <c r="D7" s="532"/>
      <c r="E7" s="1326"/>
      <c r="G7" s="1154" t="s">
        <v>1254</v>
      </c>
      <c r="H7" s="1519">
        <f>IFERROR('PIM Ranges'!$AU$3,0)</f>
        <v>0</v>
      </c>
      <c r="I7" s="1520"/>
      <c r="J7" s="1034"/>
      <c r="K7" s="1154" t="s">
        <v>1255</v>
      </c>
      <c r="L7" s="1521" t="s">
        <v>206</v>
      </c>
      <c r="M7" s="1522"/>
      <c r="N7" s="1051"/>
      <c r="O7" s="1051"/>
      <c r="P7" s="1051"/>
      <c r="Q7" s="179"/>
      <c r="R7" s="1219">
        <v>0</v>
      </c>
      <c r="S7" s="180"/>
      <c r="T7" s="177"/>
      <c r="U7" s="177" t="s">
        <v>1793</v>
      </c>
      <c r="V7" s="177">
        <v>82</v>
      </c>
      <c r="W7" s="177"/>
      <c r="X7" s="177"/>
      <c r="Y7" s="177"/>
      <c r="Z7" s="177"/>
      <c r="AA7" s="177"/>
      <c r="AB7" s="177"/>
      <c r="AC7" s="177"/>
      <c r="AD7" s="177"/>
      <c r="AE7" s="177"/>
    </row>
    <row r="8" spans="1:31" s="1035" customFormat="1" ht="18" customHeight="1" thickBot="1" x14ac:dyDescent="0.3">
      <c r="D8" s="1525"/>
      <c r="E8" s="1526"/>
      <c r="F8" s="136"/>
      <c r="I8" s="177"/>
      <c r="J8" s="177"/>
      <c r="K8" s="177"/>
      <c r="L8" s="177"/>
      <c r="M8" s="177"/>
      <c r="N8" s="177"/>
      <c r="O8" s="177"/>
      <c r="P8" s="177"/>
      <c r="Q8" s="182"/>
      <c r="R8" s="1219">
        <v>0</v>
      </c>
      <c r="S8" s="180"/>
      <c r="T8" s="177"/>
      <c r="U8" s="177" t="s">
        <v>1794</v>
      </c>
      <c r="V8" s="177">
        <v>96</v>
      </c>
      <c r="W8" s="177"/>
      <c r="X8" s="177"/>
      <c r="Y8" s="177"/>
      <c r="Z8" s="177"/>
      <c r="AA8" s="177"/>
      <c r="AB8" s="177"/>
      <c r="AC8" s="177"/>
      <c r="AD8" s="177"/>
      <c r="AE8" s="177"/>
    </row>
    <row r="9" spans="1:31" s="1035" customFormat="1" ht="16.5" customHeight="1" x14ac:dyDescent="0.25">
      <c r="D9" s="1525"/>
      <c r="E9" s="1526"/>
      <c r="F9" s="136"/>
      <c r="G9" s="1155" t="s">
        <v>896</v>
      </c>
      <c r="H9" s="1523">
        <f>IFERROR('PIM Model'!$G$31,0)</f>
        <v>0</v>
      </c>
      <c r="I9" s="1524"/>
      <c r="L9" s="177"/>
      <c r="M9" s="177"/>
      <c r="N9" s="177"/>
      <c r="O9" s="177"/>
      <c r="P9" s="177"/>
      <c r="Q9" s="182"/>
      <c r="R9" s="1219">
        <v>0</v>
      </c>
      <c r="S9" s="180"/>
      <c r="T9" s="177"/>
      <c r="U9" s="177" t="s">
        <v>1795</v>
      </c>
      <c r="V9" s="177">
        <v>110</v>
      </c>
      <c r="W9" s="177"/>
      <c r="X9" s="177"/>
      <c r="Y9" s="177"/>
      <c r="Z9" s="177"/>
      <c r="AA9" s="177"/>
      <c r="AB9" s="177"/>
      <c r="AC9" s="177"/>
      <c r="AD9" s="177"/>
      <c r="AE9" s="177"/>
    </row>
    <row r="10" spans="1:31" s="1035" customFormat="1" ht="18" customHeight="1" thickBot="1" x14ac:dyDescent="0.3">
      <c r="D10" s="532"/>
      <c r="F10" s="136"/>
      <c r="G10" s="1156" t="s">
        <v>897</v>
      </c>
      <c r="H10" s="1539">
        <f>IFERROR('PIM Model'!$G$32,0)</f>
        <v>0</v>
      </c>
      <c r="I10" s="1540"/>
      <c r="L10" s="177"/>
      <c r="M10" s="177"/>
      <c r="N10" s="177"/>
      <c r="O10" s="177"/>
      <c r="P10" s="177"/>
      <c r="Q10" s="182"/>
      <c r="R10" s="1219">
        <v>0</v>
      </c>
      <c r="S10" s="1500" t="s">
        <v>1622</v>
      </c>
      <c r="T10" s="1500" t="s">
        <v>1623</v>
      </c>
      <c r="U10" s="177" t="s">
        <v>1796</v>
      </c>
      <c r="V10" s="177">
        <v>118</v>
      </c>
      <c r="W10" s="177"/>
      <c r="X10" s="177"/>
      <c r="Y10" s="177"/>
      <c r="Z10" s="177"/>
      <c r="AA10" s="177"/>
      <c r="AB10" s="177"/>
      <c r="AC10" s="177"/>
      <c r="AD10" s="177"/>
      <c r="AE10" s="177"/>
    </row>
    <row r="11" spans="1:31" s="1035" customFormat="1" ht="18" customHeight="1" x14ac:dyDescent="0.25">
      <c r="D11" s="532"/>
      <c r="F11" s="136"/>
      <c r="I11" s="177"/>
      <c r="J11" s="177"/>
      <c r="K11" s="177"/>
      <c r="L11" s="177"/>
      <c r="M11" s="177"/>
      <c r="N11" s="177"/>
      <c r="O11" s="177"/>
      <c r="P11" s="177"/>
      <c r="Q11" s="182"/>
      <c r="R11" s="1219"/>
      <c r="S11" s="1500"/>
      <c r="T11" s="1500"/>
      <c r="U11" s="177" t="s">
        <v>1797</v>
      </c>
      <c r="V11" s="177">
        <v>126</v>
      </c>
      <c r="W11" s="177"/>
      <c r="X11" s="177"/>
      <c r="Y11" s="177"/>
      <c r="Z11" s="177"/>
      <c r="AA11" s="177"/>
      <c r="AB11" s="177"/>
      <c r="AC11" s="177"/>
      <c r="AD11" s="177"/>
      <c r="AE11" s="177"/>
    </row>
    <row r="12" spans="1:31" s="1035" customFormat="1" ht="21.75" customHeight="1" thickBot="1" x14ac:dyDescent="0.3">
      <c r="A12" s="1052"/>
      <c r="B12" s="249"/>
      <c r="C12" s="184"/>
      <c r="D12" s="1512" t="s">
        <v>898</v>
      </c>
      <c r="E12" s="1512"/>
      <c r="F12" s="185"/>
      <c r="G12" s="1513"/>
      <c r="H12" s="1514"/>
      <c r="I12" s="186"/>
      <c r="J12" s="1541"/>
      <c r="K12" s="1541"/>
      <c r="L12" s="184"/>
      <c r="M12" s="184"/>
      <c r="N12" s="184"/>
      <c r="O12" s="184"/>
      <c r="P12" s="187"/>
      <c r="Q12" s="179"/>
      <c r="R12" s="1219"/>
      <c r="S12" s="1147" t="s">
        <v>1587</v>
      </c>
      <c r="T12" s="1147" t="str">
        <f>IF(AND(AND(E$13="Yes",E$14=S12),AND(E$27="Yes",E$28=S12)),IF(AND(E$41="Yes",E$42=S12),"Yes","No"),"No")</f>
        <v>No</v>
      </c>
      <c r="U12" s="177" t="s">
        <v>1798</v>
      </c>
      <c r="V12" s="177">
        <v>134</v>
      </c>
      <c r="W12" s="177"/>
      <c r="X12" s="177"/>
      <c r="Y12" s="177"/>
      <c r="Z12" s="177"/>
      <c r="AA12" s="177"/>
      <c r="AB12" s="177"/>
      <c r="AC12" s="177"/>
    </row>
    <row r="13" spans="1:31" s="1035" customFormat="1" ht="18" customHeight="1" thickBot="1" x14ac:dyDescent="0.3">
      <c r="A13" s="1052"/>
      <c r="B13" s="244"/>
      <c r="C13" s="145"/>
      <c r="D13" s="1170" t="s">
        <v>528</v>
      </c>
      <c r="E13" s="1083" t="s">
        <v>653</v>
      </c>
      <c r="F13" s="341"/>
      <c r="G13" s="229" t="s">
        <v>1479</v>
      </c>
      <c r="H13" s="642"/>
      <c r="I13" s="229" t="s">
        <v>1480</v>
      </c>
      <c r="J13" s="41"/>
      <c r="K13" s="229" t="s">
        <v>871</v>
      </c>
      <c r="L13" s="145"/>
      <c r="M13" s="194" t="s">
        <v>1481</v>
      </c>
      <c r="N13" s="145"/>
      <c r="O13" s="145"/>
      <c r="P13" s="190"/>
      <c r="Q13" s="179"/>
      <c r="R13" s="1219"/>
      <c r="S13" s="1146" t="s">
        <v>1602</v>
      </c>
      <c r="T13" s="1147" t="str">
        <f t="shared" ref="T13:T14" si="0">IF(AND(AND(E$13="Yes",E$14=S13),AND(E$27="Yes",E$28=S13)),IF(AND(E$41="Yes",E$42=S13),"Yes","No"),"No")</f>
        <v>No</v>
      </c>
      <c r="U13" s="177" t="s">
        <v>1799</v>
      </c>
      <c r="V13" s="177">
        <v>142</v>
      </c>
      <c r="W13" s="177"/>
      <c r="X13" s="177"/>
      <c r="Y13" s="177"/>
      <c r="Z13" s="177"/>
      <c r="AA13" s="177"/>
      <c r="AB13" s="177"/>
      <c r="AC13" s="177"/>
    </row>
    <row r="14" spans="1:31" s="1035" customFormat="1" ht="18" customHeight="1" thickBot="1" x14ac:dyDescent="0.3">
      <c r="A14" s="1052"/>
      <c r="B14" s="244"/>
      <c r="C14" s="145"/>
      <c r="D14" s="1053" t="s">
        <v>1482</v>
      </c>
      <c r="E14" s="1230" t="s">
        <v>1483</v>
      </c>
      <c r="F14" s="189"/>
      <c r="G14" s="1231"/>
      <c r="H14" s="731"/>
      <c r="I14" s="1231"/>
      <c r="J14" s="145"/>
      <c r="K14" s="1231"/>
      <c r="L14" s="145"/>
      <c r="M14" s="1242"/>
      <c r="N14" s="145"/>
      <c r="O14" s="145"/>
      <c r="P14" s="190"/>
      <c r="Q14" s="179"/>
      <c r="R14" s="1219"/>
      <c r="S14" s="1146" t="s">
        <v>1615</v>
      </c>
      <c r="T14" s="1147" t="str">
        <f t="shared" si="0"/>
        <v>No</v>
      </c>
      <c r="U14" s="177" t="s">
        <v>1800</v>
      </c>
      <c r="V14" s="177">
        <v>150</v>
      </c>
      <c r="W14" s="177"/>
      <c r="X14" s="177"/>
      <c r="Y14" s="177"/>
      <c r="Z14" s="177"/>
      <c r="AA14" s="177"/>
      <c r="AB14" s="177"/>
      <c r="AC14" s="177"/>
    </row>
    <row r="15" spans="1:31" s="1035" customFormat="1" ht="15.75" thickBot="1" x14ac:dyDescent="0.3">
      <c r="A15" s="1052"/>
      <c r="B15" s="244"/>
      <c r="C15" s="145"/>
      <c r="D15" s="1171"/>
      <c r="E15" s="191"/>
      <c r="F15" s="191"/>
      <c r="G15" s="643"/>
      <c r="H15" s="642"/>
      <c r="I15" s="145"/>
      <c r="J15" s="145"/>
      <c r="K15" s="145"/>
      <c r="L15" s="145"/>
      <c r="M15" s="145"/>
      <c r="N15" s="145"/>
      <c r="O15" s="145"/>
      <c r="P15" s="190"/>
      <c r="Q15" s="179"/>
      <c r="R15" s="1219"/>
      <c r="S15" s="1256" t="s">
        <v>1734</v>
      </c>
      <c r="T15" s="1255" t="str">
        <f>IF(AND(E$159="Yes",E$160=S15),IF(AND(E$167="Yes",E$168=S15),"Yes","No"),"No")</f>
        <v>No</v>
      </c>
      <c r="U15" s="177" t="s">
        <v>1801</v>
      </c>
      <c r="V15" s="177">
        <v>158</v>
      </c>
      <c r="W15" s="177"/>
      <c r="X15" s="177"/>
      <c r="Y15" s="177"/>
      <c r="Z15" s="177"/>
      <c r="AA15" s="177"/>
      <c r="AB15" s="177"/>
      <c r="AC15" s="177"/>
    </row>
    <row r="16" spans="1:31" s="1035" customFormat="1" ht="18" customHeight="1" thickBot="1" x14ac:dyDescent="0.3">
      <c r="A16" s="1052"/>
      <c r="B16" s="244"/>
      <c r="C16" s="145"/>
      <c r="D16" s="1054" t="s">
        <v>1484</v>
      </c>
      <c r="E16" s="1246" t="str">
        <f>IF(E13="Yes",IF(Welcome!$D$6="New",IF('Required Info to Submit'!F$14="","",'Required Info to Submit'!F$14),""),"")</f>
        <v/>
      </c>
      <c r="F16" s="191"/>
      <c r="G16" s="193" t="s">
        <v>520</v>
      </c>
      <c r="H16" s="642"/>
      <c r="I16" s="145"/>
      <c r="J16" s="145"/>
      <c r="K16" s="145"/>
      <c r="L16" s="145"/>
      <c r="M16" s="145"/>
      <c r="N16" s="145"/>
      <c r="O16" s="145"/>
      <c r="P16" s="190"/>
      <c r="Q16" s="179"/>
      <c r="R16" s="177"/>
      <c r="S16" s="688"/>
      <c r="T16" s="177"/>
      <c r="U16" s="177" t="s">
        <v>1802</v>
      </c>
      <c r="V16" s="177">
        <v>166</v>
      </c>
      <c r="W16" s="177"/>
      <c r="X16" s="177"/>
      <c r="Y16" s="177"/>
      <c r="Z16" s="177"/>
      <c r="AA16" s="177"/>
      <c r="AB16" s="177"/>
      <c r="AC16" s="177"/>
    </row>
    <row r="17" spans="1:29" s="1035" customFormat="1" ht="18" customHeight="1" thickBot="1" x14ac:dyDescent="0.3">
      <c r="A17" s="1052"/>
      <c r="B17" s="244"/>
      <c r="C17" s="145"/>
      <c r="D17" s="1054" t="s">
        <v>1485</v>
      </c>
      <c r="E17" s="1246" t="str">
        <f>IF(E13="Yes",IF(Welcome!$D$6="New",IF('Required Info to Submit'!F$17="","",'Required Info to Submit'!F$17),""),"")</f>
        <v/>
      </c>
      <c r="F17" s="191"/>
      <c r="G17" s="1157">
        <f>$H$9/52</f>
        <v>0</v>
      </c>
      <c r="H17" s="642"/>
      <c r="I17" s="1184"/>
      <c r="J17" s="145"/>
      <c r="K17" s="145"/>
      <c r="L17" s="145"/>
      <c r="M17" s="188"/>
      <c r="N17" s="857"/>
      <c r="O17" s="188"/>
      <c r="P17" s="190"/>
      <c r="Q17" s="179"/>
      <c r="R17" s="177"/>
      <c r="S17" s="688"/>
      <c r="T17" s="177"/>
      <c r="U17" s="177" t="s">
        <v>1803</v>
      </c>
      <c r="V17" s="177">
        <v>174</v>
      </c>
      <c r="W17" s="177"/>
      <c r="X17" s="177"/>
      <c r="Y17" s="177"/>
      <c r="Z17" s="177"/>
      <c r="AA17" s="177"/>
      <c r="AB17" s="177"/>
      <c r="AC17" s="177"/>
    </row>
    <row r="18" spans="1:29" s="1035" customFormat="1" ht="15.75" customHeight="1" thickBot="1" x14ac:dyDescent="0.3">
      <c r="A18" s="1052"/>
      <c r="B18" s="244"/>
      <c r="C18" s="145"/>
      <c r="D18" s="1171"/>
      <c r="E18" s="191"/>
      <c r="F18" s="191"/>
      <c r="G18" s="194" t="s">
        <v>1486</v>
      </c>
      <c r="H18" s="642"/>
      <c r="I18" s="194" t="s">
        <v>1487</v>
      </c>
      <c r="J18" s="145"/>
      <c r="K18" s="194" t="s">
        <v>1488</v>
      </c>
      <c r="L18" s="145"/>
      <c r="M18" s="857"/>
      <c r="N18" s="857"/>
      <c r="O18" s="6" t="s">
        <v>493</v>
      </c>
      <c r="P18" s="190"/>
      <c r="Q18" s="179"/>
      <c r="R18" s="177"/>
      <c r="S18" s="688"/>
      <c r="T18" s="177"/>
      <c r="U18" s="177" t="s">
        <v>1804</v>
      </c>
      <c r="V18" s="177">
        <v>182</v>
      </c>
      <c r="W18" s="177"/>
      <c r="X18" s="177"/>
      <c r="Y18" s="177"/>
      <c r="Z18" s="177"/>
      <c r="AA18" s="177"/>
      <c r="AB18" s="177"/>
      <c r="AC18" s="177"/>
    </row>
    <row r="19" spans="1:29" s="1035" customFormat="1" ht="18" customHeight="1" thickBot="1" x14ac:dyDescent="0.3">
      <c r="A19" s="1052"/>
      <c r="B19" s="244"/>
      <c r="C19" s="145"/>
      <c r="D19" s="1168" t="s">
        <v>525</v>
      </c>
      <c r="E19" s="1169">
        <f>IFERROR(IF(G19="",0,(G19-$G$17)/$G$17),"")</f>
        <v>0</v>
      </c>
      <c r="F19" s="1055" t="s">
        <v>1048</v>
      </c>
      <c r="G19" s="1232"/>
      <c r="H19" s="1240"/>
      <c r="I19" s="1235" t="str">
        <f>IF(E$13="Yes",IF(G20="",999999999.99,G20-0.01),"")</f>
        <v/>
      </c>
      <c r="J19" s="1229"/>
      <c r="K19" s="1233"/>
      <c r="L19" s="145"/>
      <c r="M19" s="857"/>
      <c r="N19" s="857"/>
      <c r="O19" s="1160">
        <f>IF(E13="Yes",IF(G20=0,K19*H$10,IF(OR(G20&lt;G17,G20=G17),K20*H$10,K19*H$10)),0)</f>
        <v>0</v>
      </c>
      <c r="P19" s="190"/>
      <c r="Q19" s="179"/>
      <c r="R19" s="177"/>
      <c r="S19" s="688"/>
      <c r="T19" s="177"/>
      <c r="U19" s="177" t="s">
        <v>1805</v>
      </c>
      <c r="V19" s="177">
        <v>193</v>
      </c>
      <c r="W19" s="177"/>
      <c r="X19" s="177"/>
      <c r="Y19" s="177"/>
      <c r="Z19" s="177"/>
      <c r="AA19" s="177"/>
      <c r="AB19" s="177"/>
      <c r="AC19" s="177"/>
    </row>
    <row r="20" spans="1:29" s="1035" customFormat="1" ht="18" customHeight="1" thickBot="1" x14ac:dyDescent="0.3">
      <c r="A20" s="1052"/>
      <c r="B20" s="244"/>
      <c r="C20" s="145"/>
      <c r="D20" s="1168" t="s">
        <v>526</v>
      </c>
      <c r="E20" s="1169">
        <f>IFERROR(IF(G20="",0,(G20-$G$17)/$G$17),"")</f>
        <v>0</v>
      </c>
      <c r="F20" s="1055" t="s">
        <v>1489</v>
      </c>
      <c r="G20" s="1232"/>
      <c r="H20" s="1240"/>
      <c r="I20" s="1235" t="str">
        <f>IF(E$13="Yes",IF(I19="","",IF(I19&lt;&gt;999999999.99,IF(G21="",999999999.99,G21-0.01),"")),"")</f>
        <v/>
      </c>
      <c r="J20" s="1241" t="str">
        <f>IF($E$15="YES","**Tier 1 used for modeling purposes**","")</f>
        <v/>
      </c>
      <c r="K20" s="1233"/>
      <c r="L20" s="1057"/>
      <c r="M20" s="1084"/>
      <c r="N20" s="857"/>
      <c r="O20" s="857"/>
      <c r="P20" s="190"/>
      <c r="Q20" s="179"/>
      <c r="R20" s="177"/>
      <c r="S20" s="688"/>
      <c r="T20" s="177"/>
      <c r="U20" s="177" t="s">
        <v>1806</v>
      </c>
      <c r="V20" s="177">
        <v>205</v>
      </c>
      <c r="W20" s="177"/>
      <c r="X20" s="177"/>
      <c r="Y20" s="177"/>
      <c r="Z20" s="177"/>
      <c r="AA20" s="177"/>
      <c r="AB20" s="177"/>
      <c r="AC20" s="177"/>
    </row>
    <row r="21" spans="1:29" s="1035" customFormat="1" ht="18" customHeight="1" thickBot="1" x14ac:dyDescent="0.3">
      <c r="A21" s="1052"/>
      <c r="B21" s="244"/>
      <c r="C21" s="145"/>
      <c r="D21" s="1168" t="s">
        <v>527</v>
      </c>
      <c r="E21" s="1169">
        <f>IFERROR(IF(G21="",0,(G21-$G$17)/$G$17),"")</f>
        <v>0</v>
      </c>
      <c r="F21" s="1055" t="s">
        <v>1490</v>
      </c>
      <c r="G21" s="1232"/>
      <c r="H21" s="1240"/>
      <c r="I21" s="1235" t="str">
        <f>IF(E$13="Yes",IF(I20="","",IF(I20&lt;&gt;999999999.99,IF(G22="",999999999.99,G22-0.01),"")),"")</f>
        <v/>
      </c>
      <c r="J21" s="1229"/>
      <c r="K21" s="1233"/>
      <c r="L21" s="145"/>
      <c r="M21" s="1080"/>
      <c r="N21" s="857"/>
      <c r="O21" s="857"/>
      <c r="P21" s="190"/>
      <c r="Q21" s="179"/>
      <c r="R21" s="177"/>
      <c r="S21" s="688"/>
      <c r="T21" s="177"/>
      <c r="U21" s="177" t="s">
        <v>1585</v>
      </c>
      <c r="V21" s="177">
        <v>217</v>
      </c>
      <c r="W21" s="177"/>
      <c r="X21" s="177"/>
      <c r="Y21" s="177"/>
      <c r="Z21" s="177"/>
      <c r="AA21" s="177"/>
      <c r="AB21" s="177"/>
      <c r="AC21" s="177"/>
    </row>
    <row r="22" spans="1:29" s="1035" customFormat="1" ht="18" customHeight="1" thickBot="1" x14ac:dyDescent="0.3">
      <c r="A22" s="1052"/>
      <c r="B22" s="244"/>
      <c r="C22" s="145"/>
      <c r="D22" s="1168" t="s">
        <v>1491</v>
      </c>
      <c r="E22" s="1169">
        <f>IFERROR(IF(G22="",0,(G22-$G$17)/$G$17),"")</f>
        <v>0</v>
      </c>
      <c r="F22" s="1055" t="s">
        <v>1492</v>
      </c>
      <c r="G22" s="1232"/>
      <c r="H22" s="1240"/>
      <c r="I22" s="1235" t="str">
        <f t="shared" ref="I22:I23" si="1">IF(E$13="Yes",IF(I21="","",IF(I21&lt;&gt;999999999.99,IF(G23="",999999999.99,G23-0.01),"")),"")</f>
        <v/>
      </c>
      <c r="J22" s="1229"/>
      <c r="K22" s="1233"/>
      <c r="L22" s="145"/>
      <c r="M22" s="857"/>
      <c r="N22" s="857"/>
      <c r="O22" s="857"/>
      <c r="P22" s="190"/>
      <c r="Q22" s="179"/>
      <c r="R22" s="177"/>
      <c r="S22" s="688"/>
      <c r="T22" s="177"/>
      <c r="U22" s="177"/>
      <c r="V22" s="177"/>
      <c r="W22" s="177"/>
      <c r="X22" s="177"/>
      <c r="Y22" s="177"/>
      <c r="Z22" s="177"/>
      <c r="AA22" s="177"/>
      <c r="AB22" s="177"/>
      <c r="AC22" s="177"/>
    </row>
    <row r="23" spans="1:29" s="1035" customFormat="1" ht="18" customHeight="1" thickBot="1" x14ac:dyDescent="0.3">
      <c r="A23" s="1052"/>
      <c r="B23" s="244"/>
      <c r="C23" s="145"/>
      <c r="D23" s="1168" t="s">
        <v>1493</v>
      </c>
      <c r="E23" s="1169">
        <f>IFERROR(IF(G23="",0,(G23-$G$17)/$G$17),"")</f>
        <v>0</v>
      </c>
      <c r="F23" s="1055" t="s">
        <v>1494</v>
      </c>
      <c r="G23" s="1232"/>
      <c r="H23" s="1240"/>
      <c r="I23" s="1235" t="str">
        <f t="shared" si="1"/>
        <v/>
      </c>
      <c r="J23" s="1229"/>
      <c r="K23" s="1233"/>
      <c r="L23" s="145"/>
      <c r="M23" s="857"/>
      <c r="N23" s="857"/>
      <c r="O23" s="857"/>
      <c r="P23" s="190"/>
      <c r="Q23" s="179"/>
      <c r="R23" s="177"/>
      <c r="S23" s="688"/>
      <c r="T23" s="177"/>
      <c r="U23" s="177"/>
      <c r="V23" s="177"/>
      <c r="W23" s="177"/>
      <c r="X23" s="177"/>
      <c r="Y23" s="177"/>
      <c r="Z23" s="177"/>
      <c r="AA23" s="177"/>
      <c r="AB23" s="177"/>
      <c r="AC23" s="177"/>
    </row>
    <row r="24" spans="1:29" s="1035" customFormat="1" ht="20.25" customHeight="1" x14ac:dyDescent="0.25">
      <c r="A24" s="1052"/>
      <c r="B24" s="246"/>
      <c r="C24" s="202"/>
      <c r="D24" s="1173"/>
      <c r="E24" s="198"/>
      <c r="F24" s="199"/>
      <c r="G24" s="200"/>
      <c r="H24" s="201"/>
      <c r="I24" s="718">
        <f>COUNTIF($I$20:$I$23,"&gt;.03")</f>
        <v>0</v>
      </c>
      <c r="J24" s="202"/>
      <c r="K24" s="1382"/>
      <c r="L24" s="202"/>
      <c r="M24" s="204"/>
      <c r="N24" s="204"/>
      <c r="O24" s="204"/>
      <c r="P24" s="205"/>
      <c r="Q24" s="179"/>
      <c r="R24" s="177"/>
      <c r="S24" s="688"/>
      <c r="T24" s="177"/>
      <c r="U24" s="177"/>
      <c r="V24" s="177"/>
      <c r="W24" s="177"/>
      <c r="X24" s="177"/>
      <c r="Y24" s="177"/>
      <c r="Z24" s="177"/>
      <c r="AA24" s="177"/>
      <c r="AB24" s="177"/>
      <c r="AC24" s="177"/>
    </row>
    <row r="25" spans="1:29" s="1035" customFormat="1" ht="10.15" customHeight="1" x14ac:dyDescent="0.25">
      <c r="C25" s="180"/>
      <c r="D25" s="1174"/>
      <c r="E25" s="206"/>
      <c r="F25" s="207"/>
      <c r="G25" s="208"/>
      <c r="H25" s="209"/>
      <c r="I25" s="210"/>
      <c r="J25" s="180"/>
      <c r="K25" s="211"/>
      <c r="L25" s="180"/>
      <c r="M25" s="212"/>
      <c r="N25" s="212"/>
      <c r="O25" s="212"/>
      <c r="P25" s="177"/>
      <c r="Q25" s="179"/>
      <c r="R25" s="177"/>
      <c r="S25" s="688"/>
      <c r="T25" s="177"/>
      <c r="U25" s="177"/>
      <c r="V25" s="177"/>
      <c r="W25" s="177"/>
      <c r="X25" s="177"/>
      <c r="Y25" s="177"/>
      <c r="Z25" s="177"/>
      <c r="AA25" s="177"/>
      <c r="AB25" s="177"/>
      <c r="AC25" s="177"/>
    </row>
    <row r="26" spans="1:29" s="1035" customFormat="1" ht="21.75" hidden="1" customHeight="1" thickBot="1" x14ac:dyDescent="0.3">
      <c r="A26" s="1052"/>
      <c r="B26" s="249"/>
      <c r="C26" s="184"/>
      <c r="D26" s="1512" t="s">
        <v>898</v>
      </c>
      <c r="E26" s="1512"/>
      <c r="F26" s="185"/>
      <c r="G26" s="1513"/>
      <c r="H26" s="1514"/>
      <c r="I26" s="186"/>
      <c r="J26" s="1541"/>
      <c r="K26" s="1541"/>
      <c r="L26" s="184"/>
      <c r="M26" s="184"/>
      <c r="N26" s="184"/>
      <c r="O26" s="184"/>
      <c r="P26" s="187"/>
      <c r="Q26" s="179"/>
      <c r="R26" s="177"/>
      <c r="S26" s="177"/>
      <c r="T26" s="177"/>
      <c r="U26" s="177"/>
      <c r="V26" s="177"/>
      <c r="W26" s="177"/>
      <c r="X26" s="177"/>
      <c r="Y26" s="177"/>
      <c r="Z26" s="177"/>
      <c r="AA26" s="177"/>
      <c r="AB26" s="177"/>
      <c r="AC26" s="177"/>
    </row>
    <row r="27" spans="1:29" s="1035" customFormat="1" ht="18" hidden="1" customHeight="1" thickBot="1" x14ac:dyDescent="0.3">
      <c r="A27" s="1052"/>
      <c r="B27" s="244"/>
      <c r="C27" s="145"/>
      <c r="D27" s="1170" t="s">
        <v>528</v>
      </c>
      <c r="E27" s="1058" t="s">
        <v>653</v>
      </c>
      <c r="F27" s="341"/>
      <c r="G27" s="229" t="s">
        <v>1479</v>
      </c>
      <c r="H27" s="642"/>
      <c r="I27" s="229" t="s">
        <v>1480</v>
      </c>
      <c r="J27" s="41"/>
      <c r="K27" s="229" t="s">
        <v>871</v>
      </c>
      <c r="L27" s="145"/>
      <c r="M27" s="194" t="s">
        <v>1481</v>
      </c>
      <c r="N27" s="145"/>
      <c r="O27" s="145"/>
      <c r="P27" s="190"/>
      <c r="Q27" s="179"/>
      <c r="R27" s="177"/>
      <c r="S27" s="177"/>
      <c r="T27" s="177"/>
      <c r="U27" s="177"/>
      <c r="V27" s="177"/>
      <c r="W27" s="177"/>
      <c r="X27" s="177"/>
      <c r="Y27" s="177"/>
      <c r="Z27" s="177"/>
      <c r="AA27" s="177"/>
      <c r="AB27" s="177"/>
      <c r="AC27" s="177"/>
    </row>
    <row r="28" spans="1:29" s="1035" customFormat="1" ht="18" hidden="1" customHeight="1" thickBot="1" x14ac:dyDescent="0.3">
      <c r="A28" s="1052"/>
      <c r="B28" s="244"/>
      <c r="C28" s="145"/>
      <c r="D28" s="1053" t="s">
        <v>1482</v>
      </c>
      <c r="E28" s="1139" t="s">
        <v>1483</v>
      </c>
      <c r="F28" s="189"/>
      <c r="G28" s="1231"/>
      <c r="H28" s="731"/>
      <c r="I28" s="1231"/>
      <c r="J28" s="145"/>
      <c r="K28" s="1231"/>
      <c r="L28" s="145"/>
      <c r="M28" s="1226"/>
      <c r="N28" s="145"/>
      <c r="O28" s="145"/>
      <c r="P28" s="190"/>
      <c r="Q28" s="179"/>
      <c r="R28" s="177"/>
      <c r="S28" s="688"/>
      <c r="T28" s="177"/>
      <c r="U28" s="177"/>
      <c r="V28" s="177"/>
      <c r="W28" s="177"/>
      <c r="X28" s="177"/>
      <c r="Y28" s="177"/>
      <c r="Z28" s="177"/>
      <c r="AA28" s="177"/>
      <c r="AB28" s="177"/>
      <c r="AC28" s="177"/>
    </row>
    <row r="29" spans="1:29" s="1035" customFormat="1" ht="15.75" hidden="1" thickBot="1" x14ac:dyDescent="0.3">
      <c r="A29" s="1052"/>
      <c r="B29" s="244"/>
      <c r="C29" s="145"/>
      <c r="D29" s="1171"/>
      <c r="E29" s="191"/>
      <c r="F29" s="191"/>
      <c r="G29" s="643"/>
      <c r="H29" s="642"/>
      <c r="I29" s="145"/>
      <c r="J29" s="145"/>
      <c r="K29" s="145"/>
      <c r="L29" s="145"/>
      <c r="M29" s="145"/>
      <c r="N29" s="145"/>
      <c r="O29" s="145"/>
      <c r="P29" s="190"/>
      <c r="Q29" s="179"/>
      <c r="R29" s="177"/>
      <c r="S29" s="688" t="str">
        <f>IF($E29="NO","",IF($I28="Select Payment Method","X",""))</f>
        <v/>
      </c>
      <c r="T29" s="177"/>
      <c r="U29" s="177"/>
      <c r="V29" s="177"/>
      <c r="W29" s="177"/>
      <c r="X29" s="177"/>
      <c r="Y29" s="177"/>
      <c r="Z29" s="177"/>
      <c r="AA29" s="177"/>
      <c r="AB29" s="177"/>
      <c r="AC29" s="177"/>
    </row>
    <row r="30" spans="1:29" s="1035" customFormat="1" ht="18" hidden="1" customHeight="1" thickBot="1" x14ac:dyDescent="0.3">
      <c r="A30" s="1052"/>
      <c r="B30" s="244"/>
      <c r="C30" s="145"/>
      <c r="D30" s="1054" t="s">
        <v>1484</v>
      </c>
      <c r="E30" s="1246" t="str">
        <f>IF(E27="Yes",IF(Welcome!$D$6="New",IF('Required Info to Submit'!F$14="","",'Required Info to Submit'!F$14),""),"")</f>
        <v/>
      </c>
      <c r="F30" s="191"/>
      <c r="G30" s="193" t="s">
        <v>520</v>
      </c>
      <c r="H30" s="642"/>
      <c r="I30" s="145"/>
      <c r="J30" s="145"/>
      <c r="K30" s="145"/>
      <c r="L30" s="145"/>
      <c r="M30" s="145"/>
      <c r="N30" s="145"/>
      <c r="O30" s="145"/>
      <c r="P30" s="190"/>
      <c r="Q30" s="179"/>
      <c r="R30" s="177"/>
      <c r="S30" s="688"/>
      <c r="T30" s="177"/>
      <c r="U30" s="177"/>
      <c r="V30" s="177"/>
      <c r="W30" s="177"/>
      <c r="X30" s="177"/>
      <c r="Y30" s="177"/>
      <c r="Z30" s="177"/>
      <c r="AA30" s="177"/>
      <c r="AB30" s="177"/>
      <c r="AC30" s="177"/>
    </row>
    <row r="31" spans="1:29" s="1035" customFormat="1" ht="18" hidden="1" customHeight="1" thickBot="1" x14ac:dyDescent="0.3">
      <c r="A31" s="1052"/>
      <c r="B31" s="244"/>
      <c r="C31" s="145"/>
      <c r="D31" s="1054" t="s">
        <v>1485</v>
      </c>
      <c r="E31" s="1246" t="str">
        <f>IF(E27="Yes",IF(Welcome!$D$6="New",IF('Required Info to Submit'!F$17="","",'Required Info to Submit'!F$17),""),"")</f>
        <v/>
      </c>
      <c r="F31" s="191"/>
      <c r="G31" s="1157">
        <f>$H$9/52</f>
        <v>0</v>
      </c>
      <c r="H31" s="642"/>
      <c r="I31" s="145"/>
      <c r="J31" s="145"/>
      <c r="K31" s="145"/>
      <c r="L31" s="145"/>
      <c r="M31" s="188"/>
      <c r="N31" s="857"/>
      <c r="O31" s="188"/>
      <c r="P31" s="190"/>
      <c r="Q31" s="179"/>
      <c r="R31" s="177"/>
      <c r="S31" s="688"/>
      <c r="T31" s="177"/>
      <c r="U31" s="177"/>
      <c r="V31" s="177"/>
      <c r="W31" s="177"/>
      <c r="X31" s="177"/>
      <c r="Y31" s="177"/>
      <c r="Z31" s="177"/>
      <c r="AA31" s="177"/>
      <c r="AB31" s="177"/>
      <c r="AC31" s="177"/>
    </row>
    <row r="32" spans="1:29" s="1035" customFormat="1" ht="15.75" hidden="1" customHeight="1" thickBot="1" x14ac:dyDescent="0.3">
      <c r="A32" s="1052"/>
      <c r="B32" s="244"/>
      <c r="C32" s="145"/>
      <c r="D32" s="1171"/>
      <c r="E32" s="191"/>
      <c r="F32" s="191"/>
      <c r="G32" s="194" t="s">
        <v>1486</v>
      </c>
      <c r="H32" s="642"/>
      <c r="I32" s="194" t="s">
        <v>1487</v>
      </c>
      <c r="J32" s="145"/>
      <c r="K32" s="194" t="s">
        <v>1488</v>
      </c>
      <c r="L32" s="145"/>
      <c r="M32" s="857"/>
      <c r="N32" s="857"/>
      <c r="O32" s="6" t="s">
        <v>493</v>
      </c>
      <c r="P32" s="190"/>
      <c r="Q32" s="179"/>
      <c r="R32" s="177"/>
      <c r="S32" s="688"/>
      <c r="T32" s="177"/>
      <c r="U32" s="177"/>
      <c r="V32" s="177"/>
      <c r="W32" s="177"/>
      <c r="X32" s="177"/>
      <c r="Y32" s="177"/>
      <c r="Z32" s="177"/>
      <c r="AA32" s="177"/>
      <c r="AB32" s="177"/>
      <c r="AC32" s="177"/>
    </row>
    <row r="33" spans="1:29" s="1035" customFormat="1" ht="18" hidden="1" customHeight="1" thickBot="1" x14ac:dyDescent="0.3">
      <c r="A33" s="1052"/>
      <c r="B33" s="244"/>
      <c r="C33" s="145"/>
      <c r="D33" s="1168" t="s">
        <v>525</v>
      </c>
      <c r="E33" s="1169">
        <f>IFERROR(IF(G33="",0,(G33-$G$31)/$G$31),"")</f>
        <v>0</v>
      </c>
      <c r="F33" s="1055" t="s">
        <v>1048</v>
      </c>
      <c r="G33" s="1232"/>
      <c r="H33" s="642"/>
      <c r="I33" s="1158" t="str">
        <f>IF(E$27="Yes",IF(G34="",999999999.99,G34-0.01),"")</f>
        <v/>
      </c>
      <c r="J33" s="145"/>
      <c r="K33" s="1233"/>
      <c r="L33" s="145"/>
      <c r="M33" s="857"/>
      <c r="N33" s="857"/>
      <c r="O33" s="1160">
        <f>IF(E27="Yes",IF(G34=0,K33*H$10,IF(OR(G34&lt;G31,G34=G31),K34*H$10,K33*H$10)),0)</f>
        <v>0</v>
      </c>
      <c r="P33" s="190"/>
      <c r="Q33" s="179"/>
      <c r="R33" s="177"/>
      <c r="S33" s="688"/>
      <c r="T33" s="177"/>
      <c r="U33" s="177"/>
      <c r="V33" s="177"/>
      <c r="W33" s="177"/>
      <c r="X33" s="177"/>
      <c r="Y33" s="177"/>
      <c r="Z33" s="177"/>
      <c r="AA33" s="177"/>
      <c r="AB33" s="177"/>
      <c r="AC33" s="177"/>
    </row>
    <row r="34" spans="1:29" s="1035" customFormat="1" ht="18" hidden="1" customHeight="1" thickBot="1" x14ac:dyDescent="0.3">
      <c r="A34" s="1052"/>
      <c r="B34" s="244"/>
      <c r="C34" s="145"/>
      <c r="D34" s="1168" t="s">
        <v>526</v>
      </c>
      <c r="E34" s="1169">
        <f>IFERROR(IF(G34="",0,(G34-$G$31)/$G$31),"")</f>
        <v>0</v>
      </c>
      <c r="F34" s="1055" t="s">
        <v>1489</v>
      </c>
      <c r="G34" s="1232"/>
      <c r="H34" s="642"/>
      <c r="I34" s="1158" t="str">
        <f>IF(E$27="Yes",IF(I33="","",IF(I33&lt;&gt;999999999.99,IF(G35="",999999999.99,G35-0.01),"")),"")</f>
        <v/>
      </c>
      <c r="J34" s="1056" t="str">
        <f>IF($E$15="YES","**Tier 1 used for modeling purposes**","")</f>
        <v/>
      </c>
      <c r="K34" s="1233"/>
      <c r="L34" s="1057"/>
      <c r="M34" s="857"/>
      <c r="N34" s="857"/>
      <c r="O34" s="857"/>
      <c r="P34" s="190"/>
      <c r="Q34" s="179"/>
      <c r="R34" s="177"/>
      <c r="S34" s="688"/>
      <c r="T34" s="177"/>
      <c r="U34" s="177"/>
      <c r="V34" s="177"/>
      <c r="W34" s="177"/>
      <c r="X34" s="177"/>
      <c r="Y34" s="177"/>
      <c r="Z34" s="177"/>
      <c r="AA34" s="177"/>
      <c r="AB34" s="177"/>
      <c r="AC34" s="177"/>
    </row>
    <row r="35" spans="1:29" s="1035" customFormat="1" ht="18" hidden="1" customHeight="1" thickBot="1" x14ac:dyDescent="0.3">
      <c r="A35" s="1052"/>
      <c r="B35" s="244"/>
      <c r="C35" s="145"/>
      <c r="D35" s="1168" t="s">
        <v>527</v>
      </c>
      <c r="E35" s="1169">
        <f>IFERROR(IF(G35="",0,(G35-$G$31)/$G$31),"")</f>
        <v>0</v>
      </c>
      <c r="F35" s="1055" t="s">
        <v>1490</v>
      </c>
      <c r="G35" s="1232"/>
      <c r="H35" s="642"/>
      <c r="I35" s="1158" t="str">
        <f t="shared" ref="I35:I37" si="2">IF(E$27="Yes",IF(I34="","",IF(I34&lt;&gt;999999999.99,IF(G36="",999999999.99,G36-0.01),"")),"")</f>
        <v/>
      </c>
      <c r="J35" s="145"/>
      <c r="K35" s="1233"/>
      <c r="L35" s="145"/>
      <c r="M35" s="857"/>
      <c r="N35" s="857"/>
      <c r="O35" s="857"/>
      <c r="P35" s="190"/>
      <c r="Q35" s="179"/>
      <c r="R35" s="177"/>
      <c r="S35" s="688"/>
      <c r="T35" s="177"/>
      <c r="U35" s="177"/>
      <c r="V35" s="177"/>
      <c r="W35" s="177"/>
      <c r="X35" s="177"/>
      <c r="Y35" s="177"/>
      <c r="Z35" s="177"/>
      <c r="AA35" s="177"/>
      <c r="AB35" s="177"/>
      <c r="AC35" s="177"/>
    </row>
    <row r="36" spans="1:29" s="1035" customFormat="1" ht="18" hidden="1" customHeight="1" thickBot="1" x14ac:dyDescent="0.3">
      <c r="A36" s="1052"/>
      <c r="B36" s="244"/>
      <c r="C36" s="145"/>
      <c r="D36" s="1168" t="s">
        <v>1491</v>
      </c>
      <c r="E36" s="1169">
        <f>IFERROR(IF(G36="",0,(G36-$G$31)/$G$31),"")</f>
        <v>0</v>
      </c>
      <c r="F36" s="1055" t="s">
        <v>1492</v>
      </c>
      <c r="G36" s="1232"/>
      <c r="H36" s="642"/>
      <c r="I36" s="1158" t="str">
        <f t="shared" si="2"/>
        <v/>
      </c>
      <c r="J36" s="145"/>
      <c r="K36" s="1233"/>
      <c r="L36" s="145"/>
      <c r="M36" s="857"/>
      <c r="N36" s="857"/>
      <c r="O36" s="857"/>
      <c r="P36" s="190"/>
      <c r="Q36" s="179"/>
      <c r="R36" s="177"/>
      <c r="S36" s="688"/>
      <c r="T36" s="177"/>
      <c r="U36" s="177"/>
      <c r="V36" s="177"/>
      <c r="W36" s="177"/>
      <c r="X36" s="177"/>
      <c r="Y36" s="177"/>
      <c r="Z36" s="177"/>
      <c r="AA36" s="177"/>
      <c r="AB36" s="177"/>
      <c r="AC36" s="177"/>
    </row>
    <row r="37" spans="1:29" s="1035" customFormat="1" ht="18" hidden="1" customHeight="1" thickBot="1" x14ac:dyDescent="0.3">
      <c r="A37" s="1052"/>
      <c r="B37" s="244"/>
      <c r="C37" s="145"/>
      <c r="D37" s="1168" t="s">
        <v>1493</v>
      </c>
      <c r="E37" s="1169">
        <f t="shared" ref="E37" si="3">IF(G37="",0,(G37-$G$31)/$G$31)</f>
        <v>0</v>
      </c>
      <c r="F37" s="1055" t="s">
        <v>1494</v>
      </c>
      <c r="G37" s="1232"/>
      <c r="H37" s="642"/>
      <c r="I37" s="1158" t="str">
        <f t="shared" si="2"/>
        <v/>
      </c>
      <c r="J37" s="145"/>
      <c r="K37" s="1233"/>
      <c r="L37" s="145"/>
      <c r="M37" s="857"/>
      <c r="N37" s="857"/>
      <c r="O37" s="857"/>
      <c r="P37" s="190"/>
      <c r="Q37" s="179"/>
      <c r="R37" s="177"/>
      <c r="S37" s="688"/>
      <c r="T37" s="177"/>
      <c r="U37" s="177"/>
      <c r="V37" s="177"/>
      <c r="W37" s="177"/>
      <c r="X37" s="177"/>
      <c r="Y37" s="177"/>
      <c r="Z37" s="177"/>
      <c r="AA37" s="177"/>
      <c r="AB37" s="177"/>
      <c r="AC37" s="177"/>
    </row>
    <row r="38" spans="1:29" s="1035" customFormat="1" ht="20.25" hidden="1" customHeight="1" x14ac:dyDescent="0.25">
      <c r="A38" s="1052"/>
      <c r="B38" s="246"/>
      <c r="C38" s="202"/>
      <c r="D38" s="1173"/>
      <c r="E38" s="198"/>
      <c r="F38" s="199"/>
      <c r="G38" s="200"/>
      <c r="H38" s="201"/>
      <c r="I38" s="718">
        <f>COUNTIF($I$20:$I$23,"&gt;.03")</f>
        <v>0</v>
      </c>
      <c r="J38" s="202"/>
      <c r="K38" s="203"/>
      <c r="L38" s="202"/>
      <c r="M38" s="204"/>
      <c r="N38" s="204"/>
      <c r="O38" s="204"/>
      <c r="P38" s="205"/>
      <c r="Q38" s="179"/>
      <c r="R38" s="177"/>
      <c r="S38" s="688"/>
      <c r="T38" s="177"/>
      <c r="U38" s="177"/>
      <c r="V38" s="177"/>
      <c r="W38" s="177"/>
      <c r="X38" s="177"/>
      <c r="Y38" s="177"/>
      <c r="Z38" s="177"/>
      <c r="AA38" s="177"/>
      <c r="AB38" s="177"/>
      <c r="AC38" s="177"/>
    </row>
    <row r="39" spans="1:29" s="1035" customFormat="1" ht="10.15" hidden="1" customHeight="1" x14ac:dyDescent="0.25">
      <c r="C39" s="180"/>
      <c r="D39" s="1174"/>
      <c r="E39" s="206"/>
      <c r="F39" s="207"/>
      <c r="G39" s="208"/>
      <c r="H39" s="209"/>
      <c r="I39" s="210"/>
      <c r="J39" s="180"/>
      <c r="K39" s="211"/>
      <c r="L39" s="180"/>
      <c r="M39" s="212"/>
      <c r="N39" s="212"/>
      <c r="O39" s="212"/>
      <c r="P39" s="177"/>
      <c r="Q39" s="179"/>
      <c r="R39" s="177"/>
      <c r="S39" s="688"/>
      <c r="T39" s="177"/>
      <c r="U39" s="177"/>
      <c r="V39" s="177"/>
      <c r="W39" s="177"/>
      <c r="X39" s="177"/>
      <c r="Y39" s="177"/>
      <c r="Z39" s="177"/>
      <c r="AA39" s="177"/>
      <c r="AB39" s="177"/>
      <c r="AC39" s="177"/>
    </row>
    <row r="40" spans="1:29" s="1035" customFormat="1" ht="21.75" hidden="1" customHeight="1" thickBot="1" x14ac:dyDescent="0.3">
      <c r="A40" s="1052"/>
      <c r="B40" s="249"/>
      <c r="C40" s="184"/>
      <c r="D40" s="1512" t="s">
        <v>898</v>
      </c>
      <c r="E40" s="1512"/>
      <c r="F40" s="185"/>
      <c r="G40" s="1513"/>
      <c r="H40" s="1514"/>
      <c r="I40" s="186"/>
      <c r="J40" s="1541"/>
      <c r="K40" s="1541"/>
      <c r="L40" s="184"/>
      <c r="M40" s="184"/>
      <c r="N40" s="184"/>
      <c r="O40" s="184"/>
      <c r="P40" s="187"/>
      <c r="Q40" s="179"/>
      <c r="R40" s="177"/>
      <c r="S40" s="177"/>
      <c r="T40" s="177"/>
      <c r="U40" s="177"/>
      <c r="V40" s="177"/>
      <c r="W40" s="177"/>
      <c r="X40" s="177"/>
      <c r="Y40" s="177"/>
      <c r="Z40" s="177"/>
      <c r="AA40" s="177"/>
      <c r="AB40" s="177"/>
      <c r="AC40" s="177"/>
    </row>
    <row r="41" spans="1:29" s="1035" customFormat="1" ht="18" hidden="1" customHeight="1" thickBot="1" x14ac:dyDescent="0.3">
      <c r="A41" s="1052"/>
      <c r="B41" s="244"/>
      <c r="C41" s="145"/>
      <c r="D41" s="1170" t="s">
        <v>528</v>
      </c>
      <c r="E41" s="1058" t="s">
        <v>653</v>
      </c>
      <c r="F41" s="341"/>
      <c r="G41" s="229" t="s">
        <v>1479</v>
      </c>
      <c r="H41" s="642"/>
      <c r="I41" s="229" t="s">
        <v>1480</v>
      </c>
      <c r="J41" s="41"/>
      <c r="K41" s="229" t="s">
        <v>871</v>
      </c>
      <c r="L41" s="145"/>
      <c r="M41" s="194" t="s">
        <v>1481</v>
      </c>
      <c r="N41" s="145"/>
      <c r="O41" s="145"/>
      <c r="P41" s="190"/>
      <c r="Q41" s="179"/>
      <c r="R41" s="177"/>
      <c r="S41" s="177"/>
      <c r="T41" s="177"/>
      <c r="U41" s="177"/>
      <c r="V41" s="177"/>
      <c r="W41" s="177"/>
      <c r="X41" s="177"/>
      <c r="Y41" s="177"/>
      <c r="Z41" s="177"/>
      <c r="AA41" s="177"/>
      <c r="AB41" s="177"/>
      <c r="AC41" s="177"/>
    </row>
    <row r="42" spans="1:29" s="1035" customFormat="1" ht="18" hidden="1" customHeight="1" thickBot="1" x14ac:dyDescent="0.3">
      <c r="A42" s="1052"/>
      <c r="B42" s="244"/>
      <c r="C42" s="145"/>
      <c r="D42" s="1053" t="s">
        <v>1482</v>
      </c>
      <c r="E42" s="1139" t="s">
        <v>1483</v>
      </c>
      <c r="F42" s="189"/>
      <c r="G42" s="1231"/>
      <c r="H42" s="731"/>
      <c r="I42" s="1231"/>
      <c r="J42" s="145"/>
      <c r="K42" s="1231"/>
      <c r="L42" s="145"/>
      <c r="M42" s="1226"/>
      <c r="N42" s="145"/>
      <c r="O42" s="145"/>
      <c r="P42" s="190"/>
      <c r="Q42" s="179"/>
      <c r="R42" s="177"/>
      <c r="S42" s="688"/>
      <c r="T42" s="177"/>
      <c r="U42" s="177"/>
      <c r="V42" s="177"/>
      <c r="W42" s="177"/>
      <c r="X42" s="177"/>
      <c r="Y42" s="177"/>
      <c r="Z42" s="177"/>
      <c r="AA42" s="177"/>
      <c r="AB42" s="177"/>
      <c r="AC42" s="177"/>
    </row>
    <row r="43" spans="1:29" s="1035" customFormat="1" ht="15.75" hidden="1" thickBot="1" x14ac:dyDescent="0.3">
      <c r="A43" s="1052"/>
      <c r="B43" s="244"/>
      <c r="C43" s="145"/>
      <c r="D43" s="1171"/>
      <c r="E43" s="191"/>
      <c r="F43" s="191"/>
      <c r="G43" s="643"/>
      <c r="H43" s="642"/>
      <c r="I43" s="145"/>
      <c r="J43" s="145"/>
      <c r="K43" s="145"/>
      <c r="L43" s="145"/>
      <c r="M43" s="145"/>
      <c r="N43" s="145"/>
      <c r="O43" s="145"/>
      <c r="P43" s="190"/>
      <c r="Q43" s="179"/>
      <c r="R43" s="177"/>
      <c r="S43" s="688" t="str">
        <f>IF($E43="NO","",IF($I42="Select Payment Method","X",""))</f>
        <v/>
      </c>
      <c r="T43" s="177"/>
      <c r="U43" s="177"/>
      <c r="V43" s="177"/>
      <c r="W43" s="177"/>
      <c r="X43" s="177"/>
      <c r="Y43" s="177"/>
      <c r="Z43" s="177"/>
      <c r="AA43" s="177"/>
      <c r="AB43" s="177"/>
      <c r="AC43" s="177"/>
    </row>
    <row r="44" spans="1:29" s="1035" customFormat="1" ht="18" hidden="1" customHeight="1" thickBot="1" x14ac:dyDescent="0.3">
      <c r="A44" s="1052"/>
      <c r="B44" s="244"/>
      <c r="C44" s="145"/>
      <c r="D44" s="1054" t="s">
        <v>1484</v>
      </c>
      <c r="E44" s="1246" t="str">
        <f>IF(E41="Yes",IF(Welcome!$D$6="New",IF('Required Info to Submit'!F$14="","",'Required Info to Submit'!F$14),""),"")</f>
        <v/>
      </c>
      <c r="F44" s="191"/>
      <c r="G44" s="193" t="s">
        <v>520</v>
      </c>
      <c r="H44" s="642"/>
      <c r="I44" s="145"/>
      <c r="J44" s="145"/>
      <c r="K44" s="145"/>
      <c r="L44" s="145"/>
      <c r="M44" s="145"/>
      <c r="N44" s="145"/>
      <c r="O44" s="145"/>
      <c r="P44" s="190"/>
      <c r="Q44" s="179"/>
      <c r="R44" s="177"/>
      <c r="S44" s="688"/>
      <c r="T44" s="177"/>
      <c r="U44" s="177"/>
      <c r="V44" s="177"/>
      <c r="W44" s="177"/>
      <c r="X44" s="177"/>
      <c r="Y44" s="177"/>
      <c r="Z44" s="177"/>
      <c r="AA44" s="177"/>
      <c r="AB44" s="177"/>
      <c r="AC44" s="177"/>
    </row>
    <row r="45" spans="1:29" s="1035" customFormat="1" ht="18" hidden="1" customHeight="1" thickBot="1" x14ac:dyDescent="0.3">
      <c r="A45" s="1052"/>
      <c r="B45" s="244"/>
      <c r="C45" s="145"/>
      <c r="D45" s="1054" t="s">
        <v>1485</v>
      </c>
      <c r="E45" s="1246" t="str">
        <f>IF(E41="Yes",IF(Welcome!$D$6="New",IF('Required Info to Submit'!F$17="","",'Required Info to Submit'!F$17),""),"")</f>
        <v/>
      </c>
      <c r="F45" s="191"/>
      <c r="G45" s="1157">
        <f>$H$9/52</f>
        <v>0</v>
      </c>
      <c r="H45" s="642"/>
      <c r="I45" s="145"/>
      <c r="J45" s="145"/>
      <c r="K45" s="145"/>
      <c r="L45" s="145"/>
      <c r="M45" s="188"/>
      <c r="N45" s="857"/>
      <c r="O45" s="188"/>
      <c r="P45" s="190"/>
      <c r="Q45" s="179"/>
      <c r="R45" s="177"/>
      <c r="S45" s="688"/>
      <c r="T45" s="177"/>
      <c r="U45" s="177"/>
      <c r="V45" s="177"/>
      <c r="W45" s="177"/>
      <c r="X45" s="177"/>
      <c r="Y45" s="177"/>
      <c r="Z45" s="177"/>
      <c r="AA45" s="177"/>
      <c r="AB45" s="177"/>
      <c r="AC45" s="177"/>
    </row>
    <row r="46" spans="1:29" s="1035" customFormat="1" ht="18" hidden="1" customHeight="1" thickBot="1" x14ac:dyDescent="0.3">
      <c r="A46" s="1052"/>
      <c r="B46" s="244"/>
      <c r="C46" s="145"/>
      <c r="D46" s="1171"/>
      <c r="E46" s="191"/>
      <c r="F46" s="191"/>
      <c r="G46" s="194" t="s">
        <v>1486</v>
      </c>
      <c r="H46" s="642"/>
      <c r="I46" s="194" t="s">
        <v>1487</v>
      </c>
      <c r="J46" s="145"/>
      <c r="K46" s="194" t="s">
        <v>1488</v>
      </c>
      <c r="L46" s="145"/>
      <c r="M46" s="857"/>
      <c r="N46" s="857"/>
      <c r="O46" s="6" t="s">
        <v>493</v>
      </c>
      <c r="P46" s="190"/>
      <c r="Q46" s="179"/>
      <c r="R46" s="177"/>
      <c r="S46" s="688"/>
      <c r="T46" s="177"/>
      <c r="U46" s="177"/>
      <c r="V46" s="177"/>
      <c r="W46" s="177"/>
      <c r="X46" s="177"/>
      <c r="Y46" s="177"/>
      <c r="Z46" s="177"/>
      <c r="AA46" s="177"/>
      <c r="AB46" s="177"/>
      <c r="AC46" s="177"/>
    </row>
    <row r="47" spans="1:29" s="1035" customFormat="1" ht="18" hidden="1" customHeight="1" thickBot="1" x14ac:dyDescent="0.3">
      <c r="A47" s="1052"/>
      <c r="B47" s="244"/>
      <c r="C47" s="145"/>
      <c r="D47" s="1168" t="s">
        <v>525</v>
      </c>
      <c r="E47" s="1169">
        <f>IFERROR(IF(G47="",0,(G47-$G$45)/$G$45),"")</f>
        <v>0</v>
      </c>
      <c r="F47" s="1055" t="s">
        <v>1048</v>
      </c>
      <c r="G47" s="1232"/>
      <c r="H47" s="642"/>
      <c r="I47" s="1158" t="str">
        <f>IF(E$41="Yes",IF(G48="",999999999.99,G48-0.01),"")</f>
        <v/>
      </c>
      <c r="J47" s="145"/>
      <c r="K47" s="1233"/>
      <c r="L47" s="145"/>
      <c r="M47" s="857"/>
      <c r="N47" s="857"/>
      <c r="O47" s="1160">
        <f>IF(E41="Yes",IF(G48=0,K47*H$10,IF(OR(G48&lt;G45,G48=G45),K48*H$10,K47*H$10)),0)</f>
        <v>0</v>
      </c>
      <c r="P47" s="190"/>
      <c r="Q47" s="179"/>
      <c r="R47" s="177"/>
      <c r="S47" s="688"/>
      <c r="T47" s="177"/>
      <c r="U47" s="177"/>
      <c r="V47" s="177"/>
      <c r="W47" s="177"/>
      <c r="X47" s="177"/>
      <c r="Y47" s="177"/>
      <c r="Z47" s="177"/>
      <c r="AA47" s="177"/>
      <c r="AB47" s="177"/>
      <c r="AC47" s="177"/>
    </row>
    <row r="48" spans="1:29" s="1035" customFormat="1" ht="18" hidden="1" customHeight="1" thickBot="1" x14ac:dyDescent="0.3">
      <c r="A48" s="1052"/>
      <c r="B48" s="244"/>
      <c r="C48" s="145"/>
      <c r="D48" s="1168" t="s">
        <v>526</v>
      </c>
      <c r="E48" s="1169">
        <f>IFERROR(IF(G48="",0,(G48-$G$45)/$G$45),"")</f>
        <v>0</v>
      </c>
      <c r="F48" s="1055" t="s">
        <v>1489</v>
      </c>
      <c r="G48" s="1232"/>
      <c r="H48" s="642"/>
      <c r="I48" s="1158" t="str">
        <f>IF(E$41="Yes",IF(I47="","",IF(I47&lt;&gt;999999999.99,IF(G49="",999999999.99,G49-0.01),"")),"")</f>
        <v/>
      </c>
      <c r="J48" s="1056" t="str">
        <f>IF($E$15="YES","**Tier 1 used for modeling purposes**","")</f>
        <v/>
      </c>
      <c r="K48" s="1233"/>
      <c r="L48" s="1057"/>
      <c r="M48" s="857"/>
      <c r="N48" s="857"/>
      <c r="O48" s="857"/>
      <c r="P48" s="190"/>
      <c r="Q48" s="179"/>
      <c r="R48" s="177"/>
      <c r="S48" s="688"/>
      <c r="T48" s="177"/>
      <c r="U48" s="177"/>
      <c r="V48" s="177"/>
      <c r="W48" s="177"/>
      <c r="X48" s="177"/>
      <c r="Y48" s="177"/>
      <c r="Z48" s="177"/>
      <c r="AA48" s="177"/>
      <c r="AB48" s="177"/>
      <c r="AC48" s="177"/>
    </row>
    <row r="49" spans="1:29" s="1035" customFormat="1" ht="18" hidden="1" customHeight="1" thickBot="1" x14ac:dyDescent="0.3">
      <c r="A49" s="1052"/>
      <c r="B49" s="244"/>
      <c r="C49" s="145"/>
      <c r="D49" s="1168" t="s">
        <v>527</v>
      </c>
      <c r="E49" s="1169">
        <f>IFERROR(IF(G49="",0,(G49-$G$45)/$G$45),"")</f>
        <v>0</v>
      </c>
      <c r="F49" s="1055" t="s">
        <v>1490</v>
      </c>
      <c r="G49" s="1232"/>
      <c r="H49" s="642"/>
      <c r="I49" s="1158" t="str">
        <f t="shared" ref="I49:I51" si="4">IF(E$41="Yes",IF(I48="","",IF(I48&lt;&gt;999999999.99,IF(G50="",999999999.99,G50-0.01),"")),"")</f>
        <v/>
      </c>
      <c r="J49" s="145"/>
      <c r="K49" s="1233"/>
      <c r="L49" s="145"/>
      <c r="M49" s="857"/>
      <c r="N49" s="857"/>
      <c r="O49" s="857"/>
      <c r="P49" s="190"/>
      <c r="Q49" s="179"/>
      <c r="R49" s="177"/>
      <c r="S49" s="688"/>
      <c r="T49" s="177"/>
      <c r="U49" s="177"/>
      <c r="V49" s="177"/>
      <c r="W49" s="177"/>
      <c r="X49" s="177"/>
      <c r="Y49" s="177"/>
      <c r="Z49" s="177"/>
      <c r="AA49" s="177"/>
      <c r="AB49" s="177"/>
      <c r="AC49" s="177"/>
    </row>
    <row r="50" spans="1:29" s="1035" customFormat="1" ht="18" hidden="1" customHeight="1" thickBot="1" x14ac:dyDescent="0.3">
      <c r="A50" s="1052"/>
      <c r="B50" s="244"/>
      <c r="C50" s="145"/>
      <c r="D50" s="1168" t="s">
        <v>1491</v>
      </c>
      <c r="E50" s="1169">
        <f>IFERROR(IF(G50="",0,(G50-$G$45)/$G$45),"")</f>
        <v>0</v>
      </c>
      <c r="F50" s="1055" t="s">
        <v>1492</v>
      </c>
      <c r="G50" s="1232"/>
      <c r="H50" s="642"/>
      <c r="I50" s="1158" t="str">
        <f t="shared" si="4"/>
        <v/>
      </c>
      <c r="J50" s="145"/>
      <c r="K50" s="1233"/>
      <c r="L50" s="145"/>
      <c r="M50" s="857"/>
      <c r="N50" s="857"/>
      <c r="O50" s="857"/>
      <c r="P50" s="190"/>
      <c r="Q50" s="179"/>
      <c r="R50" s="177"/>
      <c r="S50" s="688"/>
      <c r="T50" s="177"/>
      <c r="U50" s="177"/>
      <c r="V50" s="177"/>
      <c r="W50" s="177"/>
      <c r="X50" s="177"/>
      <c r="Y50" s="177"/>
      <c r="Z50" s="177"/>
      <c r="AA50" s="177"/>
      <c r="AB50" s="177"/>
      <c r="AC50" s="177"/>
    </row>
    <row r="51" spans="1:29" s="1035" customFormat="1" ht="18" hidden="1" customHeight="1" thickBot="1" x14ac:dyDescent="0.3">
      <c r="A51" s="1052"/>
      <c r="B51" s="244"/>
      <c r="C51" s="145"/>
      <c r="D51" s="1168" t="s">
        <v>1493</v>
      </c>
      <c r="E51" s="1169">
        <f>IFERROR(IF(G51="",0,(G51-$G$45)/$G$45),"")</f>
        <v>0</v>
      </c>
      <c r="F51" s="1055" t="s">
        <v>1494</v>
      </c>
      <c r="G51" s="1232"/>
      <c r="H51" s="642"/>
      <c r="I51" s="1158" t="str">
        <f t="shared" si="4"/>
        <v/>
      </c>
      <c r="J51" s="145"/>
      <c r="K51" s="1233"/>
      <c r="L51" s="145"/>
      <c r="M51" s="857"/>
      <c r="N51" s="857"/>
      <c r="O51" s="857"/>
      <c r="P51" s="190"/>
      <c r="Q51" s="179"/>
      <c r="R51" s="177"/>
      <c r="S51" s="688"/>
      <c r="T51" s="177"/>
      <c r="U51" s="177"/>
      <c r="V51" s="177"/>
      <c r="W51" s="177"/>
      <c r="X51" s="177"/>
      <c r="Y51" s="177"/>
      <c r="Z51" s="177"/>
      <c r="AA51" s="177"/>
      <c r="AB51" s="177"/>
      <c r="AC51" s="177"/>
    </row>
    <row r="52" spans="1:29" s="1035" customFormat="1" ht="20.25" hidden="1" customHeight="1" x14ac:dyDescent="0.25">
      <c r="A52" s="1052"/>
      <c r="B52" s="246"/>
      <c r="C52" s="202"/>
      <c r="D52" s="1173"/>
      <c r="E52" s="198"/>
      <c r="F52" s="199"/>
      <c r="G52" s="200"/>
      <c r="H52" s="201"/>
      <c r="I52" s="718">
        <f>COUNTIF($I$20:$I$23,"&gt;.03")</f>
        <v>0</v>
      </c>
      <c r="J52" s="202"/>
      <c r="K52" s="203"/>
      <c r="L52" s="202"/>
      <c r="M52" s="204"/>
      <c r="N52" s="204"/>
      <c r="O52" s="204"/>
      <c r="P52" s="205"/>
      <c r="Q52" s="179"/>
      <c r="R52" s="177"/>
      <c r="S52" s="688"/>
      <c r="T52" s="177"/>
      <c r="U52" s="177"/>
      <c r="V52" s="177"/>
      <c r="W52" s="177"/>
      <c r="X52" s="177"/>
      <c r="Y52" s="177"/>
      <c r="Z52" s="177"/>
      <c r="AA52" s="177"/>
      <c r="AB52" s="177"/>
      <c r="AC52" s="177"/>
    </row>
    <row r="53" spans="1:29" s="1035" customFormat="1" ht="10.15" hidden="1" customHeight="1" x14ac:dyDescent="0.25">
      <c r="C53" s="180"/>
      <c r="D53" s="1174"/>
      <c r="E53" s="206"/>
      <c r="F53" s="207"/>
      <c r="G53" s="208"/>
      <c r="H53" s="209"/>
      <c r="I53" s="210"/>
      <c r="J53" s="180"/>
      <c r="K53" s="211"/>
      <c r="L53" s="180"/>
      <c r="M53" s="212"/>
      <c r="N53" s="212"/>
      <c r="O53" s="212"/>
      <c r="P53" s="177"/>
      <c r="Q53" s="179"/>
      <c r="R53" s="177"/>
      <c r="S53" s="688"/>
      <c r="T53" s="177"/>
      <c r="U53" s="177"/>
      <c r="V53" s="177"/>
      <c r="W53" s="177"/>
      <c r="X53" s="177"/>
      <c r="Y53" s="177"/>
      <c r="Z53" s="177"/>
      <c r="AA53" s="177"/>
      <c r="AB53" s="177"/>
      <c r="AC53" s="177"/>
    </row>
    <row r="54" spans="1:29" s="1035" customFormat="1" ht="21.75" customHeight="1" thickBot="1" x14ac:dyDescent="0.3">
      <c r="A54" s="1052"/>
      <c r="B54" s="249"/>
      <c r="C54" s="184"/>
      <c r="D54" s="1508" t="s">
        <v>524</v>
      </c>
      <c r="E54" s="1508"/>
      <c r="F54" s="213"/>
      <c r="G54" s="214"/>
      <c r="H54" s="1036"/>
      <c r="I54" s="215"/>
      <c r="J54" s="184"/>
      <c r="K54" s="216"/>
      <c r="L54" s="184"/>
      <c r="M54" s="217"/>
      <c r="N54" s="217"/>
      <c r="O54" s="217"/>
      <c r="P54" s="187"/>
      <c r="Q54" s="179"/>
      <c r="R54" s="177"/>
      <c r="S54" s="688"/>
      <c r="T54" s="177"/>
      <c r="U54" s="177"/>
      <c r="V54" s="177"/>
      <c r="W54" s="177"/>
      <c r="X54" s="177"/>
      <c r="Y54" s="177"/>
      <c r="Z54" s="177"/>
      <c r="AA54" s="177"/>
      <c r="AB54" s="177"/>
      <c r="AC54" s="177"/>
    </row>
    <row r="55" spans="1:29" s="1035" customFormat="1" ht="18" customHeight="1" thickBot="1" x14ac:dyDescent="0.3">
      <c r="A55" s="1052"/>
      <c r="B55" s="244"/>
      <c r="C55" s="145"/>
      <c r="D55" s="1170" t="s">
        <v>528</v>
      </c>
      <c r="E55" s="1083" t="s">
        <v>653</v>
      </c>
      <c r="F55" s="196"/>
      <c r="G55" s="229" t="s">
        <v>1479</v>
      </c>
      <c r="H55" s="642"/>
      <c r="I55" s="229" t="s">
        <v>1480</v>
      </c>
      <c r="J55" s="41"/>
      <c r="K55" s="229" t="s">
        <v>871</v>
      </c>
      <c r="L55" s="145"/>
      <c r="M55" s="194" t="s">
        <v>1481</v>
      </c>
      <c r="N55" s="218"/>
      <c r="O55" s="218"/>
      <c r="P55" s="190"/>
      <c r="Q55" s="179"/>
      <c r="R55" s="177"/>
      <c r="S55" s="688"/>
      <c r="T55" s="177"/>
      <c r="U55" s="177"/>
      <c r="V55" s="177"/>
      <c r="W55" s="177"/>
      <c r="X55" s="177"/>
      <c r="Y55" s="177"/>
      <c r="Z55" s="177"/>
      <c r="AA55" s="177"/>
      <c r="AB55" s="177"/>
      <c r="AC55" s="177"/>
    </row>
    <row r="56" spans="1:29" s="1035" customFormat="1" ht="33" customHeight="1" thickBot="1" x14ac:dyDescent="0.3">
      <c r="A56" s="1052"/>
      <c r="B56" s="244"/>
      <c r="C56" s="145"/>
      <c r="D56" s="1053" t="s">
        <v>1482</v>
      </c>
      <c r="E56" s="1139" t="s">
        <v>1483</v>
      </c>
      <c r="F56" s="219"/>
      <c r="G56" s="1231"/>
      <c r="H56" s="642"/>
      <c r="I56" s="1231"/>
      <c r="J56" s="145"/>
      <c r="K56" s="1231"/>
      <c r="L56" s="145"/>
      <c r="M56" s="1226"/>
      <c r="N56" s="218"/>
      <c r="O56" s="218"/>
      <c r="P56" s="190"/>
      <c r="Q56" s="179"/>
      <c r="R56" s="1219"/>
      <c r="S56" s="688"/>
      <c r="T56" s="177"/>
      <c r="U56" s="177"/>
      <c r="V56" s="177"/>
      <c r="W56" s="177"/>
      <c r="X56" s="177"/>
      <c r="Y56" s="177"/>
      <c r="Z56" s="177"/>
      <c r="AA56" s="177"/>
      <c r="AB56" s="177"/>
      <c r="AC56" s="177"/>
    </row>
    <row r="57" spans="1:29" s="1035" customFormat="1" ht="18" customHeight="1" thickBot="1" x14ac:dyDescent="0.3">
      <c r="A57" s="1052"/>
      <c r="B57" s="244"/>
      <c r="C57" s="145"/>
      <c r="D57" s="7"/>
      <c r="E57" s="145"/>
      <c r="F57" s="219"/>
      <c r="G57" s="642"/>
      <c r="H57" s="642"/>
      <c r="I57" s="220"/>
      <c r="J57" s="145"/>
      <c r="K57" s="145"/>
      <c r="L57" s="145"/>
      <c r="M57" s="145"/>
      <c r="N57" s="145"/>
      <c r="O57" s="145"/>
      <c r="P57" s="190"/>
      <c r="Q57" s="179"/>
      <c r="R57" s="177"/>
      <c r="S57" s="688" t="str">
        <f>IF($E57="NO","",IF($I56="Select Payment Method","X",""))</f>
        <v/>
      </c>
      <c r="T57" s="177"/>
      <c r="U57" s="177"/>
      <c r="V57" s="177"/>
      <c r="W57" s="177"/>
      <c r="X57" s="177"/>
      <c r="Y57" s="177"/>
      <c r="Z57" s="177"/>
      <c r="AA57" s="177"/>
      <c r="AB57" s="177"/>
      <c r="AC57" s="177"/>
    </row>
    <row r="58" spans="1:29" s="1035" customFormat="1" ht="18" customHeight="1" thickBot="1" x14ac:dyDescent="0.3">
      <c r="A58" s="1052"/>
      <c r="B58" s="244"/>
      <c r="C58" s="145"/>
      <c r="D58" s="1060" t="s">
        <v>1484</v>
      </c>
      <c r="E58" s="1246" t="str">
        <f>IF(E55="Yes",IF(Welcome!$D$6="New",IF('Required Info to Submit'!F$14="","",'Required Info to Submit'!F$14),""),"")</f>
        <v/>
      </c>
      <c r="F58" s="192"/>
      <c r="G58" s="193" t="s">
        <v>723</v>
      </c>
      <c r="H58" s="642"/>
      <c r="I58" s="195"/>
      <c r="J58" s="145"/>
      <c r="K58" s="195"/>
      <c r="L58" s="145"/>
      <c r="M58" s="188"/>
      <c r="N58" s="188"/>
      <c r="O58" s="188"/>
      <c r="P58" s="190"/>
      <c r="Q58" s="179"/>
      <c r="R58" s="177"/>
      <c r="S58" s="688"/>
      <c r="T58" s="177"/>
      <c r="U58" s="177"/>
      <c r="V58" s="177"/>
      <c r="W58" s="177"/>
      <c r="X58" s="177"/>
      <c r="Y58" s="177"/>
      <c r="Z58" s="177"/>
      <c r="AA58" s="177"/>
      <c r="AB58" s="177"/>
      <c r="AC58" s="177"/>
    </row>
    <row r="59" spans="1:29" s="1035" customFormat="1" ht="18" customHeight="1" thickBot="1" x14ac:dyDescent="0.3">
      <c r="A59" s="1052"/>
      <c r="B59" s="244"/>
      <c r="C59" s="145"/>
      <c r="D59" s="1060" t="s">
        <v>1485</v>
      </c>
      <c r="E59" s="1246" t="str">
        <f>IF(E55="Yes",IF(Welcome!$D$6="New",IF('Required Info to Submit'!F$17="","",'Required Info to Submit'!F$17),""),"")</f>
        <v/>
      </c>
      <c r="F59" s="196"/>
      <c r="G59" s="1161">
        <f>IFERROR($H$5/($H$6*52*Welcome!$D$14),0)</f>
        <v>0</v>
      </c>
      <c r="H59" s="642"/>
      <c r="I59" s="195"/>
      <c r="J59" s="145"/>
      <c r="K59" s="197"/>
      <c r="L59" s="197"/>
      <c r="M59" s="195"/>
      <c r="N59" s="195"/>
      <c r="O59" s="188"/>
      <c r="P59" s="190"/>
      <c r="Q59" s="179"/>
      <c r="R59" s="177"/>
      <c r="S59" s="688"/>
      <c r="T59" s="177"/>
      <c r="U59" s="177"/>
      <c r="V59" s="177"/>
      <c r="W59" s="177"/>
      <c r="X59" s="177"/>
      <c r="Y59" s="177"/>
      <c r="Z59" s="177"/>
      <c r="AA59" s="177"/>
      <c r="AB59" s="177"/>
      <c r="AC59" s="177"/>
    </row>
    <row r="60" spans="1:29" s="1035" customFormat="1" ht="18" customHeight="1" thickBot="1" x14ac:dyDescent="0.3">
      <c r="A60" s="1052"/>
      <c r="B60" s="244"/>
      <c r="C60" s="145"/>
      <c r="D60" s="1175"/>
      <c r="E60" s="197"/>
      <c r="F60" s="196"/>
      <c r="G60" s="194" t="s">
        <v>1486</v>
      </c>
      <c r="H60" s="642"/>
      <c r="I60" s="194" t="s">
        <v>1487</v>
      </c>
      <c r="J60" s="197"/>
      <c r="K60" s="194" t="s">
        <v>1488</v>
      </c>
      <c r="L60" s="197"/>
      <c r="M60" s="195"/>
      <c r="N60" s="195"/>
      <c r="O60" s="6" t="s">
        <v>493</v>
      </c>
      <c r="P60" s="190"/>
      <c r="Q60" s="179"/>
      <c r="R60" s="177"/>
      <c r="S60" s="688"/>
      <c r="T60" s="177"/>
      <c r="U60" s="177"/>
      <c r="V60" s="177"/>
      <c r="W60" s="177"/>
      <c r="X60" s="177"/>
      <c r="Y60" s="177"/>
      <c r="Z60" s="177"/>
      <c r="AA60" s="177"/>
      <c r="AB60" s="177"/>
      <c r="AC60" s="177"/>
    </row>
    <row r="61" spans="1:29" s="1035" customFormat="1" ht="18" customHeight="1" thickBot="1" x14ac:dyDescent="0.3">
      <c r="A61" s="1052"/>
      <c r="B61" s="244"/>
      <c r="C61" s="145"/>
      <c r="D61" s="1168" t="s">
        <v>525</v>
      </c>
      <c r="E61" s="1169">
        <f>IFERROR(IF(G61="",0,(G61-$G$59)/$G$59),"")</f>
        <v>0</v>
      </c>
      <c r="F61" s="1055" t="s">
        <v>1048</v>
      </c>
      <c r="G61" s="1232"/>
      <c r="H61" s="642"/>
      <c r="I61" s="1158" t="str">
        <f>IF(E$55="Yes",IF(G62="",999999999.99,G62-0.01),"")</f>
        <v/>
      </c>
      <c r="J61" s="1056" t="str">
        <f>IF($E$57="YES","**Tier 1 used for modeling purposes**","")</f>
        <v/>
      </c>
      <c r="K61" s="1233"/>
      <c r="L61" s="1057"/>
      <c r="M61" s="195"/>
      <c r="N61" s="197"/>
      <c r="O61" s="1160">
        <f>IF(E55="Yes",IF(G62=0,K61*H$10,IF(OR(G62&lt;G59,G62=G59),K62*H$10,K61*H$10)),0)</f>
        <v>0</v>
      </c>
      <c r="P61" s="190"/>
      <c r="Q61" s="179"/>
      <c r="R61" s="177"/>
      <c r="S61" s="688"/>
      <c r="T61" s="177"/>
      <c r="U61" s="177"/>
      <c r="V61" s="177"/>
      <c r="W61" s="177"/>
      <c r="X61" s="177"/>
      <c r="Y61" s="177"/>
      <c r="Z61" s="177"/>
      <c r="AA61" s="177"/>
      <c r="AB61" s="177"/>
      <c r="AC61" s="177"/>
    </row>
    <row r="62" spans="1:29" s="1035" customFormat="1" ht="18" customHeight="1" thickBot="1" x14ac:dyDescent="0.3">
      <c r="A62" s="1052"/>
      <c r="B62" s="244"/>
      <c r="C62" s="145"/>
      <c r="D62" s="1168" t="s">
        <v>526</v>
      </c>
      <c r="E62" s="1169">
        <f t="shared" ref="E62:E65" si="5">IFERROR(IF(G62="",0,(G62-$G$59)/$G$59),"")</f>
        <v>0</v>
      </c>
      <c r="F62" s="1055" t="s">
        <v>1489</v>
      </c>
      <c r="G62" s="1232"/>
      <c r="H62" s="642"/>
      <c r="I62" s="1158" t="str">
        <f>IF(E$55="Yes",IF(I61="","",IF(I61&lt;&gt;999999999.99,IF(G63="",999999999.99,G63-0.01),"")),"")</f>
        <v/>
      </c>
      <c r="J62" s="145"/>
      <c r="K62" s="1233"/>
      <c r="L62" s="145"/>
      <c r="M62" s="197"/>
      <c r="N62" s="857"/>
      <c r="O62" s="857"/>
      <c r="P62" s="190"/>
      <c r="Q62" s="179"/>
      <c r="R62" s="177"/>
      <c r="S62" s="688"/>
      <c r="T62" s="177"/>
      <c r="U62" s="177"/>
      <c r="V62" s="177"/>
      <c r="W62" s="177"/>
      <c r="X62" s="177"/>
      <c r="Y62" s="177"/>
      <c r="Z62" s="177"/>
      <c r="AA62" s="177"/>
      <c r="AB62" s="177"/>
      <c r="AC62" s="177"/>
    </row>
    <row r="63" spans="1:29" s="1035" customFormat="1" ht="18" customHeight="1" thickBot="1" x14ac:dyDescent="0.3">
      <c r="A63" s="1052"/>
      <c r="B63" s="244"/>
      <c r="C63" s="145"/>
      <c r="D63" s="1168" t="s">
        <v>527</v>
      </c>
      <c r="E63" s="1169">
        <f t="shared" si="5"/>
        <v>0</v>
      </c>
      <c r="F63" s="1055" t="s">
        <v>1490</v>
      </c>
      <c r="G63" s="1232"/>
      <c r="H63" s="642"/>
      <c r="I63" s="1158" t="str">
        <f t="shared" ref="I63:I65" si="6">IF(E$55="Yes",IF(I62="","",IF(I62&lt;&gt;999999999.99,IF(G64="",999999999.99,G64-0.01),"")),"")</f>
        <v/>
      </c>
      <c r="J63" s="145"/>
      <c r="K63" s="1233"/>
      <c r="L63" s="145"/>
      <c r="M63" s="1080"/>
      <c r="N63" s="857"/>
      <c r="O63" s="857"/>
      <c r="P63" s="190"/>
      <c r="Q63" s="179"/>
      <c r="R63" s="177"/>
      <c r="S63" s="688"/>
      <c r="T63" s="177"/>
      <c r="U63" s="177"/>
      <c r="V63" s="177"/>
      <c r="W63" s="177"/>
      <c r="X63" s="177"/>
      <c r="Y63" s="177"/>
      <c r="Z63" s="177"/>
      <c r="AA63" s="177"/>
      <c r="AB63" s="177"/>
      <c r="AC63" s="177"/>
    </row>
    <row r="64" spans="1:29" s="1035" customFormat="1" ht="18" customHeight="1" thickBot="1" x14ac:dyDescent="0.3">
      <c r="A64" s="1052"/>
      <c r="B64" s="244"/>
      <c r="C64" s="145"/>
      <c r="D64" s="1168" t="s">
        <v>1491</v>
      </c>
      <c r="E64" s="1169">
        <f t="shared" si="5"/>
        <v>0</v>
      </c>
      <c r="F64" s="1055" t="s">
        <v>1492</v>
      </c>
      <c r="G64" s="1232"/>
      <c r="H64" s="642"/>
      <c r="I64" s="1158" t="str">
        <f t="shared" si="6"/>
        <v/>
      </c>
      <c r="J64" s="145"/>
      <c r="K64" s="1233"/>
      <c r="L64" s="145"/>
      <c r="M64" s="857"/>
      <c r="N64" s="857"/>
      <c r="O64" s="857"/>
      <c r="P64" s="190"/>
      <c r="Q64" s="179"/>
      <c r="R64" s="177"/>
      <c r="S64" s="688"/>
      <c r="T64" s="177"/>
      <c r="U64" s="177"/>
      <c r="V64" s="177"/>
      <c r="W64" s="177"/>
      <c r="X64" s="177"/>
      <c r="Y64" s="177"/>
      <c r="Z64" s="177"/>
      <c r="AA64" s="177"/>
      <c r="AB64" s="177"/>
      <c r="AC64" s="177"/>
    </row>
    <row r="65" spans="1:29" ht="18" customHeight="1" thickBot="1" x14ac:dyDescent="0.3">
      <c r="A65" s="1061"/>
      <c r="B65" s="244"/>
      <c r="C65" s="41"/>
      <c r="D65" s="1168" t="s">
        <v>1493</v>
      </c>
      <c r="E65" s="1169">
        <f t="shared" si="5"/>
        <v>0</v>
      </c>
      <c r="F65" s="1055" t="s">
        <v>1494</v>
      </c>
      <c r="G65" s="1232"/>
      <c r="H65" s="642"/>
      <c r="I65" s="1158" t="str">
        <f t="shared" si="6"/>
        <v/>
      </c>
      <c r="J65" s="41"/>
      <c r="K65" s="1233"/>
      <c r="L65" s="41"/>
      <c r="M65" s="857"/>
      <c r="N65" s="857"/>
      <c r="O65" s="857"/>
      <c r="P65" s="221"/>
      <c r="Q65" s="138"/>
      <c r="R65" s="134"/>
      <c r="S65" s="689"/>
      <c r="T65" s="134"/>
      <c r="U65" s="134"/>
      <c r="V65" s="134"/>
      <c r="W65" s="134"/>
      <c r="X65" s="134"/>
      <c r="Y65" s="134"/>
      <c r="Z65" s="134"/>
      <c r="AA65" s="134"/>
      <c r="AB65" s="134"/>
      <c r="AC65" s="134"/>
    </row>
    <row r="66" spans="1:29" ht="20.25" customHeight="1" x14ac:dyDescent="0.25">
      <c r="A66" s="1061"/>
      <c r="B66" s="246"/>
      <c r="C66" s="223"/>
      <c r="D66" s="1173"/>
      <c r="E66" s="198"/>
      <c r="F66" s="199"/>
      <c r="G66" s="222"/>
      <c r="H66" s="201"/>
      <c r="I66" s="718">
        <f>COUNTIF($I$61:$I$65,"&gt;.03")</f>
        <v>0</v>
      </c>
      <c r="J66" s="223"/>
      <c r="K66" s="1079">
        <f>COUNTIF($K$61:$K$65,"&gt;.05")</f>
        <v>0</v>
      </c>
      <c r="L66" s="223"/>
      <c r="M66" s="204"/>
      <c r="N66" s="204"/>
      <c r="O66" s="204"/>
      <c r="P66" s="224"/>
      <c r="Q66" s="138"/>
      <c r="R66" s="134"/>
      <c r="S66" s="689"/>
      <c r="T66" s="134"/>
      <c r="U66" s="134"/>
      <c r="V66" s="134"/>
      <c r="W66" s="134"/>
      <c r="X66" s="134"/>
      <c r="Y66" s="134"/>
      <c r="Z66" s="134"/>
      <c r="AA66" s="134"/>
      <c r="AB66" s="134"/>
      <c r="AC66" s="134"/>
    </row>
    <row r="67" spans="1:29" s="134" customFormat="1" ht="9" customHeight="1" x14ac:dyDescent="0.25">
      <c r="B67" s="177"/>
      <c r="D67" s="1174"/>
      <c r="E67" s="1062"/>
      <c r="F67" s="207"/>
      <c r="G67" s="1063"/>
      <c r="H67" s="209"/>
      <c r="I67" s="1064"/>
      <c r="K67" s="1065"/>
      <c r="M67" s="1066"/>
      <c r="N67" s="1066"/>
      <c r="O67" s="1066"/>
      <c r="P67" s="141"/>
      <c r="Q67" s="615"/>
      <c r="S67" s="689"/>
    </row>
    <row r="68" spans="1:29" s="1035" customFormat="1" ht="21.75" hidden="1" customHeight="1" thickBot="1" x14ac:dyDescent="0.3">
      <c r="A68" s="1052"/>
      <c r="B68" s="249"/>
      <c r="C68" s="184"/>
      <c r="D68" s="1508" t="s">
        <v>524</v>
      </c>
      <c r="E68" s="1508"/>
      <c r="F68" s="213"/>
      <c r="G68" s="214"/>
      <c r="H68" s="1036"/>
      <c r="I68" s="215"/>
      <c r="J68" s="184"/>
      <c r="K68" s="216"/>
      <c r="L68" s="184"/>
      <c r="M68" s="217"/>
      <c r="N68" s="217"/>
      <c r="O68" s="217"/>
      <c r="P68" s="187"/>
      <c r="Q68" s="179"/>
      <c r="R68" s="177"/>
      <c r="S68" s="688"/>
      <c r="T68" s="177"/>
      <c r="U68" s="177"/>
      <c r="V68" s="177"/>
      <c r="W68" s="177"/>
      <c r="X68" s="177"/>
      <c r="Y68" s="177"/>
      <c r="Z68" s="177"/>
      <c r="AA68" s="177"/>
      <c r="AB68" s="177"/>
      <c r="AC68" s="177"/>
    </row>
    <row r="69" spans="1:29" s="1035" customFormat="1" ht="18" hidden="1" customHeight="1" thickBot="1" x14ac:dyDescent="0.3">
      <c r="A69" s="1052"/>
      <c r="B69" s="244"/>
      <c r="C69" s="145"/>
      <c r="D69" s="1170" t="s">
        <v>528</v>
      </c>
      <c r="E69" s="1083" t="s">
        <v>653</v>
      </c>
      <c r="F69" s="196"/>
      <c r="G69" s="229" t="s">
        <v>1479</v>
      </c>
      <c r="H69" s="642"/>
      <c r="I69" s="229" t="s">
        <v>1480</v>
      </c>
      <c r="J69" s="41"/>
      <c r="K69" s="229" t="s">
        <v>871</v>
      </c>
      <c r="L69" s="145"/>
      <c r="M69" s="194" t="s">
        <v>1481</v>
      </c>
      <c r="N69" s="218"/>
      <c r="O69" s="218"/>
      <c r="P69" s="190"/>
      <c r="Q69" s="179"/>
      <c r="R69" s="177"/>
      <c r="S69" s="688"/>
      <c r="T69" s="177"/>
      <c r="U69" s="177"/>
      <c r="V69" s="177"/>
      <c r="W69" s="177"/>
      <c r="X69" s="177"/>
      <c r="Y69" s="177"/>
      <c r="Z69" s="177"/>
      <c r="AA69" s="177"/>
      <c r="AB69" s="177"/>
      <c r="AC69" s="177"/>
    </row>
    <row r="70" spans="1:29" s="1035" customFormat="1" ht="32.25" hidden="1" customHeight="1" thickBot="1" x14ac:dyDescent="0.3">
      <c r="A70" s="1052"/>
      <c r="B70" s="244"/>
      <c r="C70" s="145"/>
      <c r="D70" s="1053" t="s">
        <v>1482</v>
      </c>
      <c r="E70" s="1139" t="s">
        <v>1483</v>
      </c>
      <c r="F70" s="219"/>
      <c r="G70" s="1231"/>
      <c r="H70" s="642"/>
      <c r="I70" s="1231"/>
      <c r="J70" s="145"/>
      <c r="K70" s="1231"/>
      <c r="L70" s="145"/>
      <c r="M70" s="1226"/>
      <c r="N70" s="218"/>
      <c r="O70" s="218"/>
      <c r="P70" s="190"/>
      <c r="Q70" s="179"/>
      <c r="R70" s="177"/>
      <c r="S70" s="688"/>
      <c r="T70" s="177"/>
      <c r="U70" s="177"/>
      <c r="V70" s="177"/>
      <c r="W70" s="177"/>
      <c r="X70" s="177"/>
      <c r="Y70" s="177"/>
      <c r="Z70" s="177"/>
      <c r="AA70" s="177"/>
      <c r="AB70" s="177"/>
      <c r="AC70" s="177"/>
    </row>
    <row r="71" spans="1:29" s="1035" customFormat="1" ht="18" hidden="1" customHeight="1" thickBot="1" x14ac:dyDescent="0.3">
      <c r="A71" s="1052"/>
      <c r="B71" s="244"/>
      <c r="C71" s="145"/>
      <c r="D71" s="7"/>
      <c r="E71" s="145"/>
      <c r="F71" s="219"/>
      <c r="G71" s="642"/>
      <c r="H71" s="642"/>
      <c r="I71" s="220"/>
      <c r="J71" s="145"/>
      <c r="K71" s="145"/>
      <c r="L71" s="145"/>
      <c r="M71" s="145"/>
      <c r="N71" s="145"/>
      <c r="O71" s="145"/>
      <c r="P71" s="190"/>
      <c r="Q71" s="179"/>
      <c r="R71" s="177"/>
      <c r="S71" s="688" t="str">
        <f>IF($E71="NO","",IF($I70="Select Payment Method","X",""))</f>
        <v/>
      </c>
      <c r="T71" s="177"/>
      <c r="U71" s="177"/>
      <c r="V71" s="177"/>
      <c r="W71" s="177"/>
      <c r="X71" s="177"/>
      <c r="Y71" s="177"/>
      <c r="Z71" s="177"/>
      <c r="AA71" s="177"/>
      <c r="AB71" s="177"/>
      <c r="AC71" s="177"/>
    </row>
    <row r="72" spans="1:29" s="1035" customFormat="1" ht="18" hidden="1" customHeight="1" thickBot="1" x14ac:dyDescent="0.3">
      <c r="A72" s="1052"/>
      <c r="B72" s="244"/>
      <c r="C72" s="145"/>
      <c r="D72" s="1060" t="s">
        <v>1484</v>
      </c>
      <c r="E72" s="1246" t="str">
        <f>IF(E69="Yes",IF(Welcome!$D$6="New",IF('Required Info to Submit'!F$14="","",'Required Info to Submit'!F$14),""),"")</f>
        <v/>
      </c>
      <c r="F72" s="192"/>
      <c r="G72" s="193" t="s">
        <v>723</v>
      </c>
      <c r="H72" s="642"/>
      <c r="I72" s="195"/>
      <c r="J72" s="145"/>
      <c r="K72" s="195"/>
      <c r="L72" s="145"/>
      <c r="M72" s="188"/>
      <c r="N72" s="188"/>
      <c r="O72" s="188"/>
      <c r="P72" s="190"/>
      <c r="Q72" s="179"/>
      <c r="R72" s="177"/>
      <c r="S72" s="688"/>
      <c r="T72" s="177"/>
      <c r="U72" s="177"/>
      <c r="V72" s="177"/>
      <c r="W72" s="177"/>
      <c r="X72" s="177"/>
      <c r="Y72" s="177"/>
      <c r="Z72" s="177"/>
      <c r="AA72" s="177"/>
      <c r="AB72" s="177"/>
      <c r="AC72" s="177"/>
    </row>
    <row r="73" spans="1:29" s="1035" customFormat="1" ht="18" hidden="1" customHeight="1" thickBot="1" x14ac:dyDescent="0.3">
      <c r="A73" s="1052"/>
      <c r="B73" s="244"/>
      <c r="C73" s="145"/>
      <c r="D73" s="1060" t="s">
        <v>1485</v>
      </c>
      <c r="E73" s="1246" t="str">
        <f>IF(E69="Yes",IF(Welcome!$D$6="New",IF('Required Info to Submit'!F$17="","",'Required Info to Submit'!F$17),""),"")</f>
        <v/>
      </c>
      <c r="F73" s="196"/>
      <c r="G73" s="1161">
        <f>IFERROR($H$5/($H$6*52*Welcome!$D$14),0)</f>
        <v>0</v>
      </c>
      <c r="H73" s="642"/>
      <c r="I73" s="195"/>
      <c r="J73" s="145"/>
      <c r="K73" s="197"/>
      <c r="L73" s="197"/>
      <c r="M73" s="195"/>
      <c r="N73" s="195"/>
      <c r="O73" s="188"/>
      <c r="P73" s="190"/>
      <c r="Q73" s="179"/>
      <c r="R73" s="177"/>
      <c r="S73" s="688"/>
      <c r="T73" s="177"/>
      <c r="U73" s="177"/>
      <c r="V73" s="177"/>
      <c r="W73" s="177"/>
      <c r="X73" s="177"/>
      <c r="Y73" s="177"/>
      <c r="Z73" s="177"/>
      <c r="AA73" s="177"/>
      <c r="AB73" s="177"/>
      <c r="AC73" s="177"/>
    </row>
    <row r="74" spans="1:29" s="1035" customFormat="1" ht="18" hidden="1" customHeight="1" thickBot="1" x14ac:dyDescent="0.3">
      <c r="A74" s="1052"/>
      <c r="B74" s="244"/>
      <c r="C74" s="145"/>
      <c r="D74" s="1175"/>
      <c r="E74" s="197"/>
      <c r="F74" s="196"/>
      <c r="G74" s="194" t="s">
        <v>1486</v>
      </c>
      <c r="H74" s="642"/>
      <c r="I74" s="194" t="s">
        <v>1487</v>
      </c>
      <c r="J74" s="197"/>
      <c r="K74" s="194" t="s">
        <v>1488</v>
      </c>
      <c r="L74" s="197"/>
      <c r="M74" s="195"/>
      <c r="N74" s="195"/>
      <c r="O74" s="6" t="s">
        <v>493</v>
      </c>
      <c r="P74" s="190"/>
      <c r="Q74" s="179"/>
      <c r="R74" s="177"/>
      <c r="S74" s="688"/>
      <c r="T74" s="177"/>
      <c r="U74" s="177"/>
      <c r="V74" s="177"/>
      <c r="W74" s="177"/>
      <c r="X74" s="177"/>
      <c r="Y74" s="177"/>
      <c r="Z74" s="177"/>
      <c r="AA74" s="177"/>
      <c r="AB74" s="177"/>
      <c r="AC74" s="177"/>
    </row>
    <row r="75" spans="1:29" s="1035" customFormat="1" ht="18" hidden="1" customHeight="1" thickBot="1" x14ac:dyDescent="0.3">
      <c r="A75" s="1052"/>
      <c r="B75" s="244"/>
      <c r="C75" s="145"/>
      <c r="D75" s="1168" t="s">
        <v>525</v>
      </c>
      <c r="E75" s="1169">
        <f>IFERROR(IF(G75="",0,(G75-$G$59)/$G$59),"")</f>
        <v>0</v>
      </c>
      <c r="F75" s="1055" t="s">
        <v>1048</v>
      </c>
      <c r="G75" s="1232"/>
      <c r="H75" s="642"/>
      <c r="I75" s="1158" t="str">
        <f>IF(E$69="Yes",IF(G76="",999999999.99,G76-0.01),"")</f>
        <v/>
      </c>
      <c r="J75" s="1056" t="str">
        <f>IF($E$57="YES","**Tier 1 used for modeling purposes**","")</f>
        <v/>
      </c>
      <c r="K75" s="1233"/>
      <c r="L75" s="1057"/>
      <c r="M75" s="197"/>
      <c r="N75" s="197"/>
      <c r="O75" s="1160">
        <f>IF(E69="Yes",IF(G76=0,K75*H$10,IF(OR(G76&lt;G73,G76=G73),K76*H$10,K75*H$10)),0)</f>
        <v>0</v>
      </c>
      <c r="P75" s="190"/>
      <c r="Q75" s="179"/>
      <c r="R75" s="177"/>
      <c r="S75" s="688"/>
      <c r="T75" s="177"/>
      <c r="U75" s="177"/>
      <c r="V75" s="177"/>
      <c r="W75" s="177"/>
      <c r="X75" s="177"/>
      <c r="Y75" s="177"/>
      <c r="Z75" s="177"/>
      <c r="AA75" s="177"/>
      <c r="AB75" s="177"/>
      <c r="AC75" s="177"/>
    </row>
    <row r="76" spans="1:29" s="1035" customFormat="1" ht="18" hidden="1" customHeight="1" thickBot="1" x14ac:dyDescent="0.3">
      <c r="A76" s="1052"/>
      <c r="B76" s="244"/>
      <c r="C76" s="145"/>
      <c r="D76" s="1168" t="s">
        <v>526</v>
      </c>
      <c r="E76" s="1169">
        <f t="shared" ref="E76:E79" si="7">IFERROR(IF(G76="",0,(G76-$G$59)/$G$59),"")</f>
        <v>0</v>
      </c>
      <c r="F76" s="1055" t="s">
        <v>1489</v>
      </c>
      <c r="G76" s="1232"/>
      <c r="H76" s="642"/>
      <c r="I76" s="1158" t="str">
        <f>IF(E$69="Yes",IF(I75="","",IF(I75&lt;&gt;999999999.99,IF(G77="",999999999.99,G77-0.01),"")),"")</f>
        <v/>
      </c>
      <c r="J76" s="145"/>
      <c r="K76" s="1233"/>
      <c r="L76" s="145"/>
      <c r="M76" s="857"/>
      <c r="N76" s="857"/>
      <c r="O76" s="857"/>
      <c r="P76" s="190"/>
      <c r="Q76" s="179"/>
      <c r="R76" s="177"/>
      <c r="S76" s="688"/>
      <c r="T76" s="177"/>
      <c r="U76" s="177"/>
      <c r="V76" s="177"/>
      <c r="W76" s="177"/>
      <c r="X76" s="177"/>
      <c r="Y76" s="177"/>
      <c r="Z76" s="177"/>
      <c r="AA76" s="177"/>
      <c r="AB76" s="177"/>
      <c r="AC76" s="177"/>
    </row>
    <row r="77" spans="1:29" s="1035" customFormat="1" ht="18" hidden="1" customHeight="1" thickBot="1" x14ac:dyDescent="0.3">
      <c r="A77" s="1052"/>
      <c r="B77" s="244"/>
      <c r="C77" s="145"/>
      <c r="D77" s="1168" t="s">
        <v>527</v>
      </c>
      <c r="E77" s="1169">
        <f t="shared" si="7"/>
        <v>0</v>
      </c>
      <c r="F77" s="1055" t="s">
        <v>1490</v>
      </c>
      <c r="G77" s="1232"/>
      <c r="H77" s="642"/>
      <c r="I77" s="1158" t="str">
        <f t="shared" ref="I77:I79" si="8">IF(E$69="Yes",IF(I76="","",IF(I76&lt;&gt;999999999.99,IF(G78="",999999999.99,G78-0.01),"")),"")</f>
        <v/>
      </c>
      <c r="J77" s="145"/>
      <c r="K77" s="1233"/>
      <c r="L77" s="145"/>
      <c r="M77" s="857"/>
      <c r="N77" s="857"/>
      <c r="O77" s="857"/>
      <c r="P77" s="190"/>
      <c r="Q77" s="179"/>
      <c r="R77" s="177"/>
      <c r="S77" s="688"/>
      <c r="T77" s="177"/>
      <c r="U77" s="177"/>
      <c r="V77" s="177"/>
      <c r="W77" s="177"/>
      <c r="X77" s="177"/>
      <c r="Y77" s="177"/>
      <c r="Z77" s="177"/>
      <c r="AA77" s="177"/>
      <c r="AB77" s="177"/>
      <c r="AC77" s="177"/>
    </row>
    <row r="78" spans="1:29" s="1035" customFormat="1" ht="18" hidden="1" customHeight="1" thickBot="1" x14ac:dyDescent="0.3">
      <c r="A78" s="1052"/>
      <c r="B78" s="244"/>
      <c r="C78" s="145"/>
      <c r="D78" s="1168" t="s">
        <v>1491</v>
      </c>
      <c r="E78" s="1169">
        <f t="shared" si="7"/>
        <v>0</v>
      </c>
      <c r="F78" s="1055" t="s">
        <v>1492</v>
      </c>
      <c r="G78" s="1232"/>
      <c r="H78" s="642"/>
      <c r="I78" s="1158" t="str">
        <f t="shared" si="8"/>
        <v/>
      </c>
      <c r="J78" s="145"/>
      <c r="K78" s="1233"/>
      <c r="L78" s="145"/>
      <c r="M78" s="857"/>
      <c r="N78" s="857"/>
      <c r="O78" s="857"/>
      <c r="P78" s="190"/>
      <c r="Q78" s="179"/>
      <c r="R78" s="177"/>
      <c r="S78" s="688"/>
      <c r="T78" s="177"/>
      <c r="U78" s="177"/>
      <c r="V78" s="177"/>
      <c r="W78" s="177"/>
      <c r="X78" s="177"/>
      <c r="Y78" s="177"/>
      <c r="Z78" s="177"/>
      <c r="AA78" s="177"/>
      <c r="AB78" s="177"/>
      <c r="AC78" s="177"/>
    </row>
    <row r="79" spans="1:29" ht="18" hidden="1" customHeight="1" thickBot="1" x14ac:dyDescent="0.3">
      <c r="A79" s="1061"/>
      <c r="B79" s="244"/>
      <c r="C79" s="41"/>
      <c r="D79" s="1168" t="s">
        <v>1493</v>
      </c>
      <c r="E79" s="1169">
        <f t="shared" si="7"/>
        <v>0</v>
      </c>
      <c r="F79" s="1055" t="s">
        <v>1494</v>
      </c>
      <c r="G79" s="1232"/>
      <c r="H79" s="642"/>
      <c r="I79" s="1158" t="str">
        <f t="shared" si="8"/>
        <v/>
      </c>
      <c r="J79" s="41"/>
      <c r="K79" s="1233"/>
      <c r="L79" s="41"/>
      <c r="M79" s="857"/>
      <c r="N79" s="857"/>
      <c r="O79" s="857"/>
      <c r="P79" s="221"/>
      <c r="Q79" s="138"/>
      <c r="R79" s="134"/>
      <c r="S79" s="689"/>
      <c r="T79" s="134"/>
      <c r="U79" s="134"/>
      <c r="V79" s="134"/>
      <c r="W79" s="134"/>
      <c r="X79" s="134"/>
      <c r="Y79" s="134"/>
      <c r="Z79" s="134"/>
      <c r="AA79" s="134"/>
      <c r="AB79" s="134"/>
      <c r="AC79" s="134"/>
    </row>
    <row r="80" spans="1:29" ht="20.25" hidden="1" customHeight="1" x14ac:dyDescent="0.25">
      <c r="A80" s="1061"/>
      <c r="B80" s="246"/>
      <c r="C80" s="223"/>
      <c r="D80" s="1173"/>
      <c r="E80" s="198"/>
      <c r="F80" s="199"/>
      <c r="G80" s="222"/>
      <c r="H80" s="201"/>
      <c r="I80" s="718">
        <f>COUNTIF($I$61:$I$65,"&gt;.03")</f>
        <v>0</v>
      </c>
      <c r="J80" s="223"/>
      <c r="K80" s="203"/>
      <c r="L80" s="223"/>
      <c r="M80" s="204"/>
      <c r="N80" s="204"/>
      <c r="O80" s="204"/>
      <c r="P80" s="224"/>
      <c r="Q80" s="138"/>
      <c r="R80" s="134"/>
      <c r="S80" s="689"/>
      <c r="T80" s="134"/>
      <c r="U80" s="134"/>
      <c r="V80" s="134"/>
      <c r="W80" s="134"/>
      <c r="X80" s="134"/>
      <c r="Y80" s="134"/>
      <c r="Z80" s="134"/>
      <c r="AA80" s="134"/>
      <c r="AB80" s="134"/>
      <c r="AC80" s="134"/>
    </row>
    <row r="81" spans="1:29" s="134" customFormat="1" ht="9" hidden="1" customHeight="1" x14ac:dyDescent="0.25">
      <c r="B81" s="177"/>
      <c r="D81" s="1174"/>
      <c r="E81" s="1062"/>
      <c r="F81" s="207"/>
      <c r="G81" s="1063"/>
      <c r="H81" s="209"/>
      <c r="I81" s="1064"/>
      <c r="K81" s="1065"/>
      <c r="M81" s="1066"/>
      <c r="N81" s="1066"/>
      <c r="O81" s="1066"/>
      <c r="P81" s="141"/>
      <c r="Q81" s="615"/>
      <c r="S81" s="689"/>
    </row>
    <row r="82" spans="1:29" ht="21" customHeight="1" thickBot="1" x14ac:dyDescent="0.3">
      <c r="A82" s="1061"/>
      <c r="B82" s="249"/>
      <c r="C82" s="226"/>
      <c r="D82" s="1508" t="s">
        <v>530</v>
      </c>
      <c r="E82" s="1508"/>
      <c r="F82" s="213"/>
      <c r="G82" s="225"/>
      <c r="H82" s="1036"/>
      <c r="I82" s="215"/>
      <c r="J82" s="226"/>
      <c r="K82" s="216"/>
      <c r="L82" s="226"/>
      <c r="M82" s="217"/>
      <c r="N82" s="217"/>
      <c r="O82" s="217"/>
      <c r="P82" s="227"/>
      <c r="Q82" s="138"/>
      <c r="R82" s="134"/>
      <c r="S82" s="689"/>
      <c r="T82" s="134"/>
      <c r="U82" s="134"/>
      <c r="V82" s="134"/>
      <c r="W82" s="134"/>
      <c r="X82" s="134"/>
      <c r="Y82" s="134"/>
      <c r="Z82" s="134"/>
      <c r="AA82" s="134"/>
      <c r="AB82" s="134"/>
      <c r="AC82" s="134"/>
    </row>
    <row r="83" spans="1:29" ht="18" customHeight="1" thickBot="1" x14ac:dyDescent="0.3">
      <c r="A83" s="1061"/>
      <c r="B83" s="244"/>
      <c r="C83" s="41"/>
      <c r="D83" s="1170" t="s">
        <v>528</v>
      </c>
      <c r="E83" s="1083" t="s">
        <v>653</v>
      </c>
      <c r="F83" s="41"/>
      <c r="G83" s="229" t="s">
        <v>1479</v>
      </c>
      <c r="H83" s="642"/>
      <c r="I83" s="229" t="s">
        <v>1480</v>
      </c>
      <c r="J83" s="41"/>
      <c r="K83" s="229" t="s">
        <v>871</v>
      </c>
      <c r="L83" s="145"/>
      <c r="M83" s="194" t="s">
        <v>1481</v>
      </c>
      <c r="N83" s="218"/>
      <c r="O83" s="218"/>
      <c r="P83" s="221"/>
      <c r="Q83" s="138"/>
      <c r="R83" s="134"/>
      <c r="S83" s="689"/>
      <c r="T83" s="134"/>
      <c r="U83" s="134"/>
      <c r="V83" s="134"/>
      <c r="W83" s="134"/>
      <c r="X83" s="134"/>
      <c r="Y83" s="134"/>
      <c r="Z83" s="134"/>
      <c r="AA83" s="134"/>
      <c r="AB83" s="134"/>
      <c r="AC83" s="134"/>
    </row>
    <row r="84" spans="1:29" ht="18" customHeight="1" thickBot="1" x14ac:dyDescent="0.3">
      <c r="A84" s="1061"/>
      <c r="B84" s="244"/>
      <c r="C84" s="41"/>
      <c r="D84" s="1053" t="s">
        <v>1482</v>
      </c>
      <c r="E84" s="1139" t="s">
        <v>1483</v>
      </c>
      <c r="F84" s="41"/>
      <c r="G84" s="1231"/>
      <c r="H84" s="642"/>
      <c r="I84" s="1231"/>
      <c r="J84" s="145"/>
      <c r="K84" s="1231"/>
      <c r="L84" s="145"/>
      <c r="M84" s="1226"/>
      <c r="N84" s="218"/>
      <c r="O84" s="218"/>
      <c r="P84" s="221"/>
      <c r="Q84" s="138"/>
      <c r="R84" s="494"/>
      <c r="S84" s="689"/>
      <c r="T84" s="134"/>
      <c r="U84" s="134"/>
      <c r="V84" s="134"/>
      <c r="W84" s="134"/>
      <c r="X84" s="134"/>
      <c r="Y84" s="134"/>
      <c r="Z84" s="134"/>
      <c r="AA84" s="134"/>
      <c r="AB84" s="134"/>
      <c r="AC84" s="134"/>
    </row>
    <row r="85" spans="1:29" ht="18" customHeight="1" thickBot="1" x14ac:dyDescent="0.3">
      <c r="A85" s="1061"/>
      <c r="B85" s="244"/>
      <c r="C85" s="41"/>
      <c r="D85" s="7"/>
      <c r="E85" s="692"/>
      <c r="F85" s="41"/>
      <c r="G85" s="41"/>
      <c r="H85" s="41"/>
      <c r="I85" s="228"/>
      <c r="J85" s="41"/>
      <c r="K85" s="41"/>
      <c r="L85" s="41"/>
      <c r="M85" s="41"/>
      <c r="N85" s="41"/>
      <c r="O85" s="41"/>
      <c r="P85" s="221"/>
      <c r="Q85" s="138"/>
      <c r="R85" s="134"/>
      <c r="S85" s="688" t="str">
        <f>IF($E85="NO","",IF($I84="Select Payment Method","X",""))</f>
        <v/>
      </c>
      <c r="T85" s="134"/>
      <c r="U85" s="134"/>
      <c r="V85" s="134"/>
      <c r="W85" s="134"/>
      <c r="X85" s="134"/>
      <c r="Y85" s="134"/>
      <c r="Z85" s="134"/>
      <c r="AA85" s="134"/>
      <c r="AB85" s="134"/>
      <c r="AC85" s="134"/>
    </row>
    <row r="86" spans="1:29" ht="18" customHeight="1" thickBot="1" x14ac:dyDescent="0.3">
      <c r="A86" s="1061"/>
      <c r="B86" s="244"/>
      <c r="C86" s="41"/>
      <c r="D86" s="1060" t="s">
        <v>1484</v>
      </c>
      <c r="E86" s="1246" t="str">
        <f>IF(E83="Yes",IF(Welcome!$D$6="New",IF('Required Info to Submit'!F$14="","",'Required Info to Submit'!F$14),""),"")</f>
        <v/>
      </c>
      <c r="F86" s="41"/>
      <c r="G86" s="193" t="s">
        <v>1046</v>
      </c>
      <c r="H86" s="41"/>
      <c r="I86" s="41"/>
      <c r="J86" s="41"/>
      <c r="K86" s="41"/>
      <c r="L86" s="41"/>
      <c r="M86" s="41"/>
      <c r="N86" s="41"/>
      <c r="O86" s="188"/>
      <c r="P86" s="221"/>
      <c r="Q86" s="138"/>
      <c r="R86" s="134"/>
      <c r="S86" s="688"/>
      <c r="T86" s="134"/>
      <c r="U86" s="134"/>
      <c r="V86" s="134"/>
      <c r="W86" s="134"/>
      <c r="X86" s="134"/>
      <c r="Y86" s="134"/>
      <c r="Z86" s="134"/>
      <c r="AA86" s="134"/>
      <c r="AB86" s="134"/>
      <c r="AC86" s="134"/>
    </row>
    <row r="87" spans="1:29" ht="17.25" customHeight="1" thickBot="1" x14ac:dyDescent="0.3">
      <c r="A87" s="1061"/>
      <c r="B87" s="244"/>
      <c r="C87" s="41"/>
      <c r="D87" s="1060" t="s">
        <v>1485</v>
      </c>
      <c r="E87" s="1246" t="str">
        <f>IF(E83="Yes",IF(Welcome!$D$6="New",IF('Required Info to Submit'!F$17="","",'Required Info to Submit'!F$17),""),"")</f>
        <v/>
      </c>
      <c r="F87" s="196"/>
      <c r="G87" s="1162">
        <f>IFERROR('EB_CM (Back)'!$B$7,"")</f>
        <v>0</v>
      </c>
      <c r="H87" s="188"/>
      <c r="I87" s="41"/>
      <c r="J87" s="195"/>
      <c r="K87" s="41"/>
      <c r="L87" s="188"/>
      <c r="M87" s="195"/>
      <c r="N87" s="195"/>
      <c r="O87" s="188"/>
      <c r="P87" s="221"/>
      <c r="Q87" s="138"/>
      <c r="R87" s="134"/>
      <c r="S87" s="689"/>
      <c r="T87" s="134"/>
      <c r="U87" s="134"/>
      <c r="V87" s="134"/>
      <c r="W87" s="134"/>
      <c r="X87" s="134"/>
      <c r="Y87" s="134"/>
      <c r="Z87" s="134"/>
      <c r="AA87" s="134"/>
      <c r="AB87" s="134"/>
      <c r="AC87" s="134"/>
    </row>
    <row r="88" spans="1:29" ht="18" customHeight="1" x14ac:dyDescent="0.25">
      <c r="A88" s="1061"/>
      <c r="B88" s="244"/>
      <c r="C88" s="41"/>
      <c r="D88" s="342"/>
      <c r="E88" s="498"/>
      <c r="F88" s="196"/>
      <c r="G88" s="194" t="s">
        <v>1486</v>
      </c>
      <c r="H88" s="642"/>
      <c r="I88" s="194" t="s">
        <v>1487</v>
      </c>
      <c r="J88" s="195"/>
      <c r="K88" s="194" t="s">
        <v>1488</v>
      </c>
      <c r="L88" s="188"/>
      <c r="M88" s="195"/>
      <c r="N88" s="195"/>
      <c r="O88" s="6" t="s">
        <v>493</v>
      </c>
      <c r="P88" s="221"/>
      <c r="Q88" s="138"/>
      <c r="R88" s="134"/>
      <c r="S88" s="689"/>
      <c r="T88" s="134"/>
      <c r="U88" s="134"/>
      <c r="V88" s="134"/>
      <c r="W88" s="134"/>
      <c r="X88" s="134"/>
      <c r="Y88" s="134"/>
      <c r="Z88" s="134"/>
      <c r="AA88" s="134"/>
      <c r="AB88" s="134"/>
      <c r="AC88" s="134"/>
    </row>
    <row r="89" spans="1:29" ht="17.25" customHeight="1" x14ac:dyDescent="0.25">
      <c r="A89" s="1061"/>
      <c r="B89" s="244"/>
      <c r="C89" s="41"/>
      <c r="D89" s="342"/>
      <c r="E89" s="498"/>
      <c r="F89" s="1055" t="s">
        <v>1048</v>
      </c>
      <c r="G89" s="1234"/>
      <c r="H89" s="188"/>
      <c r="I89" s="1159">
        <f>IF(E$83="Yes",IF(G90=0,1,G90-0.0001),0)</f>
        <v>0</v>
      </c>
      <c r="J89" s="1056" t="str">
        <f>IF($E$85="YES","**Tier 1 payout used for modeling purposes**","")</f>
        <v/>
      </c>
      <c r="K89" s="1233"/>
      <c r="L89" s="188"/>
      <c r="M89" s="195"/>
      <c r="N89" s="197"/>
      <c r="O89" s="1160">
        <f>IF(E83="Yes",IF(AND(G93&lt;=G87,G93&lt;&gt;""),K93*$H$10*G87,IF(AND(G92&lt;=G87,G92&lt;&gt;""),K92*$H$10*G87,IF(AND(G91&lt;=G87,G91&lt;&gt;""),K91*$H$10*G87,IF(AND(G90&lt;=G87,G90&lt;&gt;""),K90*$H$10*G87,K89*$H$10*G87)))),0)</f>
        <v>0</v>
      </c>
      <c r="P89" s="221"/>
      <c r="Q89" s="138"/>
      <c r="R89" s="134"/>
      <c r="S89" s="689"/>
      <c r="T89" s="134"/>
      <c r="U89" s="134"/>
      <c r="V89" s="134"/>
      <c r="W89" s="134"/>
      <c r="X89" s="134"/>
      <c r="Y89" s="134"/>
      <c r="Z89" s="134"/>
      <c r="AA89" s="134"/>
      <c r="AB89" s="134"/>
      <c r="AC89" s="134"/>
    </row>
    <row r="90" spans="1:29" ht="17.25" customHeight="1" x14ac:dyDescent="0.25">
      <c r="A90" s="1061"/>
      <c r="B90" s="244"/>
      <c r="C90" s="41"/>
      <c r="D90" s="342"/>
      <c r="E90" s="498"/>
      <c r="F90" s="1055" t="s">
        <v>1489</v>
      </c>
      <c r="G90" s="1234"/>
      <c r="H90" s="188"/>
      <c r="I90" s="1159">
        <f>IF(E$83="Yes",IF(I89=0,0,IF(I89&lt;&gt;1,IF(G91=0,1,G91-0.0001),0)),0)</f>
        <v>0</v>
      </c>
      <c r="J90" s="230"/>
      <c r="K90" s="1233"/>
      <c r="L90" s="188"/>
      <c r="M90" s="197"/>
      <c r="N90" s="857"/>
      <c r="O90" s="857"/>
      <c r="P90" s="221"/>
      <c r="Q90" s="138"/>
      <c r="R90" s="134"/>
      <c r="S90" s="689"/>
      <c r="T90" s="134"/>
      <c r="U90" s="134"/>
      <c r="V90" s="134"/>
      <c r="W90" s="134"/>
      <c r="X90" s="134"/>
      <c r="Y90" s="134"/>
      <c r="Z90" s="134"/>
      <c r="AA90" s="134"/>
      <c r="AB90" s="134"/>
      <c r="AC90" s="134"/>
    </row>
    <row r="91" spans="1:29" ht="17.25" customHeight="1" x14ac:dyDescent="0.25">
      <c r="A91" s="1061"/>
      <c r="B91" s="244"/>
      <c r="C91" s="41"/>
      <c r="D91" s="342"/>
      <c r="E91" s="498"/>
      <c r="F91" s="1055" t="s">
        <v>1490</v>
      </c>
      <c r="G91" s="1234"/>
      <c r="H91" s="188"/>
      <c r="I91" s="1159">
        <f>IF(E$83="Yes",IF(I90=0,0,IF(I90&lt;&gt;1,IF(G92=0,1,G92-0.0001),0)),0)</f>
        <v>0</v>
      </c>
      <c r="J91" s="230"/>
      <c r="K91" s="1233"/>
      <c r="L91" s="188"/>
      <c r="M91" s="1080"/>
      <c r="N91" s="857"/>
      <c r="O91" s="857"/>
      <c r="P91" s="221"/>
      <c r="Q91" s="138"/>
      <c r="R91" s="134"/>
      <c r="S91" s="689"/>
      <c r="T91" s="134"/>
      <c r="U91" s="134"/>
      <c r="V91" s="134"/>
      <c r="W91" s="134"/>
      <c r="X91" s="134"/>
      <c r="Y91" s="134"/>
      <c r="Z91" s="134"/>
      <c r="AA91" s="134"/>
      <c r="AB91" s="134"/>
      <c r="AC91" s="134"/>
    </row>
    <row r="92" spans="1:29" ht="17.25" customHeight="1" x14ac:dyDescent="0.25">
      <c r="A92" s="1061"/>
      <c r="B92" s="244"/>
      <c r="C92" s="41"/>
      <c r="D92" s="342"/>
      <c r="E92" s="498"/>
      <c r="F92" s="1055" t="s">
        <v>1492</v>
      </c>
      <c r="G92" s="1234"/>
      <c r="H92" s="188"/>
      <c r="I92" s="1159">
        <f>IF(E$83="Yes",IF(I91=0,0,IF(I91&lt;&gt;1,IF(G93=0,1,G93-0.0001),0)),0)</f>
        <v>0</v>
      </c>
      <c r="J92" s="230"/>
      <c r="K92" s="1233"/>
      <c r="L92" s="188"/>
      <c r="M92" s="857"/>
      <c r="N92" s="857"/>
      <c r="O92" s="857"/>
      <c r="P92" s="221"/>
      <c r="Q92" s="138"/>
      <c r="R92" s="134"/>
      <c r="S92" s="689"/>
      <c r="T92" s="134"/>
      <c r="U92" s="134"/>
      <c r="V92" s="134"/>
      <c r="W92" s="134"/>
      <c r="X92" s="134"/>
      <c r="Y92" s="134"/>
      <c r="Z92" s="134"/>
      <c r="AA92" s="134"/>
      <c r="AB92" s="134"/>
      <c r="AC92" s="134"/>
    </row>
    <row r="93" spans="1:29" ht="17.25" customHeight="1" x14ac:dyDescent="0.25">
      <c r="A93" s="1061"/>
      <c r="B93" s="244"/>
      <c r="C93" s="41"/>
      <c r="D93" s="342"/>
      <c r="E93" s="498"/>
      <c r="F93" s="1055" t="s">
        <v>1494</v>
      </c>
      <c r="G93" s="1234"/>
      <c r="H93" s="188"/>
      <c r="I93" s="1159">
        <f>IF(E$83="Yes",IF(I92=0,0,IF(I92&lt;&gt;1,IF(G94="",1,G94-0.0001),0)),0)</f>
        <v>0</v>
      </c>
      <c r="J93" s="230"/>
      <c r="K93" s="1233"/>
      <c r="L93" s="188"/>
      <c r="M93" s="857"/>
      <c r="N93" s="857"/>
      <c r="O93" s="857"/>
      <c r="P93" s="221"/>
      <c r="Q93" s="138"/>
      <c r="R93" s="134"/>
      <c r="S93" s="689"/>
      <c r="T93" s="134"/>
      <c r="U93" s="134"/>
      <c r="V93" s="134"/>
      <c r="W93" s="134"/>
      <c r="X93" s="134"/>
      <c r="Y93" s="134"/>
      <c r="Z93" s="134"/>
      <c r="AA93" s="134"/>
      <c r="AB93" s="134"/>
      <c r="AC93" s="134"/>
    </row>
    <row r="94" spans="1:29" ht="21" customHeight="1" x14ac:dyDescent="0.25">
      <c r="A94" s="1061"/>
      <c r="B94" s="246"/>
      <c r="C94" s="223"/>
      <c r="D94" s="1176"/>
      <c r="E94" s="223"/>
      <c r="F94" s="202"/>
      <c r="G94" s="231"/>
      <c r="H94" s="232"/>
      <c r="I94" s="233"/>
      <c r="J94" s="203"/>
      <c r="K94" s="1079">
        <f>COUNTIF($K$89:$K$93,"&gt;.05")</f>
        <v>0</v>
      </c>
      <c r="L94" s="232"/>
      <c r="M94" s="204"/>
      <c r="N94" s="204"/>
      <c r="O94" s="204"/>
      <c r="P94" s="224"/>
      <c r="Q94" s="138"/>
      <c r="R94" s="134"/>
      <c r="S94" s="689"/>
      <c r="T94" s="134"/>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89"/>
      <c r="T95" s="134"/>
      <c r="U95" s="134"/>
      <c r="V95" s="134"/>
      <c r="W95" s="134"/>
      <c r="X95" s="134"/>
      <c r="Y95" s="134"/>
      <c r="Z95" s="134"/>
      <c r="AA95" s="134"/>
      <c r="AB95" s="134"/>
      <c r="AC95" s="134"/>
    </row>
    <row r="96" spans="1:29" ht="21" hidden="1" customHeight="1" thickBot="1" x14ac:dyDescent="0.3">
      <c r="A96" s="1061"/>
      <c r="B96" s="249"/>
      <c r="C96" s="226"/>
      <c r="D96" s="1508" t="s">
        <v>530</v>
      </c>
      <c r="E96" s="1508"/>
      <c r="F96" s="213"/>
      <c r="G96" s="225"/>
      <c r="H96" s="1036"/>
      <c r="I96" s="215"/>
      <c r="J96" s="226"/>
      <c r="K96" s="216"/>
      <c r="L96" s="226"/>
      <c r="M96" s="217"/>
      <c r="N96" s="217"/>
      <c r="O96" s="217"/>
      <c r="P96" s="227"/>
      <c r="Q96" s="138"/>
      <c r="R96" s="134"/>
      <c r="S96" s="689"/>
      <c r="T96" s="134"/>
      <c r="U96" s="134"/>
      <c r="V96" s="134"/>
      <c r="W96" s="134"/>
      <c r="X96" s="134"/>
      <c r="Y96" s="134"/>
      <c r="Z96" s="134"/>
      <c r="AA96" s="134"/>
      <c r="AB96" s="134"/>
      <c r="AC96" s="134"/>
    </row>
    <row r="97" spans="1:29" ht="18" hidden="1" customHeight="1" thickBot="1" x14ac:dyDescent="0.3">
      <c r="A97" s="1061"/>
      <c r="B97" s="244"/>
      <c r="C97" s="41"/>
      <c r="D97" s="1170" t="s">
        <v>528</v>
      </c>
      <c r="E97" s="1083" t="s">
        <v>653</v>
      </c>
      <c r="F97" s="41"/>
      <c r="G97" s="229" t="s">
        <v>1479</v>
      </c>
      <c r="H97" s="642"/>
      <c r="I97" s="229" t="s">
        <v>1480</v>
      </c>
      <c r="J97" s="41"/>
      <c r="K97" s="229" t="s">
        <v>871</v>
      </c>
      <c r="L97" s="145"/>
      <c r="M97" s="194" t="s">
        <v>1481</v>
      </c>
      <c r="N97" s="218"/>
      <c r="O97" s="218"/>
      <c r="P97" s="221"/>
      <c r="Q97" s="138"/>
      <c r="R97" s="134"/>
      <c r="S97" s="689"/>
      <c r="T97" s="134"/>
      <c r="U97" s="134"/>
      <c r="V97" s="134"/>
      <c r="W97" s="134"/>
      <c r="X97" s="134"/>
      <c r="Y97" s="134"/>
      <c r="Z97" s="134"/>
      <c r="AA97" s="134"/>
      <c r="AB97" s="134"/>
      <c r="AC97" s="134"/>
    </row>
    <row r="98" spans="1:29" ht="18" hidden="1" customHeight="1" thickBot="1" x14ac:dyDescent="0.3">
      <c r="A98" s="1061"/>
      <c r="B98" s="244"/>
      <c r="C98" s="41"/>
      <c r="D98" s="1053" t="s">
        <v>1482</v>
      </c>
      <c r="E98" s="1139" t="s">
        <v>1483</v>
      </c>
      <c r="F98" s="41"/>
      <c r="G98" s="1231"/>
      <c r="H98" s="642"/>
      <c r="I98" s="1231"/>
      <c r="J98" s="145"/>
      <c r="K98" s="1231"/>
      <c r="L98" s="145"/>
      <c r="M98" s="1226"/>
      <c r="N98" s="218"/>
      <c r="O98" s="218"/>
      <c r="P98" s="221"/>
      <c r="Q98" s="138"/>
      <c r="R98" s="134"/>
      <c r="S98" s="689"/>
      <c r="T98" s="134"/>
      <c r="U98" s="134"/>
      <c r="V98" s="134"/>
      <c r="W98" s="134"/>
      <c r="X98" s="134"/>
      <c r="Y98" s="134"/>
      <c r="Z98" s="134"/>
      <c r="AA98" s="134"/>
      <c r="AB98" s="134"/>
      <c r="AC98" s="134"/>
    </row>
    <row r="99" spans="1:29" ht="18" hidden="1" customHeight="1" thickBot="1" x14ac:dyDescent="0.3">
      <c r="A99" s="1061"/>
      <c r="B99" s="244"/>
      <c r="C99" s="41"/>
      <c r="D99" s="7"/>
      <c r="E99" s="692"/>
      <c r="F99" s="41"/>
      <c r="G99" s="41"/>
      <c r="H99" s="41"/>
      <c r="I99" s="228"/>
      <c r="J99" s="41"/>
      <c r="K99" s="41"/>
      <c r="L99" s="41"/>
      <c r="M99" s="41"/>
      <c r="N99" s="41"/>
      <c r="O99" s="41"/>
      <c r="P99" s="221"/>
      <c r="Q99" s="138"/>
      <c r="R99" s="134"/>
      <c r="S99" s="688" t="str">
        <f>IF($E99="NO","",IF($I98="Select Payment Method","X",""))</f>
        <v/>
      </c>
      <c r="T99" s="134"/>
      <c r="U99" s="134"/>
      <c r="V99" s="134"/>
      <c r="W99" s="134"/>
      <c r="X99" s="134"/>
      <c r="Y99" s="134"/>
      <c r="Z99" s="134"/>
      <c r="AA99" s="134"/>
      <c r="AB99" s="134"/>
      <c r="AC99" s="134"/>
    </row>
    <row r="100" spans="1:29" ht="18" hidden="1" customHeight="1" thickBot="1" x14ac:dyDescent="0.3">
      <c r="A100" s="1061"/>
      <c r="B100" s="244"/>
      <c r="C100" s="41"/>
      <c r="D100" s="1060" t="s">
        <v>1484</v>
      </c>
      <c r="E100" s="1246" t="str">
        <f>IF(E97="Yes",IF(Welcome!$D$6="New",IF('Required Info to Submit'!F$14="","",'Required Info to Submit'!F$14),""),"")</f>
        <v/>
      </c>
      <c r="F100" s="41"/>
      <c r="G100" s="193" t="s">
        <v>1046</v>
      </c>
      <c r="H100" s="41"/>
      <c r="I100" s="41"/>
      <c r="J100" s="41"/>
      <c r="K100" s="41"/>
      <c r="L100" s="41"/>
      <c r="M100" s="41"/>
      <c r="N100" s="41"/>
      <c r="O100" s="188"/>
      <c r="P100" s="221"/>
      <c r="Q100" s="138"/>
      <c r="R100" s="134"/>
      <c r="S100" s="688"/>
      <c r="T100" s="134"/>
      <c r="U100" s="134"/>
      <c r="V100" s="134"/>
      <c r="W100" s="134"/>
      <c r="X100" s="134"/>
      <c r="Y100" s="134"/>
      <c r="Z100" s="134"/>
      <c r="AA100" s="134"/>
      <c r="AB100" s="134"/>
      <c r="AC100" s="134"/>
    </row>
    <row r="101" spans="1:29" ht="18" hidden="1" customHeight="1" thickBot="1" x14ac:dyDescent="0.3">
      <c r="A101" s="1061"/>
      <c r="B101" s="244"/>
      <c r="C101" s="41"/>
      <c r="D101" s="1060" t="s">
        <v>1485</v>
      </c>
      <c r="E101" s="1246" t="str">
        <f>IF(E97="Yes",IF(Welcome!$D$6="New",IF('Required Info to Submit'!F$17="","",'Required Info to Submit'!F$17),""),"")</f>
        <v/>
      </c>
      <c r="F101" s="196"/>
      <c r="G101" s="1162">
        <f>IFERROR('EB_CM (Back)'!$B$7,"")</f>
        <v>0</v>
      </c>
      <c r="H101" s="188"/>
      <c r="I101" s="41"/>
      <c r="J101" s="195"/>
      <c r="K101" s="41"/>
      <c r="L101" s="188"/>
      <c r="M101" s="195"/>
      <c r="N101" s="195"/>
      <c r="O101" s="188"/>
      <c r="P101" s="221"/>
      <c r="Q101" s="138"/>
      <c r="R101" s="134"/>
      <c r="S101" s="689"/>
      <c r="T101" s="134"/>
      <c r="U101" s="134"/>
      <c r="V101" s="134"/>
      <c r="W101" s="134"/>
      <c r="X101" s="134"/>
      <c r="Y101" s="134"/>
      <c r="Z101" s="134"/>
      <c r="AA101" s="134"/>
      <c r="AB101" s="134"/>
      <c r="AC101" s="134"/>
    </row>
    <row r="102" spans="1:29" ht="18" hidden="1" customHeight="1" x14ac:dyDescent="0.25">
      <c r="A102" s="1061"/>
      <c r="B102" s="244"/>
      <c r="C102" s="41"/>
      <c r="D102" s="342"/>
      <c r="E102" s="498"/>
      <c r="F102" s="196"/>
      <c r="G102" s="194" t="s">
        <v>1486</v>
      </c>
      <c r="H102" s="642"/>
      <c r="I102" s="194" t="s">
        <v>1487</v>
      </c>
      <c r="J102" s="195"/>
      <c r="K102" s="194" t="s">
        <v>1488</v>
      </c>
      <c r="L102" s="188"/>
      <c r="M102" s="195"/>
      <c r="N102" s="195"/>
      <c r="O102" s="6" t="s">
        <v>493</v>
      </c>
      <c r="P102" s="221"/>
      <c r="Q102" s="138"/>
      <c r="R102" s="134"/>
      <c r="S102" s="689"/>
      <c r="T102" s="134"/>
      <c r="U102" s="134"/>
      <c r="V102" s="134"/>
      <c r="W102" s="134"/>
      <c r="X102" s="134"/>
      <c r="Y102" s="134"/>
      <c r="Z102" s="134"/>
      <c r="AA102" s="134"/>
      <c r="AB102" s="134"/>
      <c r="AC102" s="134"/>
    </row>
    <row r="103" spans="1:29" ht="17.25" hidden="1" customHeight="1" x14ac:dyDescent="0.25">
      <c r="A103" s="1061"/>
      <c r="B103" s="244"/>
      <c r="C103" s="41"/>
      <c r="D103" s="342"/>
      <c r="E103" s="498"/>
      <c r="F103" s="1055" t="s">
        <v>1048</v>
      </c>
      <c r="G103" s="1234"/>
      <c r="H103" s="188"/>
      <c r="I103" s="1233">
        <f>IF(E$97="Yes",IF(G104=0,1,G104-0.0001),0)</f>
        <v>0</v>
      </c>
      <c r="J103" s="1056" t="str">
        <f>IF($E$85="YES","**Tier 1 payout used for modeling purposes**","")</f>
        <v/>
      </c>
      <c r="K103" s="1233"/>
      <c r="L103" s="188"/>
      <c r="M103" s="195"/>
      <c r="N103" s="197"/>
      <c r="O103" s="1160">
        <f>IF(E97="Yes",IF(AND(G107&lt;=G101,G107&lt;&gt;""),K107*$H$10*G101,IF(AND(G106&lt;=G101,G106&lt;&gt;""),K106*$H$10*G101,IF(AND(G105&lt;=G101,G105&lt;&gt;""),K105*$H$10*G101,IF(AND(G104&lt;=G101,G104&lt;&gt;""),K104*$H$10*G101,K103*$H$10*G101)))),0)</f>
        <v>0</v>
      </c>
      <c r="P103" s="221"/>
      <c r="Q103" s="138"/>
      <c r="R103" s="134"/>
      <c r="S103" s="689"/>
      <c r="T103" s="134"/>
      <c r="U103" s="134"/>
      <c r="V103" s="134"/>
      <c r="W103" s="134"/>
      <c r="X103" s="134"/>
      <c r="Y103" s="134"/>
      <c r="Z103" s="134"/>
      <c r="AA103" s="134"/>
      <c r="AB103" s="134"/>
      <c r="AC103" s="134"/>
    </row>
    <row r="104" spans="1:29" ht="17.25" hidden="1" customHeight="1" x14ac:dyDescent="0.25">
      <c r="A104" s="1061"/>
      <c r="B104" s="244"/>
      <c r="C104" s="41"/>
      <c r="D104" s="342"/>
      <c r="E104" s="498"/>
      <c r="F104" s="1055" t="s">
        <v>1489</v>
      </c>
      <c r="G104" s="1234"/>
      <c r="H104" s="188"/>
      <c r="I104" s="1218">
        <f>IF(E$97="Yes",IF(I103=0,0,IF(I103&lt;&gt;1,IF(G105=0,1,G105-0.0001),0)),0)</f>
        <v>0</v>
      </c>
      <c r="J104" s="230"/>
      <c r="K104" s="1233"/>
      <c r="L104" s="188"/>
      <c r="M104" s="857"/>
      <c r="N104" s="857"/>
      <c r="O104" s="857"/>
      <c r="P104" s="221"/>
      <c r="Q104" s="138"/>
      <c r="R104" s="134"/>
      <c r="S104" s="689"/>
      <c r="T104" s="134"/>
      <c r="U104" s="134"/>
      <c r="V104" s="134"/>
      <c r="W104" s="134"/>
      <c r="X104" s="134"/>
      <c r="Y104" s="134"/>
      <c r="Z104" s="134"/>
      <c r="AA104" s="134"/>
      <c r="AB104" s="134"/>
      <c r="AC104" s="134"/>
    </row>
    <row r="105" spans="1:29" ht="17.25" hidden="1" customHeight="1" x14ac:dyDescent="0.25">
      <c r="A105" s="1061"/>
      <c r="B105" s="244"/>
      <c r="C105" s="41"/>
      <c r="D105" s="342"/>
      <c r="E105" s="498"/>
      <c r="F105" s="1055" t="s">
        <v>1490</v>
      </c>
      <c r="G105" s="1234"/>
      <c r="H105" s="188"/>
      <c r="I105" s="1218">
        <f>IF(E$97="Yes",IF(I104=0,0,IF(I104&lt;&gt;1,IF(G106=0,1,G106-0.0001),0)),0)</f>
        <v>0</v>
      </c>
      <c r="J105" s="230"/>
      <c r="K105" s="1233"/>
      <c r="L105" s="188"/>
      <c r="M105" s="857"/>
      <c r="N105" s="857"/>
      <c r="O105" s="857"/>
      <c r="P105" s="221"/>
      <c r="Q105" s="138"/>
      <c r="R105" s="134"/>
      <c r="S105" s="689"/>
      <c r="T105" s="134"/>
      <c r="U105" s="134"/>
      <c r="V105" s="134"/>
      <c r="W105" s="134"/>
      <c r="X105" s="134"/>
      <c r="Y105" s="134"/>
      <c r="Z105" s="134"/>
      <c r="AA105" s="134"/>
      <c r="AB105" s="134"/>
      <c r="AC105" s="134"/>
    </row>
    <row r="106" spans="1:29" ht="17.25" hidden="1" customHeight="1" x14ac:dyDescent="0.25">
      <c r="A106" s="1061"/>
      <c r="B106" s="244"/>
      <c r="C106" s="41"/>
      <c r="D106" s="342"/>
      <c r="E106" s="498"/>
      <c r="F106" s="1055" t="s">
        <v>1492</v>
      </c>
      <c r="G106" s="1234"/>
      <c r="H106" s="188"/>
      <c r="I106" s="1218">
        <f>IF(E$97="Yes",IF(I105=0,0,IF(I105&lt;&gt;1,IF(G107=0,1,G107-0.0001),0)),0)</f>
        <v>0</v>
      </c>
      <c r="J106" s="230"/>
      <c r="K106" s="1233"/>
      <c r="L106" s="188"/>
      <c r="M106" s="857"/>
      <c r="N106" s="857"/>
      <c r="O106" s="857"/>
      <c r="P106" s="221"/>
      <c r="Q106" s="138"/>
      <c r="R106" s="134"/>
      <c r="S106" s="689"/>
      <c r="T106" s="134"/>
      <c r="U106" s="134"/>
      <c r="V106" s="134"/>
      <c r="W106" s="134"/>
      <c r="X106" s="134"/>
      <c r="Y106" s="134"/>
      <c r="Z106" s="134"/>
      <c r="AA106" s="134"/>
      <c r="AB106" s="134"/>
      <c r="AC106" s="134"/>
    </row>
    <row r="107" spans="1:29" ht="17.25" hidden="1" customHeight="1" x14ac:dyDescent="0.25">
      <c r="A107" s="1061"/>
      <c r="B107" s="244"/>
      <c r="C107" s="41"/>
      <c r="D107" s="342"/>
      <c r="E107" s="498"/>
      <c r="F107" s="1055" t="s">
        <v>1494</v>
      </c>
      <c r="G107" s="1234"/>
      <c r="H107" s="188"/>
      <c r="I107" s="1218">
        <f>IF(E$97="Yes",IF(I106=0,0,IF(I106&lt;&gt;1,IF(G108="",1,G108-0.0001),0)),0)</f>
        <v>0</v>
      </c>
      <c r="J107" s="230"/>
      <c r="K107" s="1233"/>
      <c r="L107" s="188"/>
      <c r="M107" s="857"/>
      <c r="N107" s="857"/>
      <c r="O107" s="857"/>
      <c r="P107" s="221"/>
      <c r="Q107" s="138"/>
      <c r="R107" s="134"/>
      <c r="S107" s="689"/>
      <c r="T107" s="134"/>
      <c r="U107" s="134"/>
      <c r="V107" s="134"/>
      <c r="W107" s="134"/>
      <c r="X107" s="134"/>
      <c r="Y107" s="134"/>
      <c r="Z107" s="134"/>
      <c r="AA107" s="134"/>
      <c r="AB107" s="134"/>
      <c r="AC107" s="134"/>
    </row>
    <row r="108" spans="1:29" ht="21" hidden="1" customHeight="1" x14ac:dyDescent="0.25">
      <c r="A108" s="1061"/>
      <c r="B108" s="246"/>
      <c r="C108" s="223"/>
      <c r="D108" s="1176"/>
      <c r="E108" s="223"/>
      <c r="F108" s="202"/>
      <c r="G108" s="231"/>
      <c r="H108" s="232"/>
      <c r="I108" s="233"/>
      <c r="J108" s="203"/>
      <c r="K108" s="204"/>
      <c r="L108" s="232"/>
      <c r="M108" s="204"/>
      <c r="N108" s="204"/>
      <c r="O108" s="204"/>
      <c r="P108" s="224"/>
      <c r="Q108" s="138"/>
      <c r="R108" s="134"/>
      <c r="S108" s="689"/>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89"/>
      <c r="T109" s="134"/>
      <c r="U109" s="134"/>
      <c r="V109" s="134"/>
      <c r="W109" s="134"/>
      <c r="X109" s="134"/>
      <c r="Y109" s="134"/>
      <c r="Z109" s="134"/>
      <c r="AA109" s="134"/>
      <c r="AB109" s="134"/>
      <c r="AC109" s="134"/>
    </row>
    <row r="110" spans="1:29" ht="20.25" customHeight="1" thickBot="1" x14ac:dyDescent="0.3">
      <c r="B110" s="249"/>
      <c r="C110" s="226"/>
      <c r="D110" s="1508" t="s">
        <v>1177</v>
      </c>
      <c r="E110" s="1508"/>
      <c r="F110" s="213"/>
      <c r="G110" s="236"/>
      <c r="H110" s="183"/>
      <c r="I110" s="237"/>
      <c r="J110" s="216"/>
      <c r="K110" s="217"/>
      <c r="L110" s="183"/>
      <c r="M110" s="217"/>
      <c r="N110" s="217"/>
      <c r="O110" s="217"/>
      <c r="P110" s="227"/>
      <c r="Q110" s="138"/>
      <c r="R110" s="134"/>
      <c r="S110" s="689"/>
      <c r="T110" s="134"/>
      <c r="U110" s="134"/>
      <c r="V110" s="134"/>
      <c r="W110" s="134"/>
      <c r="X110" s="134"/>
      <c r="Y110" s="134"/>
      <c r="Z110" s="134"/>
      <c r="AA110" s="134"/>
      <c r="AB110" s="134"/>
      <c r="AC110" s="134"/>
    </row>
    <row r="111" spans="1:29" ht="18" customHeight="1" thickBot="1" x14ac:dyDescent="0.3">
      <c r="B111" s="244"/>
      <c r="C111" s="41"/>
      <c r="D111" s="1170" t="s">
        <v>528</v>
      </c>
      <c r="E111" s="1083" t="s">
        <v>653</v>
      </c>
      <c r="F111" s="240"/>
      <c r="G111" s="229" t="s">
        <v>1479</v>
      </c>
      <c r="H111" s="642"/>
      <c r="I111" s="229" t="s">
        <v>1480</v>
      </c>
      <c r="J111" s="41"/>
      <c r="K111" s="229" t="s">
        <v>871</v>
      </c>
      <c r="L111" s="145"/>
      <c r="M111" s="194" t="s">
        <v>1481</v>
      </c>
      <c r="N111" s="218"/>
      <c r="O111" s="218"/>
      <c r="P111" s="221"/>
      <c r="Q111" s="138"/>
      <c r="R111" s="134"/>
      <c r="S111" s="689"/>
      <c r="T111" s="134"/>
      <c r="U111" s="134"/>
      <c r="V111" s="134"/>
      <c r="W111" s="134"/>
      <c r="X111" s="134"/>
      <c r="Y111" s="134"/>
      <c r="Z111" s="134"/>
      <c r="AA111" s="134"/>
      <c r="AB111" s="134"/>
      <c r="AC111" s="134"/>
    </row>
    <row r="112" spans="1:29" ht="18" customHeight="1" thickBot="1" x14ac:dyDescent="0.3">
      <c r="B112" s="244"/>
      <c r="C112" s="41"/>
      <c r="D112" s="1053" t="s">
        <v>1482</v>
      </c>
      <c r="E112" s="1139" t="s">
        <v>1483</v>
      </c>
      <c r="F112" s="196"/>
      <c r="G112" s="1231"/>
      <c r="H112" s="642"/>
      <c r="I112" s="1231"/>
      <c r="J112" s="145"/>
      <c r="K112" s="1231"/>
      <c r="L112" s="145"/>
      <c r="M112" s="1226"/>
      <c r="N112" s="218"/>
      <c r="O112" s="218"/>
      <c r="P112" s="221"/>
      <c r="Q112" s="138"/>
      <c r="R112" s="134"/>
      <c r="S112" s="689"/>
      <c r="T112" s="1067"/>
      <c r="U112" s="134"/>
      <c r="V112" s="134"/>
      <c r="W112" s="134"/>
      <c r="X112" s="134"/>
      <c r="Y112" s="134"/>
      <c r="Z112" s="134"/>
      <c r="AA112" s="134"/>
      <c r="AB112" s="134"/>
      <c r="AC112" s="134"/>
    </row>
    <row r="113" spans="2:29" ht="18" customHeight="1" thickBot="1" x14ac:dyDescent="0.3">
      <c r="B113" s="244"/>
      <c r="C113" s="41"/>
      <c r="D113" s="1177"/>
      <c r="E113" s="41"/>
      <c r="F113" s="145"/>
      <c r="G113" s="238"/>
      <c r="H113" s="188"/>
      <c r="I113" s="239"/>
      <c r="J113" s="197"/>
      <c r="K113" s="218"/>
      <c r="L113" s="188"/>
      <c r="M113" s="218"/>
      <c r="N113" s="218"/>
      <c r="O113" s="218"/>
      <c r="P113" s="221"/>
      <c r="Q113" s="138"/>
      <c r="R113" s="134"/>
      <c r="S113" s="688" t="str">
        <f>IF($E113="NO","",IF($I112="Select Payment Method","X",""))</f>
        <v/>
      </c>
      <c r="T113" s="134"/>
      <c r="U113" s="134"/>
      <c r="V113" s="134"/>
      <c r="W113" s="134"/>
      <c r="X113" s="134"/>
      <c r="Y113" s="134"/>
      <c r="Z113" s="134"/>
      <c r="AA113" s="134"/>
      <c r="AB113" s="134"/>
      <c r="AC113" s="134"/>
    </row>
    <row r="114" spans="2:29" ht="17.25" customHeight="1" thickBot="1" x14ac:dyDescent="0.3">
      <c r="B114" s="244"/>
      <c r="C114" s="41"/>
      <c r="D114" s="1060" t="s">
        <v>1484</v>
      </c>
      <c r="E114" s="1246" t="str">
        <f>IF(E111="Yes",IF(Welcome!$D$6="New",IF('Required Info to Submit'!F$14="","",'Required Info to Submit'!F$14),""),"")</f>
        <v/>
      </c>
      <c r="F114" s="240"/>
      <c r="G114" s="194" t="s">
        <v>1486</v>
      </c>
      <c r="H114" s="188"/>
      <c r="I114" s="194" t="s">
        <v>1487</v>
      </c>
      <c r="J114" s="195"/>
      <c r="K114" s="194" t="s">
        <v>1488</v>
      </c>
      <c r="L114" s="188"/>
      <c r="M114" s="195"/>
      <c r="N114" s="195"/>
      <c r="O114" s="6" t="s">
        <v>493</v>
      </c>
      <c r="P114" s="221"/>
      <c r="Q114" s="138"/>
      <c r="R114" s="134"/>
      <c r="S114" s="689"/>
      <c r="T114" s="134"/>
      <c r="U114" s="134"/>
      <c r="V114" s="134"/>
      <c r="W114" s="134"/>
      <c r="X114" s="134"/>
      <c r="Y114" s="134"/>
      <c r="Z114" s="134"/>
      <c r="AA114" s="134"/>
      <c r="AB114" s="134"/>
      <c r="AC114" s="134"/>
    </row>
    <row r="115" spans="2:29" ht="30.75" customHeight="1" thickBot="1" x14ac:dyDescent="0.3">
      <c r="B115" s="244"/>
      <c r="C115" s="41"/>
      <c r="D115" s="1060" t="s">
        <v>1485</v>
      </c>
      <c r="E115" s="1246" t="str">
        <f>IF(E111="Yes",IF(Welcome!$D$6="New",IF('Required Info to Submit'!F$17="","",'Required Info to Submit'!F$17),""),"")</f>
        <v/>
      </c>
      <c r="F115" s="1055" t="str">
        <f>'Incentives Worksheet'!G245</f>
        <v>Weekly Baseline</v>
      </c>
      <c r="G115" s="1236"/>
      <c r="H115" s="188"/>
      <c r="I115" s="1163" t="str">
        <f>IF(E111="Yes",999999999.99,"")</f>
        <v/>
      </c>
      <c r="J115" s="230"/>
      <c r="K115" s="1233"/>
      <c r="L115" s="188"/>
      <c r="M115" s="195"/>
      <c r="N115" s="197"/>
      <c r="O115" s="1160">
        <f>IF(E111="No",0,IF(((H10-(G115*52))*K115)&lt;0,0,((H10-(G115*52))*K115)))</f>
        <v>0</v>
      </c>
      <c r="P115" s="221"/>
      <c r="Q115" s="138"/>
      <c r="R115" s="1034"/>
      <c r="S115" s="690"/>
    </row>
    <row r="116" spans="2:29" ht="21" customHeight="1" x14ac:dyDescent="0.25">
      <c r="B116" s="246"/>
      <c r="C116" s="223"/>
      <c r="D116" s="1176"/>
      <c r="E116" s="223"/>
      <c r="F116" s="223"/>
      <c r="G116" s="781"/>
      <c r="H116" s="223"/>
      <c r="I116" s="241"/>
      <c r="J116" s="223"/>
      <c r="K116" s="223"/>
      <c r="L116" s="223"/>
      <c r="M116" s="223"/>
      <c r="N116" s="223"/>
      <c r="O116" s="223"/>
      <c r="P116" s="224"/>
      <c r="Q116" s="138"/>
      <c r="R116" s="1034"/>
      <c r="S116" s="690"/>
    </row>
    <row r="117" spans="2:29" ht="10.15" customHeight="1" x14ac:dyDescent="0.25">
      <c r="C117" s="134"/>
      <c r="D117" s="136"/>
      <c r="E117" s="134"/>
      <c r="F117" s="180"/>
      <c r="G117" s="234"/>
      <c r="H117" s="177"/>
      <c r="I117" s="235"/>
      <c r="J117" s="211"/>
      <c r="K117" s="212"/>
      <c r="L117" s="177"/>
      <c r="M117" s="212"/>
      <c r="N117" s="212"/>
      <c r="O117" s="212"/>
      <c r="P117" s="141"/>
      <c r="Q117" s="138"/>
      <c r="R117" s="134"/>
      <c r="S117" s="689"/>
      <c r="T117" s="134"/>
      <c r="U117" s="134"/>
      <c r="V117" s="134"/>
      <c r="W117" s="134"/>
      <c r="X117" s="134"/>
      <c r="Y117" s="134"/>
      <c r="Z117" s="134"/>
      <c r="AA117" s="134"/>
      <c r="AB117" s="134"/>
      <c r="AC117" s="134"/>
    </row>
    <row r="118" spans="2:29" s="1290" customFormat="1" ht="20.25" hidden="1" customHeight="1" thickBot="1" x14ac:dyDescent="0.3">
      <c r="B118" s="249"/>
      <c r="C118" s="226"/>
      <c r="D118" s="1508" t="s">
        <v>1177</v>
      </c>
      <c r="E118" s="1508"/>
      <c r="F118" s="213"/>
      <c r="G118" s="236"/>
      <c r="H118" s="183"/>
      <c r="I118" s="237"/>
      <c r="J118" s="216"/>
      <c r="K118" s="217"/>
      <c r="L118" s="183"/>
      <c r="M118" s="217"/>
      <c r="N118" s="217"/>
      <c r="O118" s="217"/>
      <c r="P118" s="227"/>
      <c r="Q118" s="138"/>
      <c r="R118" s="134"/>
      <c r="S118" s="689"/>
      <c r="T118" s="134"/>
      <c r="U118" s="134"/>
      <c r="V118" s="134"/>
      <c r="W118" s="134"/>
      <c r="X118" s="134"/>
      <c r="Y118" s="134"/>
      <c r="Z118" s="134"/>
      <c r="AA118" s="134"/>
      <c r="AB118" s="134"/>
      <c r="AC118" s="134"/>
    </row>
    <row r="119" spans="2:29" s="1290" customFormat="1" ht="18" hidden="1" customHeight="1" thickBot="1" x14ac:dyDescent="0.3">
      <c r="B119" s="244"/>
      <c r="C119" s="41"/>
      <c r="D119" s="1170" t="s">
        <v>528</v>
      </c>
      <c r="E119" s="1083" t="s">
        <v>653</v>
      </c>
      <c r="F119" s="240"/>
      <c r="G119" s="229" t="s">
        <v>1479</v>
      </c>
      <c r="H119" s="642"/>
      <c r="I119" s="229" t="s">
        <v>1480</v>
      </c>
      <c r="J119" s="41"/>
      <c r="K119" s="229" t="s">
        <v>871</v>
      </c>
      <c r="L119" s="1129"/>
      <c r="M119" s="194" t="s">
        <v>1481</v>
      </c>
      <c r="N119" s="218"/>
      <c r="O119" s="218"/>
      <c r="P119" s="221"/>
      <c r="Q119" s="138"/>
      <c r="R119" s="134"/>
      <c r="S119" s="689"/>
      <c r="T119" s="134"/>
      <c r="U119" s="134"/>
      <c r="V119" s="134"/>
      <c r="W119" s="134"/>
      <c r="X119" s="134"/>
      <c r="Y119" s="134"/>
      <c r="Z119" s="134"/>
      <c r="AA119" s="134"/>
      <c r="AB119" s="134"/>
      <c r="AC119" s="134"/>
    </row>
    <row r="120" spans="2:29" s="1290" customFormat="1" ht="18" hidden="1" customHeight="1" thickBot="1" x14ac:dyDescent="0.3">
      <c r="B120" s="244"/>
      <c r="C120" s="41"/>
      <c r="D120" s="1053" t="s">
        <v>1482</v>
      </c>
      <c r="E120" s="1139" t="s">
        <v>1483</v>
      </c>
      <c r="F120" s="196"/>
      <c r="G120" s="1231"/>
      <c r="H120" s="642"/>
      <c r="I120" s="1231"/>
      <c r="J120" s="1129"/>
      <c r="K120" s="1231"/>
      <c r="L120" s="1129"/>
      <c r="M120" s="1226"/>
      <c r="N120" s="218"/>
      <c r="O120" s="218"/>
      <c r="P120" s="221"/>
      <c r="Q120" s="138"/>
      <c r="R120" s="134"/>
      <c r="S120" s="689"/>
      <c r="T120" s="1067"/>
      <c r="U120" s="134"/>
      <c r="V120" s="134"/>
      <c r="W120" s="134"/>
      <c r="X120" s="134"/>
      <c r="Y120" s="134"/>
      <c r="Z120" s="134"/>
      <c r="AA120" s="134"/>
      <c r="AB120" s="134"/>
      <c r="AC120" s="134"/>
    </row>
    <row r="121" spans="2:29" s="1290" customFormat="1" ht="18" hidden="1" customHeight="1" thickBot="1" x14ac:dyDescent="0.3">
      <c r="B121" s="244"/>
      <c r="C121" s="41"/>
      <c r="D121" s="1177"/>
      <c r="E121" s="41"/>
      <c r="F121" s="1129"/>
      <c r="G121" s="238"/>
      <c r="H121" s="188"/>
      <c r="I121" s="239"/>
      <c r="J121" s="197"/>
      <c r="K121" s="218"/>
      <c r="L121" s="188"/>
      <c r="M121" s="218"/>
      <c r="N121" s="218"/>
      <c r="O121" s="218"/>
      <c r="P121" s="221"/>
      <c r="Q121" s="138"/>
      <c r="R121" s="134"/>
      <c r="S121" s="688" t="str">
        <f>IF($E121="NO","",IF($I120="Select Payment Method","X",""))</f>
        <v/>
      </c>
      <c r="T121" s="134"/>
      <c r="U121" s="134"/>
      <c r="V121" s="134"/>
      <c r="W121" s="134"/>
      <c r="X121" s="134"/>
      <c r="Y121" s="134"/>
      <c r="Z121" s="134"/>
      <c r="AA121" s="134"/>
      <c r="AB121" s="134"/>
      <c r="AC121" s="134"/>
    </row>
    <row r="122" spans="2:29" s="1290" customFormat="1" ht="17.25" hidden="1" customHeight="1" thickBot="1" x14ac:dyDescent="0.3">
      <c r="B122" s="244"/>
      <c r="C122" s="41"/>
      <c r="D122" s="1060" t="s">
        <v>1484</v>
      </c>
      <c r="E122" s="1246" t="str">
        <f>IF(E119="Yes",IF(Welcome!$D$6="New",IF('Required Info to Submit'!F$14="","",'Required Info to Submit'!F$14),""),"")</f>
        <v/>
      </c>
      <c r="F122" s="240"/>
      <c r="G122" s="194" t="s">
        <v>1486</v>
      </c>
      <c r="H122" s="188"/>
      <c r="I122" s="194" t="s">
        <v>1487</v>
      </c>
      <c r="J122" s="195"/>
      <c r="K122" s="194" t="s">
        <v>1488</v>
      </c>
      <c r="L122" s="188"/>
      <c r="M122" s="195"/>
      <c r="N122" s="195"/>
      <c r="O122" s="6" t="s">
        <v>493</v>
      </c>
      <c r="P122" s="221"/>
      <c r="Q122" s="138"/>
      <c r="R122" s="134"/>
      <c r="S122" s="689"/>
      <c r="T122" s="134"/>
      <c r="U122" s="134"/>
      <c r="V122" s="134"/>
      <c r="W122" s="134"/>
      <c r="X122" s="134"/>
      <c r="Y122" s="134"/>
      <c r="Z122" s="134"/>
      <c r="AA122" s="134"/>
      <c r="AB122" s="134"/>
      <c r="AC122" s="134"/>
    </row>
    <row r="123" spans="2:29" s="1290" customFormat="1" ht="27.75" hidden="1" customHeight="1" thickBot="1" x14ac:dyDescent="0.3">
      <c r="B123" s="244"/>
      <c r="C123" s="41"/>
      <c r="D123" s="1060" t="s">
        <v>1485</v>
      </c>
      <c r="E123" s="1246" t="str">
        <f>IF(E119="Yes",IF(Welcome!$D$6="New",IF('Required Info to Submit'!F$17="","",'Required Info to Submit'!F$17),""),"")</f>
        <v/>
      </c>
      <c r="F123" s="1055" t="str">
        <f>'Incentives Worksheet'!G259</f>
        <v>Weekly Baseline</v>
      </c>
      <c r="G123" s="1236"/>
      <c r="H123" s="188"/>
      <c r="I123" s="1235" t="str">
        <f>IF(E119="Yes",999999999.99,"")</f>
        <v/>
      </c>
      <c r="J123" s="230"/>
      <c r="K123" s="1233"/>
      <c r="L123" s="188"/>
      <c r="M123" s="195"/>
      <c r="N123" s="197"/>
      <c r="O123" s="1160">
        <f>IF(E119="No",0,IF(((H18-(G123*52))*K123)&lt;0,0,((H18-(G123*52))*K123)))</f>
        <v>0</v>
      </c>
      <c r="P123" s="221"/>
      <c r="Q123" s="138"/>
      <c r="S123" s="690"/>
    </row>
    <row r="124" spans="2:29" s="1290" customFormat="1" ht="21" hidden="1" customHeight="1" x14ac:dyDescent="0.25">
      <c r="B124" s="246"/>
      <c r="C124" s="223"/>
      <c r="D124" s="1176"/>
      <c r="E124" s="223"/>
      <c r="F124" s="223"/>
      <c r="G124" s="781"/>
      <c r="H124" s="223"/>
      <c r="I124" s="241"/>
      <c r="J124" s="223"/>
      <c r="K124" s="223"/>
      <c r="L124" s="223"/>
      <c r="M124" s="223"/>
      <c r="N124" s="223"/>
      <c r="O124" s="223"/>
      <c r="P124" s="224"/>
      <c r="Q124" s="138"/>
      <c r="S124" s="690"/>
    </row>
    <row r="125" spans="2:29" s="1290" customFormat="1" ht="10.15" hidden="1" customHeight="1" x14ac:dyDescent="0.25">
      <c r="C125" s="134"/>
      <c r="D125" s="136"/>
      <c r="E125" s="134"/>
      <c r="F125" s="180"/>
      <c r="G125" s="234"/>
      <c r="H125" s="177"/>
      <c r="I125" s="235"/>
      <c r="J125" s="211"/>
      <c r="K125" s="212"/>
      <c r="L125" s="177"/>
      <c r="M125" s="212"/>
      <c r="N125" s="212"/>
      <c r="O125" s="212"/>
      <c r="P125" s="141"/>
      <c r="Q125" s="138"/>
      <c r="R125" s="134"/>
      <c r="S125" s="689"/>
      <c r="T125" s="134"/>
      <c r="U125" s="134"/>
      <c r="V125" s="134"/>
      <c r="W125" s="134"/>
      <c r="X125" s="134"/>
      <c r="Y125" s="134"/>
      <c r="Z125" s="134"/>
      <c r="AA125" s="134"/>
      <c r="AB125" s="134"/>
      <c r="AC125" s="134"/>
    </row>
    <row r="126" spans="2:29" s="1290" customFormat="1" ht="20.25" hidden="1" customHeight="1" thickBot="1" x14ac:dyDescent="0.3">
      <c r="B126" s="249"/>
      <c r="C126" s="226"/>
      <c r="D126" s="1508" t="s">
        <v>1177</v>
      </c>
      <c r="E126" s="1508"/>
      <c r="F126" s="213"/>
      <c r="G126" s="236"/>
      <c r="H126" s="183"/>
      <c r="I126" s="237"/>
      <c r="J126" s="216"/>
      <c r="K126" s="217"/>
      <c r="L126" s="183"/>
      <c r="M126" s="217"/>
      <c r="N126" s="217"/>
      <c r="O126" s="217"/>
      <c r="P126" s="227"/>
      <c r="Q126" s="138"/>
      <c r="R126" s="134"/>
      <c r="S126" s="689"/>
      <c r="T126" s="134"/>
      <c r="U126" s="134"/>
      <c r="V126" s="134"/>
      <c r="W126" s="134"/>
      <c r="X126" s="134"/>
      <c r="Y126" s="134"/>
      <c r="Z126" s="134"/>
      <c r="AA126" s="134"/>
      <c r="AB126" s="134"/>
      <c r="AC126" s="134"/>
    </row>
    <row r="127" spans="2:29" s="1290" customFormat="1" ht="18" hidden="1" customHeight="1" thickBot="1" x14ac:dyDescent="0.3">
      <c r="B127" s="244"/>
      <c r="C127" s="41"/>
      <c r="D127" s="1170" t="s">
        <v>528</v>
      </c>
      <c r="E127" s="1083" t="s">
        <v>653</v>
      </c>
      <c r="F127" s="240"/>
      <c r="G127" s="229" t="s">
        <v>1479</v>
      </c>
      <c r="H127" s="642"/>
      <c r="I127" s="229" t="s">
        <v>1480</v>
      </c>
      <c r="J127" s="41"/>
      <c r="K127" s="229" t="s">
        <v>871</v>
      </c>
      <c r="L127" s="1129"/>
      <c r="M127" s="194" t="s">
        <v>1481</v>
      </c>
      <c r="N127" s="218"/>
      <c r="O127" s="218"/>
      <c r="P127" s="221"/>
      <c r="Q127" s="138"/>
      <c r="R127" s="134"/>
      <c r="S127" s="689"/>
      <c r="T127" s="134"/>
      <c r="U127" s="134"/>
      <c r="V127" s="134"/>
      <c r="W127" s="134"/>
      <c r="X127" s="134"/>
      <c r="Y127" s="134"/>
      <c r="Z127" s="134"/>
      <c r="AA127" s="134"/>
      <c r="AB127" s="134"/>
      <c r="AC127" s="134"/>
    </row>
    <row r="128" spans="2:29" s="1290" customFormat="1" ht="18" hidden="1" customHeight="1" thickBot="1" x14ac:dyDescent="0.3">
      <c r="B128" s="244"/>
      <c r="C128" s="41"/>
      <c r="D128" s="1053" t="s">
        <v>1482</v>
      </c>
      <c r="E128" s="1139" t="s">
        <v>1483</v>
      </c>
      <c r="F128" s="196"/>
      <c r="G128" s="1231"/>
      <c r="H128" s="642"/>
      <c r="I128" s="1231"/>
      <c r="J128" s="1129"/>
      <c r="K128" s="1231"/>
      <c r="L128" s="1129"/>
      <c r="M128" s="1226"/>
      <c r="N128" s="218"/>
      <c r="O128" s="218"/>
      <c r="P128" s="221"/>
      <c r="Q128" s="138"/>
      <c r="R128" s="134"/>
      <c r="S128" s="689"/>
      <c r="T128" s="1067"/>
      <c r="U128" s="134"/>
      <c r="V128" s="134"/>
      <c r="W128" s="134"/>
      <c r="X128" s="134"/>
      <c r="Y128" s="134"/>
      <c r="Z128" s="134"/>
      <c r="AA128" s="134"/>
      <c r="AB128" s="134"/>
      <c r="AC128" s="134"/>
    </row>
    <row r="129" spans="2:29" s="1290" customFormat="1" ht="18" hidden="1" customHeight="1" thickBot="1" x14ac:dyDescent="0.3">
      <c r="B129" s="244"/>
      <c r="C129" s="41"/>
      <c r="D129" s="1177"/>
      <c r="E129" s="41"/>
      <c r="F129" s="1129"/>
      <c r="G129" s="238"/>
      <c r="H129" s="188"/>
      <c r="I129" s="239"/>
      <c r="J129" s="197"/>
      <c r="K129" s="218"/>
      <c r="L129" s="188"/>
      <c r="M129" s="218"/>
      <c r="N129" s="218"/>
      <c r="O129" s="218"/>
      <c r="P129" s="221"/>
      <c r="Q129" s="138"/>
      <c r="R129" s="134"/>
      <c r="S129" s="688" t="str">
        <f>IF($E129="NO","",IF($I128="Select Payment Method","X",""))</f>
        <v/>
      </c>
      <c r="T129" s="134"/>
      <c r="U129" s="134"/>
      <c r="V129" s="134"/>
      <c r="W129" s="134"/>
      <c r="X129" s="134"/>
      <c r="Y129" s="134"/>
      <c r="Z129" s="134"/>
      <c r="AA129" s="134"/>
      <c r="AB129" s="134"/>
      <c r="AC129" s="134"/>
    </row>
    <row r="130" spans="2:29" s="1290" customFormat="1" ht="17.25" hidden="1" customHeight="1" thickBot="1" x14ac:dyDescent="0.3">
      <c r="B130" s="244"/>
      <c r="C130" s="41"/>
      <c r="D130" s="1060" t="s">
        <v>1484</v>
      </c>
      <c r="E130" s="1246" t="str">
        <f>IF(E127="Yes",IF(Welcome!$D$6="New",IF('Required Info to Submit'!F$14="","",'Required Info to Submit'!F$14),""),"")</f>
        <v/>
      </c>
      <c r="F130" s="240"/>
      <c r="G130" s="194" t="s">
        <v>1486</v>
      </c>
      <c r="H130" s="188"/>
      <c r="I130" s="194" t="s">
        <v>1487</v>
      </c>
      <c r="J130" s="195"/>
      <c r="K130" s="194" t="s">
        <v>1488</v>
      </c>
      <c r="L130" s="188"/>
      <c r="M130" s="195"/>
      <c r="N130" s="195"/>
      <c r="O130" s="6" t="s">
        <v>493</v>
      </c>
      <c r="P130" s="221"/>
      <c r="Q130" s="138"/>
      <c r="R130" s="134"/>
      <c r="S130" s="689"/>
      <c r="T130" s="134"/>
      <c r="U130" s="134"/>
      <c r="V130" s="134"/>
      <c r="W130" s="134"/>
      <c r="X130" s="134"/>
      <c r="Y130" s="134"/>
      <c r="Z130" s="134"/>
      <c r="AA130" s="134"/>
      <c r="AB130" s="134"/>
      <c r="AC130" s="134"/>
    </row>
    <row r="131" spans="2:29" s="1290" customFormat="1" ht="27.75" hidden="1" customHeight="1" thickBot="1" x14ac:dyDescent="0.3">
      <c r="B131" s="244"/>
      <c r="C131" s="41"/>
      <c r="D131" s="1060" t="s">
        <v>1485</v>
      </c>
      <c r="E131" s="1246" t="str">
        <f>IF(E127="Yes",IF(Welcome!$D$6="New",IF('Required Info to Submit'!F$17="","",'Required Info to Submit'!F$17),""),"")</f>
        <v/>
      </c>
      <c r="F131" s="1055" t="str">
        <f>'Incentives Worksheet'!G273</f>
        <v>Weekly Baseline</v>
      </c>
      <c r="G131" s="1236"/>
      <c r="H131" s="188"/>
      <c r="I131" s="1235" t="str">
        <f>IF(E127="Yes",999999999.99,"")</f>
        <v/>
      </c>
      <c r="J131" s="230"/>
      <c r="K131" s="1233"/>
      <c r="L131" s="188"/>
      <c r="M131" s="195"/>
      <c r="N131" s="197"/>
      <c r="O131" s="1160">
        <f>IF(E127="No",0,IF(((H26-(G131*52))*K131)&lt;0,0,((H26-(G131*52))*K131)))</f>
        <v>0</v>
      </c>
      <c r="P131" s="221"/>
      <c r="Q131" s="138"/>
      <c r="S131" s="690"/>
    </row>
    <row r="132" spans="2:29" s="1290" customFormat="1" ht="21" hidden="1" customHeight="1" x14ac:dyDescent="0.25">
      <c r="B132" s="246"/>
      <c r="C132" s="223"/>
      <c r="D132" s="1176"/>
      <c r="E132" s="223"/>
      <c r="F132" s="223"/>
      <c r="G132" s="781"/>
      <c r="H132" s="223"/>
      <c r="I132" s="241"/>
      <c r="J132" s="223"/>
      <c r="K132" s="223"/>
      <c r="L132" s="223"/>
      <c r="M132" s="223"/>
      <c r="N132" s="223"/>
      <c r="O132" s="223"/>
      <c r="P132" s="224"/>
      <c r="Q132" s="138"/>
      <c r="S132" s="690"/>
    </row>
    <row r="133" spans="2:29" s="1290" customFormat="1" ht="10.15" hidden="1" customHeight="1" x14ac:dyDescent="0.25">
      <c r="C133" s="134"/>
      <c r="D133" s="136"/>
      <c r="E133" s="134"/>
      <c r="F133" s="180"/>
      <c r="G133" s="234"/>
      <c r="H133" s="177"/>
      <c r="I133" s="235"/>
      <c r="J133" s="211"/>
      <c r="K133" s="212"/>
      <c r="L133" s="177"/>
      <c r="M133" s="212"/>
      <c r="N133" s="212"/>
      <c r="O133" s="212"/>
      <c r="P133" s="141"/>
      <c r="Q133" s="138"/>
      <c r="R133" s="134"/>
      <c r="S133" s="689"/>
      <c r="T133" s="134"/>
      <c r="U133" s="134"/>
      <c r="V133" s="134"/>
      <c r="W133" s="134"/>
      <c r="X133" s="134"/>
      <c r="Y133" s="134"/>
      <c r="Z133" s="134"/>
      <c r="AA133" s="134"/>
      <c r="AB133" s="134"/>
      <c r="AC133" s="134"/>
    </row>
    <row r="134" spans="2:29" s="1290" customFormat="1" ht="20.25" hidden="1" customHeight="1" thickBot="1" x14ac:dyDescent="0.3">
      <c r="B134" s="249"/>
      <c r="C134" s="226"/>
      <c r="D134" s="1508" t="s">
        <v>1177</v>
      </c>
      <c r="E134" s="1508"/>
      <c r="F134" s="213"/>
      <c r="G134" s="236"/>
      <c r="H134" s="183"/>
      <c r="I134" s="237"/>
      <c r="J134" s="216"/>
      <c r="K134" s="217"/>
      <c r="L134" s="183"/>
      <c r="M134" s="217"/>
      <c r="N134" s="217"/>
      <c r="O134" s="217"/>
      <c r="P134" s="227"/>
      <c r="Q134" s="138"/>
      <c r="R134" s="134"/>
      <c r="S134" s="689"/>
      <c r="T134" s="134"/>
      <c r="U134" s="134"/>
      <c r="V134" s="134"/>
      <c r="W134" s="134"/>
      <c r="X134" s="134"/>
      <c r="Y134" s="134"/>
      <c r="Z134" s="134"/>
      <c r="AA134" s="134"/>
      <c r="AB134" s="134"/>
      <c r="AC134" s="134"/>
    </row>
    <row r="135" spans="2:29" s="1290" customFormat="1" ht="18" hidden="1" customHeight="1" thickBot="1" x14ac:dyDescent="0.3">
      <c r="B135" s="244"/>
      <c r="C135" s="41"/>
      <c r="D135" s="1170" t="s">
        <v>528</v>
      </c>
      <c r="E135" s="1083" t="s">
        <v>653</v>
      </c>
      <c r="F135" s="240"/>
      <c r="G135" s="229" t="s">
        <v>1479</v>
      </c>
      <c r="H135" s="642"/>
      <c r="I135" s="229" t="s">
        <v>1480</v>
      </c>
      <c r="J135" s="41"/>
      <c r="K135" s="229" t="s">
        <v>871</v>
      </c>
      <c r="L135" s="1129"/>
      <c r="M135" s="194" t="s">
        <v>1481</v>
      </c>
      <c r="N135" s="218"/>
      <c r="O135" s="218"/>
      <c r="P135" s="221"/>
      <c r="Q135" s="138"/>
      <c r="R135" s="134"/>
      <c r="S135" s="689"/>
      <c r="T135" s="134"/>
      <c r="U135" s="134"/>
      <c r="V135" s="134"/>
      <c r="W135" s="134"/>
      <c r="X135" s="134"/>
      <c r="Y135" s="134"/>
      <c r="Z135" s="134"/>
      <c r="AA135" s="134"/>
      <c r="AB135" s="134"/>
      <c r="AC135" s="134"/>
    </row>
    <row r="136" spans="2:29" s="1290" customFormat="1" ht="18" hidden="1" customHeight="1" thickBot="1" x14ac:dyDescent="0.3">
      <c r="B136" s="244"/>
      <c r="C136" s="41"/>
      <c r="D136" s="1053" t="s">
        <v>1482</v>
      </c>
      <c r="E136" s="1139" t="s">
        <v>1483</v>
      </c>
      <c r="F136" s="196"/>
      <c r="G136" s="1231"/>
      <c r="H136" s="642"/>
      <c r="I136" s="1231"/>
      <c r="J136" s="1129"/>
      <c r="K136" s="1231"/>
      <c r="L136" s="1129"/>
      <c r="M136" s="1226"/>
      <c r="N136" s="218"/>
      <c r="O136" s="218"/>
      <c r="P136" s="221"/>
      <c r="Q136" s="138"/>
      <c r="R136" s="134"/>
      <c r="S136" s="689"/>
      <c r="T136" s="1067"/>
      <c r="U136" s="134"/>
      <c r="V136" s="134"/>
      <c r="W136" s="134"/>
      <c r="X136" s="134"/>
      <c r="Y136" s="134"/>
      <c r="Z136" s="134"/>
      <c r="AA136" s="134"/>
      <c r="AB136" s="134"/>
      <c r="AC136" s="134"/>
    </row>
    <row r="137" spans="2:29" s="1290" customFormat="1" ht="18" hidden="1" customHeight="1" thickBot="1" x14ac:dyDescent="0.3">
      <c r="B137" s="244"/>
      <c r="C137" s="41"/>
      <c r="D137" s="1177"/>
      <c r="E137" s="41"/>
      <c r="F137" s="1129"/>
      <c r="G137" s="238"/>
      <c r="H137" s="188"/>
      <c r="I137" s="239"/>
      <c r="J137" s="197"/>
      <c r="K137" s="218"/>
      <c r="L137" s="188"/>
      <c r="M137" s="218"/>
      <c r="N137" s="218"/>
      <c r="O137" s="218"/>
      <c r="P137" s="221"/>
      <c r="Q137" s="138"/>
      <c r="R137" s="134"/>
      <c r="S137" s="688" t="str">
        <f>IF($E137="NO","",IF($I136="Select Payment Method","X",""))</f>
        <v/>
      </c>
      <c r="T137" s="134"/>
      <c r="U137" s="134"/>
      <c r="V137" s="134"/>
      <c r="W137" s="134"/>
      <c r="X137" s="134"/>
      <c r="Y137" s="134"/>
      <c r="Z137" s="134"/>
      <c r="AA137" s="134"/>
      <c r="AB137" s="134"/>
      <c r="AC137" s="134"/>
    </row>
    <row r="138" spans="2:29" s="1290" customFormat="1" ht="17.25" hidden="1" customHeight="1" thickBot="1" x14ac:dyDescent="0.3">
      <c r="B138" s="244"/>
      <c r="C138" s="41"/>
      <c r="D138" s="1060" t="s">
        <v>1484</v>
      </c>
      <c r="E138" s="1246" t="str">
        <f>IF(E135="Yes",IF(Welcome!$D$6="New",IF('Required Info to Submit'!F$14="","",'Required Info to Submit'!F$14),""),"")</f>
        <v/>
      </c>
      <c r="F138" s="240"/>
      <c r="G138" s="194" t="s">
        <v>1486</v>
      </c>
      <c r="H138" s="188"/>
      <c r="I138" s="194" t="s">
        <v>1487</v>
      </c>
      <c r="J138" s="195"/>
      <c r="K138" s="194" t="s">
        <v>1488</v>
      </c>
      <c r="L138" s="188"/>
      <c r="M138" s="195"/>
      <c r="N138" s="195"/>
      <c r="O138" s="6" t="s">
        <v>493</v>
      </c>
      <c r="P138" s="221"/>
      <c r="Q138" s="138"/>
      <c r="R138" s="134"/>
      <c r="S138" s="689"/>
      <c r="T138" s="134"/>
      <c r="U138" s="134"/>
      <c r="V138" s="134"/>
      <c r="W138" s="134"/>
      <c r="X138" s="134"/>
      <c r="Y138" s="134"/>
      <c r="Z138" s="134"/>
      <c r="AA138" s="134"/>
      <c r="AB138" s="134"/>
      <c r="AC138" s="134"/>
    </row>
    <row r="139" spans="2:29" s="1290" customFormat="1" ht="27.75" hidden="1" customHeight="1" thickBot="1" x14ac:dyDescent="0.3">
      <c r="B139" s="244"/>
      <c r="C139" s="41"/>
      <c r="D139" s="1060" t="s">
        <v>1485</v>
      </c>
      <c r="E139" s="1246" t="str">
        <f>IF(E135="Yes",IF(Welcome!$D$6="New",IF('Required Info to Submit'!F$17="","",'Required Info to Submit'!F$17),""),"")</f>
        <v/>
      </c>
      <c r="F139" s="1055" t="str">
        <f>'Incentives Worksheet'!G287</f>
        <v>Weekly Baseline</v>
      </c>
      <c r="G139" s="1236"/>
      <c r="H139" s="188"/>
      <c r="I139" s="1235" t="str">
        <f>IF(E135="Yes",999999999.99,"")</f>
        <v/>
      </c>
      <c r="J139" s="230"/>
      <c r="K139" s="1233"/>
      <c r="L139" s="188"/>
      <c r="M139" s="195"/>
      <c r="N139" s="197"/>
      <c r="O139" s="1160">
        <f>IF(E135="No",0,IF(((H26-(G139*52))*K139)&lt;0,0,((H26-(G139*52))*K139)))</f>
        <v>0</v>
      </c>
      <c r="P139" s="221"/>
      <c r="Q139" s="138"/>
      <c r="S139" s="690"/>
    </row>
    <row r="140" spans="2:29" s="1290" customFormat="1" ht="21" hidden="1" customHeight="1" x14ac:dyDescent="0.25">
      <c r="B140" s="246"/>
      <c r="C140" s="223"/>
      <c r="D140" s="1176"/>
      <c r="E140" s="223"/>
      <c r="F140" s="223"/>
      <c r="G140" s="781"/>
      <c r="H140" s="223"/>
      <c r="I140" s="241"/>
      <c r="J140" s="223"/>
      <c r="K140" s="223"/>
      <c r="L140" s="223"/>
      <c r="M140" s="223"/>
      <c r="N140" s="223"/>
      <c r="O140" s="223"/>
      <c r="P140" s="224"/>
      <c r="Q140" s="138"/>
      <c r="S140" s="690"/>
    </row>
    <row r="141" spans="2:29" s="1290" customFormat="1" ht="10.15" hidden="1" customHeight="1" x14ac:dyDescent="0.25">
      <c r="C141" s="134"/>
      <c r="D141" s="136"/>
      <c r="E141" s="134"/>
      <c r="F141" s="180"/>
      <c r="G141" s="234"/>
      <c r="H141" s="177"/>
      <c r="I141" s="235"/>
      <c r="J141" s="211"/>
      <c r="K141" s="212"/>
      <c r="L141" s="177"/>
      <c r="M141" s="212"/>
      <c r="N141" s="212"/>
      <c r="O141" s="212"/>
      <c r="P141" s="141"/>
      <c r="Q141" s="138"/>
      <c r="R141" s="134"/>
      <c r="S141" s="689"/>
      <c r="T141" s="134"/>
      <c r="U141" s="134"/>
      <c r="V141" s="134"/>
      <c r="W141" s="134"/>
      <c r="X141" s="134"/>
      <c r="Y141" s="134"/>
      <c r="Z141" s="134"/>
      <c r="AA141" s="134"/>
      <c r="AB141" s="134"/>
      <c r="AC141" s="134"/>
    </row>
    <row r="142" spans="2:29" s="1290" customFormat="1" ht="20.25" hidden="1" customHeight="1" thickBot="1" x14ac:dyDescent="0.3">
      <c r="B142" s="249"/>
      <c r="C142" s="226"/>
      <c r="D142" s="1508" t="s">
        <v>1177</v>
      </c>
      <c r="E142" s="1508"/>
      <c r="F142" s="213"/>
      <c r="G142" s="236"/>
      <c r="H142" s="183"/>
      <c r="I142" s="237"/>
      <c r="J142" s="216"/>
      <c r="K142" s="217"/>
      <c r="L142" s="183"/>
      <c r="M142" s="217"/>
      <c r="N142" s="217"/>
      <c r="O142" s="217"/>
      <c r="P142" s="227"/>
      <c r="Q142" s="138"/>
      <c r="R142" s="134"/>
      <c r="S142" s="689"/>
      <c r="T142" s="134"/>
      <c r="U142" s="134"/>
      <c r="V142" s="134"/>
      <c r="W142" s="134"/>
      <c r="X142" s="134"/>
      <c r="Y142" s="134"/>
      <c r="Z142" s="134"/>
      <c r="AA142" s="134"/>
      <c r="AB142" s="134"/>
      <c r="AC142" s="134"/>
    </row>
    <row r="143" spans="2:29" s="1290" customFormat="1" ht="18" hidden="1" customHeight="1" thickBot="1" x14ac:dyDescent="0.3">
      <c r="B143" s="244"/>
      <c r="C143" s="41"/>
      <c r="D143" s="1170" t="s">
        <v>528</v>
      </c>
      <c r="E143" s="1083" t="s">
        <v>653</v>
      </c>
      <c r="F143" s="240"/>
      <c r="G143" s="229" t="s">
        <v>1479</v>
      </c>
      <c r="H143" s="642"/>
      <c r="I143" s="229" t="s">
        <v>1480</v>
      </c>
      <c r="J143" s="41"/>
      <c r="K143" s="229" t="s">
        <v>871</v>
      </c>
      <c r="L143" s="1129"/>
      <c r="M143" s="194" t="s">
        <v>1481</v>
      </c>
      <c r="N143" s="218"/>
      <c r="O143" s="218"/>
      <c r="P143" s="221"/>
      <c r="Q143" s="138"/>
      <c r="R143" s="134"/>
      <c r="S143" s="689"/>
      <c r="T143" s="134"/>
      <c r="U143" s="134"/>
      <c r="V143" s="134"/>
      <c r="W143" s="134"/>
      <c r="X143" s="134"/>
      <c r="Y143" s="134"/>
      <c r="Z143" s="134"/>
      <c r="AA143" s="134"/>
      <c r="AB143" s="134"/>
      <c r="AC143" s="134"/>
    </row>
    <row r="144" spans="2:29" s="1290" customFormat="1" ht="18" hidden="1" customHeight="1" thickBot="1" x14ac:dyDescent="0.3">
      <c r="B144" s="244"/>
      <c r="C144" s="41"/>
      <c r="D144" s="1053" t="s">
        <v>1482</v>
      </c>
      <c r="E144" s="1139" t="s">
        <v>1483</v>
      </c>
      <c r="F144" s="196"/>
      <c r="G144" s="1231"/>
      <c r="H144" s="642"/>
      <c r="I144" s="1231"/>
      <c r="J144" s="1129"/>
      <c r="K144" s="1231"/>
      <c r="L144" s="1129"/>
      <c r="M144" s="1226"/>
      <c r="N144" s="218"/>
      <c r="O144" s="218"/>
      <c r="P144" s="221"/>
      <c r="Q144" s="138"/>
      <c r="R144" s="134"/>
      <c r="S144" s="689"/>
      <c r="T144" s="1067"/>
      <c r="U144" s="134"/>
      <c r="V144" s="134"/>
      <c r="W144" s="134"/>
      <c r="X144" s="134"/>
      <c r="Y144" s="134"/>
      <c r="Z144" s="134"/>
      <c r="AA144" s="134"/>
      <c r="AB144" s="134"/>
      <c r="AC144" s="134"/>
    </row>
    <row r="145" spans="2:29" s="1290" customFormat="1" ht="18" hidden="1" customHeight="1" thickBot="1" x14ac:dyDescent="0.3">
      <c r="B145" s="244"/>
      <c r="C145" s="41"/>
      <c r="D145" s="1177"/>
      <c r="E145" s="41"/>
      <c r="F145" s="1129"/>
      <c r="G145" s="238"/>
      <c r="H145" s="188"/>
      <c r="I145" s="239"/>
      <c r="J145" s="197"/>
      <c r="K145" s="218"/>
      <c r="L145" s="188"/>
      <c r="M145" s="218"/>
      <c r="N145" s="218"/>
      <c r="O145" s="218"/>
      <c r="P145" s="221"/>
      <c r="Q145" s="138"/>
      <c r="R145" s="134"/>
      <c r="S145" s="688" t="str">
        <f>IF($E145="NO","",IF($I144="Select Payment Method","X",""))</f>
        <v/>
      </c>
      <c r="T145" s="134"/>
      <c r="U145" s="134"/>
      <c r="V145" s="134"/>
      <c r="W145" s="134"/>
      <c r="X145" s="134"/>
      <c r="Y145" s="134"/>
      <c r="Z145" s="134"/>
      <c r="AA145" s="134"/>
      <c r="AB145" s="134"/>
      <c r="AC145" s="134"/>
    </row>
    <row r="146" spans="2:29" s="1290" customFormat="1" ht="17.25" hidden="1" customHeight="1" thickBot="1" x14ac:dyDescent="0.3">
      <c r="B146" s="244"/>
      <c r="C146" s="41"/>
      <c r="D146" s="1060" t="s">
        <v>1484</v>
      </c>
      <c r="E146" s="1246" t="str">
        <f>IF(E143="Yes",IF(Welcome!$D$6="New",IF('Required Info to Submit'!F$14="","",'Required Info to Submit'!F$14),""),"")</f>
        <v/>
      </c>
      <c r="F146" s="240"/>
      <c r="G146" s="194" t="s">
        <v>1486</v>
      </c>
      <c r="H146" s="188"/>
      <c r="I146" s="194" t="s">
        <v>1487</v>
      </c>
      <c r="J146" s="195"/>
      <c r="K146" s="194" t="s">
        <v>1488</v>
      </c>
      <c r="L146" s="188"/>
      <c r="M146" s="195"/>
      <c r="N146" s="195"/>
      <c r="O146" s="6" t="s">
        <v>493</v>
      </c>
      <c r="P146" s="221"/>
      <c r="Q146" s="138"/>
      <c r="R146" s="134"/>
      <c r="S146" s="689"/>
      <c r="T146" s="134"/>
      <c r="U146" s="134"/>
      <c r="V146" s="134"/>
      <c r="W146" s="134"/>
      <c r="X146" s="134"/>
      <c r="Y146" s="134"/>
      <c r="Z146" s="134"/>
      <c r="AA146" s="134"/>
      <c r="AB146" s="134"/>
      <c r="AC146" s="134"/>
    </row>
    <row r="147" spans="2:29" s="1290" customFormat="1" ht="27" hidden="1" customHeight="1" thickBot="1" x14ac:dyDescent="0.3">
      <c r="B147" s="244"/>
      <c r="C147" s="41"/>
      <c r="D147" s="1060" t="s">
        <v>1485</v>
      </c>
      <c r="E147" s="1246" t="str">
        <f>IF(E143="Yes",IF(Welcome!$D$6="New",IF('Required Info to Submit'!F$17="","",'Required Info to Submit'!F$17),""),"")</f>
        <v/>
      </c>
      <c r="F147" s="1055" t="str">
        <f>'Incentives Worksheet'!G301</f>
        <v>Weekly Baseline</v>
      </c>
      <c r="G147" s="1236"/>
      <c r="H147" s="188"/>
      <c r="I147" s="1235" t="str">
        <f>IF(E143="Yes",999999999.99,"")</f>
        <v/>
      </c>
      <c r="J147" s="230"/>
      <c r="K147" s="1233"/>
      <c r="L147" s="188"/>
      <c r="M147" s="195"/>
      <c r="N147" s="197"/>
      <c r="O147" s="1160">
        <f>IF(E143="No",0,IF(((H34-(G147*52))*K147)&lt;0,0,((H34-(G147*52))*K147)))</f>
        <v>0</v>
      </c>
      <c r="P147" s="221"/>
      <c r="Q147" s="138"/>
      <c r="S147" s="690"/>
    </row>
    <row r="148" spans="2:29" s="1290" customFormat="1" ht="21" hidden="1" customHeight="1" x14ac:dyDescent="0.25">
      <c r="B148" s="246"/>
      <c r="C148" s="223"/>
      <c r="D148" s="1176"/>
      <c r="E148" s="223"/>
      <c r="F148" s="223"/>
      <c r="G148" s="781"/>
      <c r="H148" s="223"/>
      <c r="I148" s="241"/>
      <c r="J148" s="223"/>
      <c r="K148" s="223"/>
      <c r="L148" s="223"/>
      <c r="M148" s="223"/>
      <c r="N148" s="223"/>
      <c r="O148" s="223"/>
      <c r="P148" s="224"/>
      <c r="Q148" s="138"/>
      <c r="S148" s="690"/>
    </row>
    <row r="149" spans="2:29" s="1290" customFormat="1" ht="10.15" hidden="1" customHeight="1" x14ac:dyDescent="0.25">
      <c r="C149" s="134"/>
      <c r="D149" s="136"/>
      <c r="E149" s="134"/>
      <c r="F149" s="180"/>
      <c r="G149" s="234"/>
      <c r="H149" s="177"/>
      <c r="I149" s="235"/>
      <c r="J149" s="211"/>
      <c r="K149" s="212"/>
      <c r="L149" s="177"/>
      <c r="M149" s="212"/>
      <c r="N149" s="212"/>
      <c r="O149" s="212"/>
      <c r="P149" s="141"/>
      <c r="Q149" s="138"/>
      <c r="R149" s="134"/>
      <c r="S149" s="689"/>
      <c r="T149" s="134"/>
      <c r="U149" s="134"/>
      <c r="V149" s="134"/>
      <c r="W149" s="134"/>
      <c r="X149" s="134"/>
      <c r="Y149" s="134"/>
      <c r="Z149" s="134"/>
      <c r="AA149" s="134"/>
      <c r="AB149" s="134"/>
      <c r="AC149" s="134"/>
    </row>
    <row r="150" spans="2:29" ht="19.5" customHeight="1" thickBot="1" x14ac:dyDescent="0.3">
      <c r="B150" s="249"/>
      <c r="C150" s="226"/>
      <c r="D150" s="1508" t="s">
        <v>724</v>
      </c>
      <c r="E150" s="1508"/>
      <c r="F150" s="184"/>
      <c r="G150" s="236"/>
      <c r="H150" s="183"/>
      <c r="I150" s="237"/>
      <c r="J150" s="216"/>
      <c r="K150" s="217"/>
      <c r="L150" s="183"/>
      <c r="M150" s="217"/>
      <c r="N150" s="217"/>
      <c r="O150" s="217"/>
      <c r="P150" s="227"/>
      <c r="Q150" s="138"/>
      <c r="R150" s="134"/>
      <c r="S150" s="689"/>
      <c r="T150" s="134"/>
      <c r="U150" s="134"/>
      <c r="V150" s="134"/>
      <c r="W150" s="134"/>
      <c r="X150" s="134"/>
      <c r="Y150" s="134"/>
      <c r="Z150" s="134"/>
      <c r="AA150" s="134"/>
      <c r="AB150" s="134"/>
      <c r="AC150" s="134"/>
    </row>
    <row r="151" spans="2:29" ht="18" customHeight="1" thickBot="1" x14ac:dyDescent="0.3">
      <c r="B151" s="244"/>
      <c r="C151" s="41"/>
      <c r="D151" s="1170" t="s">
        <v>528</v>
      </c>
      <c r="E151" s="1083" t="s">
        <v>653</v>
      </c>
      <c r="F151" s="240"/>
      <c r="G151" s="229" t="s">
        <v>1479</v>
      </c>
      <c r="H151" s="642"/>
      <c r="I151" s="229" t="s">
        <v>1480</v>
      </c>
      <c r="J151" s="41"/>
      <c r="K151" s="229" t="s">
        <v>871</v>
      </c>
      <c r="L151" s="145"/>
      <c r="M151" s="194" t="s">
        <v>1481</v>
      </c>
      <c r="N151" s="218"/>
      <c r="O151" s="218"/>
      <c r="P151" s="221"/>
      <c r="Q151" s="138"/>
      <c r="R151" s="134"/>
      <c r="S151" s="689"/>
      <c r="T151" s="134"/>
      <c r="U151" s="134"/>
      <c r="V151" s="134"/>
      <c r="W151" s="134"/>
      <c r="X151" s="134"/>
      <c r="Y151" s="134"/>
      <c r="Z151" s="134"/>
      <c r="AA151" s="134"/>
      <c r="AB151" s="134"/>
      <c r="AC151" s="134"/>
    </row>
    <row r="152" spans="2:29" ht="18" customHeight="1" thickBot="1" x14ac:dyDescent="0.3">
      <c r="B152" s="244"/>
      <c r="C152" s="41"/>
      <c r="D152" s="1053" t="s">
        <v>1482</v>
      </c>
      <c r="E152" s="1139" t="s">
        <v>1483</v>
      </c>
      <c r="F152" s="240"/>
      <c r="G152" s="1231"/>
      <c r="H152" s="642"/>
      <c r="I152" s="1231"/>
      <c r="J152" s="145"/>
      <c r="K152" s="1231"/>
      <c r="L152" s="145"/>
      <c r="M152" s="1226"/>
      <c r="N152" s="218"/>
      <c r="O152" s="218"/>
      <c r="P152" s="221"/>
      <c r="Q152" s="138"/>
      <c r="R152" s="134"/>
      <c r="S152" s="689"/>
      <c r="T152" s="1067"/>
      <c r="U152" s="134"/>
      <c r="V152" s="134"/>
      <c r="W152" s="134"/>
      <c r="X152" s="134"/>
      <c r="Y152" s="134"/>
      <c r="Z152" s="134"/>
      <c r="AA152" s="134"/>
      <c r="AB152" s="134"/>
      <c r="AC152" s="134"/>
    </row>
    <row r="153" spans="2:29" ht="18" customHeight="1" thickBot="1" x14ac:dyDescent="0.3">
      <c r="B153" s="244"/>
      <c r="C153" s="41"/>
      <c r="D153" s="1177"/>
      <c r="E153" s="41"/>
      <c r="F153" s="240"/>
      <c r="G153" s="238"/>
      <c r="H153" s="188"/>
      <c r="I153" s="239"/>
      <c r="J153" s="197"/>
      <c r="K153" s="218"/>
      <c r="L153" s="188"/>
      <c r="M153" s="218"/>
      <c r="N153" s="218"/>
      <c r="O153" s="218"/>
      <c r="P153" s="221"/>
      <c r="Q153" s="138"/>
      <c r="R153" s="134"/>
      <c r="S153" s="688" t="str">
        <f>IF($E153="NO","",IF($I152="Select Payment Method","X",""))</f>
        <v/>
      </c>
      <c r="T153" s="134"/>
      <c r="U153" s="134"/>
      <c r="V153" s="134"/>
      <c r="W153" s="134"/>
      <c r="X153" s="134"/>
      <c r="Y153" s="134"/>
      <c r="Z153" s="134"/>
      <c r="AA153" s="134"/>
      <c r="AB153" s="134"/>
      <c r="AC153" s="134"/>
    </row>
    <row r="154" spans="2:29" ht="16.5" customHeight="1" thickBot="1" x14ac:dyDescent="0.3">
      <c r="B154" s="244"/>
      <c r="C154" s="41"/>
      <c r="D154" s="1060" t="s">
        <v>1484</v>
      </c>
      <c r="E154" s="1246" t="str">
        <f>IF(E151="Yes",IF(Welcome!$D$6="New",IF('Required Info to Submit'!F$14="","",'Required Info to Submit'!F$14),""),"")</f>
        <v/>
      </c>
      <c r="F154" s="240"/>
      <c r="G154" s="194" t="s">
        <v>1486</v>
      </c>
      <c r="H154" s="188"/>
      <c r="I154" s="194" t="s">
        <v>1487</v>
      </c>
      <c r="J154" s="195"/>
      <c r="K154" s="194" t="s">
        <v>1488</v>
      </c>
      <c r="L154" s="188"/>
      <c r="M154" s="218"/>
      <c r="N154" s="218"/>
      <c r="O154" s="6" t="s">
        <v>493</v>
      </c>
      <c r="P154" s="221"/>
      <c r="Q154" s="138"/>
      <c r="R154" s="134"/>
      <c r="S154" s="689"/>
      <c r="T154" s="134"/>
      <c r="U154" s="134"/>
      <c r="V154" s="134"/>
      <c r="W154" s="134"/>
      <c r="X154" s="134"/>
      <c r="Y154" s="134"/>
      <c r="Z154" s="134"/>
      <c r="AA154" s="134"/>
      <c r="AB154" s="134"/>
      <c r="AC154" s="134"/>
    </row>
    <row r="155" spans="2:29" ht="16.5" customHeight="1" thickBot="1" x14ac:dyDescent="0.3">
      <c r="B155" s="244"/>
      <c r="C155" s="41"/>
      <c r="D155" s="1060" t="s">
        <v>1485</v>
      </c>
      <c r="E155" s="1246" t="str">
        <f>IF(E151="Yes",IF(Welcome!$D$6="New",IF('Required Info to Submit'!F$17="","",'Required Info to Submit'!F$17),""),"")</f>
        <v/>
      </c>
      <c r="F155" s="1055" t="s">
        <v>1048</v>
      </c>
      <c r="G155" s="1234"/>
      <c r="H155" s="188"/>
      <c r="I155" s="1159" t="str">
        <f>IF(E151="Yes",1,"")</f>
        <v/>
      </c>
      <c r="J155" s="230"/>
      <c r="K155" s="1233"/>
      <c r="L155" s="188"/>
      <c r="M155" s="218"/>
      <c r="N155" s="218"/>
      <c r="O155" s="1160">
        <f>IF($E$151="Yes",K155*$H$10,0)</f>
        <v>0</v>
      </c>
      <c r="P155" s="221"/>
      <c r="Q155" s="138"/>
      <c r="R155" s="1034"/>
      <c r="S155" s="690"/>
    </row>
    <row r="156" spans="2:29" ht="20.25" customHeight="1" x14ac:dyDescent="0.25">
      <c r="B156" s="246"/>
      <c r="C156" s="223"/>
      <c r="D156" s="1176"/>
      <c r="E156" s="223"/>
      <c r="F156" s="223"/>
      <c r="G156" s="223"/>
      <c r="H156" s="223"/>
      <c r="I156" s="241"/>
      <c r="J156" s="223"/>
      <c r="K156" s="223"/>
      <c r="L156" s="223"/>
      <c r="M156" s="223"/>
      <c r="N156" s="223"/>
      <c r="O156" s="223"/>
      <c r="P156" s="224"/>
      <c r="Q156" s="138"/>
      <c r="R156" s="1034"/>
      <c r="S156" s="690"/>
    </row>
    <row r="157" spans="2:29" ht="10.15" customHeight="1" x14ac:dyDescent="0.25">
      <c r="I157" s="242"/>
      <c r="P157" s="243"/>
      <c r="Q157" s="138"/>
      <c r="R157" s="1034"/>
      <c r="S157" s="690"/>
    </row>
    <row r="158" spans="2:29" s="1035" customFormat="1" ht="20.25" customHeight="1" thickBot="1" x14ac:dyDescent="0.3">
      <c r="B158" s="249"/>
      <c r="C158" s="183"/>
      <c r="D158" s="1508" t="s">
        <v>1158</v>
      </c>
      <c r="E158" s="1508"/>
      <c r="F158" s="213"/>
      <c r="G158" s="236"/>
      <c r="H158" s="183"/>
      <c r="I158" s="237"/>
      <c r="J158" s="216"/>
      <c r="K158" s="217"/>
      <c r="L158" s="183"/>
      <c r="M158" s="217"/>
      <c r="N158" s="217"/>
      <c r="O158" s="217"/>
      <c r="P158" s="250"/>
      <c r="Q158" s="179"/>
      <c r="S158" s="691"/>
    </row>
    <row r="159" spans="2:29" s="1035" customFormat="1" ht="18" customHeight="1" thickBot="1" x14ac:dyDescent="0.3">
      <c r="B159" s="244"/>
      <c r="C159" s="188"/>
      <c r="D159" s="1170" t="s">
        <v>528</v>
      </c>
      <c r="E159" s="1083" t="s">
        <v>653</v>
      </c>
      <c r="F159" s="801"/>
      <c r="G159" s="229" t="s">
        <v>1479</v>
      </c>
      <c r="H159" s="642"/>
      <c r="I159" s="229" t="s">
        <v>1480</v>
      </c>
      <c r="J159" s="41"/>
      <c r="K159" s="229" t="s">
        <v>871</v>
      </c>
      <c r="L159" s="145"/>
      <c r="M159" s="194" t="s">
        <v>1481</v>
      </c>
      <c r="N159" s="218"/>
      <c r="O159" s="218"/>
      <c r="P159" s="245"/>
      <c r="Q159" s="179"/>
      <c r="S159" s="691"/>
    </row>
    <row r="160" spans="2:29" s="1035" customFormat="1" ht="18" customHeight="1" thickBot="1" x14ac:dyDescent="0.3">
      <c r="B160" s="244"/>
      <c r="C160" s="188"/>
      <c r="D160" s="1053" t="s">
        <v>1482</v>
      </c>
      <c r="E160" s="1139" t="s">
        <v>1483</v>
      </c>
      <c r="F160" s="802" t="s">
        <v>1158</v>
      </c>
      <c r="G160" s="1231"/>
      <c r="H160" s="642"/>
      <c r="I160" s="1231"/>
      <c r="J160" s="145"/>
      <c r="K160" s="1231"/>
      <c r="L160" s="145"/>
      <c r="M160" s="1242"/>
      <c r="N160" s="218"/>
      <c r="O160" s="218"/>
      <c r="P160" s="245"/>
      <c r="Q160" s="179"/>
      <c r="S160" s="691"/>
    </row>
    <row r="161" spans="2:19" s="1035" customFormat="1" ht="18" customHeight="1" thickBot="1" x14ac:dyDescent="0.3">
      <c r="B161" s="244"/>
      <c r="C161" s="188"/>
      <c r="D161" s="7"/>
      <c r="E161" s="145"/>
      <c r="F161" s="145"/>
      <c r="G161" s="188"/>
      <c r="H161" s="188"/>
      <c r="I161" s="188"/>
      <c r="J161" s="188"/>
      <c r="K161" s="188"/>
      <c r="L161" s="188"/>
      <c r="M161" s="188"/>
      <c r="N161" s="188"/>
      <c r="O161" s="188"/>
      <c r="P161" s="245"/>
      <c r="Q161" s="179"/>
      <c r="S161" s="688" t="str">
        <f>IF($E161="NO","",IF($I160="Select Payment Method","X",""))</f>
        <v/>
      </c>
    </row>
    <row r="162" spans="2:19" s="1035" customFormat="1" ht="18" customHeight="1" thickBot="1" x14ac:dyDescent="0.3">
      <c r="B162" s="244"/>
      <c r="C162" s="188"/>
      <c r="D162" s="1060" t="s">
        <v>1484</v>
      </c>
      <c r="E162" s="1246" t="str">
        <f>IF(E159="Yes",IF(Welcome!$D$6="New",IF('Required Info to Submit'!F$14="","",'Required Info to Submit'!F$14),""),"")</f>
        <v/>
      </c>
      <c r="F162" s="801"/>
      <c r="G162" s="229" t="s">
        <v>1495</v>
      </c>
      <c r="H162" s="188"/>
      <c r="I162" s="478"/>
      <c r="J162" s="195"/>
      <c r="K162" s="478"/>
      <c r="L162" s="188"/>
      <c r="M162" s="478"/>
      <c r="N162" s="218"/>
      <c r="O162" s="6" t="s">
        <v>493</v>
      </c>
      <c r="P162" s="245"/>
      <c r="Q162" s="179"/>
      <c r="S162" s="691"/>
    </row>
    <row r="163" spans="2:19" s="1035" customFormat="1" ht="18" customHeight="1" thickBot="1" x14ac:dyDescent="0.3">
      <c r="B163" s="244"/>
      <c r="C163" s="188"/>
      <c r="D163" s="1060" t="s">
        <v>1485</v>
      </c>
      <c r="E163" s="1246" t="str">
        <f>IF(E159="Yes",IF(Welcome!$D$6="New",IF('Required Info to Submit'!F$17="","",'Required Info to Submit'!F$17),""),"")</f>
        <v/>
      </c>
      <c r="F163" s="802" t="s">
        <v>1158</v>
      </c>
      <c r="G163" s="1236"/>
      <c r="H163" s="188"/>
      <c r="I163" s="239"/>
      <c r="J163" s="197"/>
      <c r="K163" s="1294"/>
      <c r="L163" s="188"/>
      <c r="M163" s="239"/>
      <c r="N163" s="218"/>
      <c r="O163" s="1160">
        <f>IFERROR(IF($E159="Yes",$G163/$H$4,0),0)</f>
        <v>0</v>
      </c>
      <c r="P163" s="245"/>
      <c r="Q163" s="179"/>
    </row>
    <row r="164" spans="2:19" s="176" customFormat="1" ht="21" customHeight="1" x14ac:dyDescent="0.25">
      <c r="B164" s="246"/>
      <c r="C164" s="202"/>
      <c r="D164" s="558"/>
      <c r="E164" s="202"/>
      <c r="F164" s="803"/>
      <c r="G164" s="803"/>
      <c r="H164" s="202"/>
      <c r="I164" s="202"/>
      <c r="J164" s="202"/>
      <c r="K164" s="202"/>
      <c r="L164" s="202"/>
      <c r="M164" s="202"/>
      <c r="N164" s="202"/>
      <c r="O164" s="202"/>
      <c r="P164" s="251"/>
      <c r="Q164" s="252"/>
    </row>
    <row r="165" spans="2:19" s="176" customFormat="1" ht="9" customHeight="1" x14ac:dyDescent="0.25">
      <c r="C165" s="180"/>
      <c r="D165" s="1172"/>
      <c r="E165" s="180"/>
      <c r="F165" s="180"/>
      <c r="G165" s="180"/>
      <c r="H165" s="180"/>
      <c r="I165" s="180"/>
      <c r="J165" s="180"/>
      <c r="K165" s="180"/>
      <c r="L165" s="180"/>
      <c r="M165" s="180"/>
      <c r="N165" s="180"/>
      <c r="O165" s="180"/>
      <c r="P165" s="715"/>
      <c r="Q165" s="252"/>
    </row>
    <row r="166" spans="2:19" s="1035" customFormat="1" ht="20.25" hidden="1" customHeight="1" thickBot="1" x14ac:dyDescent="0.3">
      <c r="B166" s="249"/>
      <c r="C166" s="183"/>
      <c r="D166" s="1508" t="s">
        <v>1158</v>
      </c>
      <c r="E166" s="1508"/>
      <c r="F166" s="213"/>
      <c r="G166" s="236"/>
      <c r="H166" s="183"/>
      <c r="I166" s="237"/>
      <c r="J166" s="216"/>
      <c r="K166" s="217"/>
      <c r="L166" s="183"/>
      <c r="M166" s="217"/>
      <c r="N166" s="217"/>
      <c r="O166" s="217"/>
      <c r="P166" s="250"/>
      <c r="Q166" s="179"/>
      <c r="S166" s="691"/>
    </row>
    <row r="167" spans="2:19" s="1035" customFormat="1" ht="18" hidden="1" customHeight="1" thickBot="1" x14ac:dyDescent="0.3">
      <c r="B167" s="244"/>
      <c r="C167" s="188"/>
      <c r="D167" s="1170" t="s">
        <v>528</v>
      </c>
      <c r="E167" s="1083" t="s">
        <v>653</v>
      </c>
      <c r="F167" s="801"/>
      <c r="G167" s="229" t="s">
        <v>1479</v>
      </c>
      <c r="H167" s="642"/>
      <c r="I167" s="229" t="s">
        <v>1480</v>
      </c>
      <c r="J167" s="41"/>
      <c r="K167" s="229" t="s">
        <v>871</v>
      </c>
      <c r="L167" s="145"/>
      <c r="M167" s="194" t="s">
        <v>1481</v>
      </c>
      <c r="N167" s="218"/>
      <c r="O167" s="218"/>
      <c r="P167" s="245"/>
      <c r="Q167" s="179"/>
      <c r="S167" s="691"/>
    </row>
    <row r="168" spans="2:19" s="1035" customFormat="1" ht="18" hidden="1" customHeight="1" thickBot="1" x14ac:dyDescent="0.3">
      <c r="B168" s="244"/>
      <c r="C168" s="188"/>
      <c r="D168" s="1053" t="s">
        <v>1482</v>
      </c>
      <c r="E168" s="1139" t="s">
        <v>1483</v>
      </c>
      <c r="F168" s="802" t="s">
        <v>1158</v>
      </c>
      <c r="G168" s="1231"/>
      <c r="H168" s="642"/>
      <c r="I168" s="1231"/>
      <c r="J168" s="145"/>
      <c r="K168" s="1231"/>
      <c r="L168" s="145"/>
      <c r="M168" s="1226"/>
      <c r="N168" s="218"/>
      <c r="O168" s="218"/>
      <c r="P168" s="245"/>
      <c r="Q168" s="179"/>
      <c r="S168" s="691"/>
    </row>
    <row r="169" spans="2:19" s="1035" customFormat="1" ht="18" hidden="1" customHeight="1" thickBot="1" x14ac:dyDescent="0.3">
      <c r="B169" s="244"/>
      <c r="C169" s="188"/>
      <c r="D169" s="7"/>
      <c r="E169" s="145"/>
      <c r="F169" s="145"/>
      <c r="G169" s="188"/>
      <c r="H169" s="188"/>
      <c r="I169" s="188"/>
      <c r="J169" s="188"/>
      <c r="K169" s="188"/>
      <c r="L169" s="188"/>
      <c r="M169" s="188"/>
      <c r="N169" s="188"/>
      <c r="O169" s="188"/>
      <c r="P169" s="245"/>
      <c r="Q169" s="179"/>
      <c r="S169" s="688" t="str">
        <f>IF($E169="NO","",IF($I168="Select Payment Method","X",""))</f>
        <v/>
      </c>
    </row>
    <row r="170" spans="2:19" s="1035" customFormat="1" ht="18" hidden="1" customHeight="1" thickBot="1" x14ac:dyDescent="0.3">
      <c r="B170" s="244"/>
      <c r="C170" s="188"/>
      <c r="D170" s="1060" t="s">
        <v>1484</v>
      </c>
      <c r="E170" s="1246" t="str">
        <f>IF(E167="Yes",IF(Welcome!$D$6="New",IF('Required Info to Submit'!F$14="","",'Required Info to Submit'!F$14),""),"")</f>
        <v/>
      </c>
      <c r="F170" s="801"/>
      <c r="G170" s="229" t="s">
        <v>1495</v>
      </c>
      <c r="H170" s="188"/>
      <c r="I170" s="478"/>
      <c r="J170" s="195"/>
      <c r="K170" s="478"/>
      <c r="L170" s="188"/>
      <c r="M170" s="478"/>
      <c r="N170" s="218"/>
      <c r="O170" s="6" t="s">
        <v>493</v>
      </c>
      <c r="P170" s="245"/>
      <c r="Q170" s="179"/>
      <c r="S170" s="691"/>
    </row>
    <row r="171" spans="2:19" s="1035" customFormat="1" ht="18" hidden="1" customHeight="1" thickBot="1" x14ac:dyDescent="0.3">
      <c r="B171" s="244"/>
      <c r="C171" s="188"/>
      <c r="D171" s="1060" t="s">
        <v>1485</v>
      </c>
      <c r="E171" s="1246" t="str">
        <f>IF(E167="Yes",IF(Welcome!$D$6="New",IF('Required Info to Submit'!F$17="","",'Required Info to Submit'!F$17),""),"")</f>
        <v/>
      </c>
      <c r="F171" s="802" t="s">
        <v>1158</v>
      </c>
      <c r="G171" s="1236"/>
      <c r="H171" s="188"/>
      <c r="I171" s="239"/>
      <c r="J171" s="197"/>
      <c r="K171" s="1294"/>
      <c r="L171" s="188"/>
      <c r="M171" s="239"/>
      <c r="N171" s="218"/>
      <c r="O171" s="1160">
        <f>IFERROR(IF($E167="Yes",$G171/$H$4,0),0)</f>
        <v>0</v>
      </c>
      <c r="P171" s="245"/>
      <c r="Q171" s="179"/>
    </row>
    <row r="172" spans="2:19" s="176" customFormat="1" ht="21" hidden="1" customHeight="1" x14ac:dyDescent="0.25">
      <c r="B172" s="246"/>
      <c r="C172" s="202"/>
      <c r="D172" s="558"/>
      <c r="E172" s="202"/>
      <c r="F172" s="803"/>
      <c r="G172" s="803"/>
      <c r="H172" s="202"/>
      <c r="I172" s="202"/>
      <c r="J172" s="202"/>
      <c r="K172" s="202"/>
      <c r="L172" s="202"/>
      <c r="M172" s="202"/>
      <c r="N172" s="202"/>
      <c r="O172" s="202"/>
      <c r="P172" s="251"/>
      <c r="Q172" s="252"/>
    </row>
    <row r="173" spans="2:19" s="1035" customFormat="1" ht="10.15" hidden="1" customHeight="1" x14ac:dyDescent="0.25">
      <c r="C173" s="177"/>
      <c r="D173" s="1172"/>
      <c r="E173" s="177"/>
      <c r="F173" s="207"/>
      <c r="G173" s="234"/>
      <c r="H173" s="177"/>
      <c r="I173" s="235"/>
      <c r="J173" s="211"/>
      <c r="K173" s="212"/>
      <c r="L173" s="177"/>
      <c r="M173" s="212"/>
      <c r="N173" s="212"/>
      <c r="O173" s="212"/>
      <c r="P173" s="248"/>
      <c r="Q173" s="179"/>
      <c r="S173" s="691"/>
    </row>
    <row r="174" spans="2:19" s="176" customFormat="1" ht="20.25" customHeight="1" thickBot="1" x14ac:dyDescent="0.3">
      <c r="B174" s="249"/>
      <c r="C174" s="184"/>
      <c r="D174" s="1508" t="s">
        <v>1057</v>
      </c>
      <c r="E174" s="1508"/>
      <c r="F174" s="184"/>
      <c r="G174" s="184"/>
      <c r="H174" s="184"/>
      <c r="I174" s="184"/>
      <c r="J174" s="184"/>
      <c r="K174" s="184"/>
      <c r="L174" s="184"/>
      <c r="M174" s="184"/>
      <c r="N174" s="184"/>
      <c r="O174" s="184"/>
      <c r="P174" s="716"/>
      <c r="Q174" s="252"/>
    </row>
    <row r="175" spans="2:19" s="176" customFormat="1" ht="18" customHeight="1" thickBot="1" x14ac:dyDescent="0.3">
      <c r="B175" s="244"/>
      <c r="C175" s="145"/>
      <c r="D175" s="1170" t="s">
        <v>528</v>
      </c>
      <c r="E175" s="1083" t="s">
        <v>653</v>
      </c>
      <c r="F175" s="240"/>
      <c r="G175" s="229" t="s">
        <v>1479</v>
      </c>
      <c r="H175" s="642"/>
      <c r="I175" s="229" t="s">
        <v>1480</v>
      </c>
      <c r="J175" s="41"/>
      <c r="K175" s="229" t="s">
        <v>871</v>
      </c>
      <c r="L175" s="145"/>
      <c r="M175" s="194" t="s">
        <v>1481</v>
      </c>
      <c r="N175" s="145"/>
      <c r="O175" s="145"/>
      <c r="P175" s="717"/>
      <c r="Q175" s="252"/>
    </row>
    <row r="176" spans="2:19" s="176" customFormat="1" ht="18" customHeight="1" thickBot="1" x14ac:dyDescent="0.3">
      <c r="B176" s="244"/>
      <c r="C176" s="145"/>
      <c r="D176" s="1053" t="s">
        <v>1482</v>
      </c>
      <c r="E176" s="1139" t="s">
        <v>1483</v>
      </c>
      <c r="F176" s="196"/>
      <c r="G176" s="1231"/>
      <c r="H176" s="642"/>
      <c r="I176" s="1231"/>
      <c r="J176" s="145"/>
      <c r="K176" s="1231"/>
      <c r="L176" s="145"/>
      <c r="M176" s="1242"/>
      <c r="N176" s="145"/>
      <c r="O176" s="145"/>
      <c r="P176" s="717"/>
      <c r="Q176" s="252"/>
    </row>
    <row r="177" spans="2:19" s="176" customFormat="1" ht="18" customHeight="1" thickBot="1" x14ac:dyDescent="0.3">
      <c r="B177" s="244"/>
      <c r="C177" s="145"/>
      <c r="D177" s="7"/>
      <c r="E177" s="692"/>
      <c r="F177" s="1068"/>
      <c r="G177" s="1068"/>
      <c r="H177" s="145"/>
      <c r="I177" s="145"/>
      <c r="J177" s="145"/>
      <c r="K177" s="145"/>
      <c r="L177" s="145"/>
      <c r="M177" s="145"/>
      <c r="N177" s="145"/>
      <c r="O177" s="145"/>
      <c r="P177" s="717"/>
      <c r="Q177" s="252"/>
      <c r="S177" s="688" t="str">
        <f>IF($D$227=0,"",IF($E177="NO","",IF($I176="Select Payment Method","X","")))</f>
        <v/>
      </c>
    </row>
    <row r="178" spans="2:19" s="176" customFormat="1" ht="18" customHeight="1" thickBot="1" x14ac:dyDescent="0.3">
      <c r="B178" s="244"/>
      <c r="C178" s="145"/>
      <c r="D178" s="1060" t="s">
        <v>1484</v>
      </c>
      <c r="E178" s="1246" t="str">
        <f>IF(E175="Yes",IF(Welcome!$D$6="New",IF('Required Info to Submit'!F$14="","",'Required Info to Submit'!F$14),""),"")</f>
        <v/>
      </c>
      <c r="F178" s="240"/>
      <c r="G178" s="145"/>
      <c r="H178" s="145"/>
      <c r="I178" s="145"/>
      <c r="J178" s="145"/>
      <c r="K178" s="194" t="s">
        <v>1488</v>
      </c>
      <c r="L178" s="188"/>
      <c r="M178" s="478"/>
      <c r="N178" s="145"/>
      <c r="O178" s="6" t="s">
        <v>493</v>
      </c>
      <c r="P178" s="717"/>
      <c r="Q178" s="252"/>
    </row>
    <row r="179" spans="2:19" s="176" customFormat="1" ht="18" customHeight="1" thickBot="1" x14ac:dyDescent="0.3">
      <c r="B179" s="244"/>
      <c r="C179" s="145"/>
      <c r="D179" s="1060" t="s">
        <v>1485</v>
      </c>
      <c r="E179" s="1246" t="str">
        <f>IF(E175="Yes",IF(Welcome!$D$6="New",IF('Required Info to Submit'!F$17="","",'Required Info to Submit'!F$17),""),"")</f>
        <v/>
      </c>
      <c r="F179" s="196"/>
      <c r="G179" s="1229"/>
      <c r="H179" s="145"/>
      <c r="I179" s="145"/>
      <c r="J179" s="145"/>
      <c r="K179" s="1233"/>
      <c r="L179" s="188"/>
      <c r="M179" s="218"/>
      <c r="N179" s="145"/>
      <c r="O179" s="1160">
        <f>IFERROR(IF($E175="Yes",$K$179*$H$10,0),0)</f>
        <v>0</v>
      </c>
      <c r="P179" s="717"/>
      <c r="Q179" s="252"/>
    </row>
    <row r="180" spans="2:19" s="176" customFormat="1" ht="21" customHeight="1" x14ac:dyDescent="0.25">
      <c r="B180" s="246"/>
      <c r="C180" s="202"/>
      <c r="D180" s="558"/>
      <c r="E180" s="202"/>
      <c r="F180" s="202"/>
      <c r="G180" s="837"/>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1123" customFormat="1" ht="10.15" customHeight="1" x14ac:dyDescent="0.25">
      <c r="C181" s="177"/>
      <c r="D181" s="1172"/>
      <c r="E181" s="177"/>
      <c r="F181" s="207"/>
      <c r="G181" s="234"/>
      <c r="H181" s="177"/>
      <c r="I181" s="235"/>
      <c r="J181" s="211"/>
      <c r="K181" s="212"/>
      <c r="L181" s="177"/>
      <c r="M181" s="212"/>
      <c r="N181" s="212"/>
      <c r="O181" s="212"/>
      <c r="P181" s="248"/>
      <c r="Q181" s="179"/>
      <c r="S181" s="691"/>
    </row>
    <row r="182" spans="2:19" s="1123" customFormat="1" ht="20.25" customHeight="1" thickBot="1" x14ac:dyDescent="0.3">
      <c r="B182" s="249"/>
      <c r="C182" s="183"/>
      <c r="D182" s="1508" t="s">
        <v>1575</v>
      </c>
      <c r="E182" s="1508"/>
      <c r="F182" s="213"/>
      <c r="G182" s="236"/>
      <c r="H182" s="183"/>
      <c r="I182" s="237"/>
      <c r="J182" s="216"/>
      <c r="K182" s="217"/>
      <c r="L182" s="183"/>
      <c r="M182" s="217"/>
      <c r="N182" s="1501"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501"/>
      <c r="P182" s="1502"/>
      <c r="Q182" s="179"/>
      <c r="S182" s="691"/>
    </row>
    <row r="183" spans="2:19" s="1123" customFormat="1" ht="17.25" customHeight="1" thickBot="1" x14ac:dyDescent="0.3">
      <c r="B183" s="244"/>
      <c r="C183" s="188"/>
      <c r="D183" s="1170" t="s">
        <v>528</v>
      </c>
      <c r="E183" s="1183" t="s">
        <v>653</v>
      </c>
      <c r="F183" s="801"/>
      <c r="G183" s="229" t="s">
        <v>1479</v>
      </c>
      <c r="H183" s="642"/>
      <c r="I183" s="229" t="s">
        <v>1480</v>
      </c>
      <c r="J183" s="41"/>
      <c r="K183" s="229" t="s">
        <v>871</v>
      </c>
      <c r="L183" s="145"/>
      <c r="M183" s="194" t="s">
        <v>1481</v>
      </c>
      <c r="N183" s="1503"/>
      <c r="O183" s="1503"/>
      <c r="P183" s="1504"/>
      <c r="Q183" s="179"/>
      <c r="S183" s="691"/>
    </row>
    <row r="184" spans="2:19" s="1123" customFormat="1" ht="18" customHeight="1" thickBot="1" x14ac:dyDescent="0.3">
      <c r="B184" s="244"/>
      <c r="C184" s="188"/>
      <c r="D184" s="1053" t="s">
        <v>1482</v>
      </c>
      <c r="E184" s="1131" t="s">
        <v>1483</v>
      </c>
      <c r="F184" s="802" t="s">
        <v>1158</v>
      </c>
      <c r="G184" s="1231"/>
      <c r="H184" s="642"/>
      <c r="I184" s="1231"/>
      <c r="J184" s="145"/>
      <c r="K184" s="1231"/>
      <c r="L184" s="145"/>
      <c r="M184" s="1226"/>
      <c r="N184" s="1503"/>
      <c r="O184" s="1503"/>
      <c r="P184" s="1504"/>
      <c r="Q184" s="179"/>
      <c r="S184" s="691"/>
    </row>
    <row r="185" spans="2:19" s="1123" customFormat="1" ht="25.5" customHeight="1" thickBot="1" x14ac:dyDescent="0.3">
      <c r="B185" s="244"/>
      <c r="C185" s="188"/>
      <c r="D185" s="7"/>
      <c r="E185" s="145"/>
      <c r="F185" s="196"/>
      <c r="G185" s="820"/>
      <c r="H185" s="188"/>
      <c r="I185" s="237"/>
      <c r="J185" s="819"/>
      <c r="K185" s="217"/>
      <c r="L185" s="188"/>
      <c r="M185" s="1126"/>
      <c r="N185" s="1503"/>
      <c r="O185" s="1503"/>
      <c r="P185" s="1504"/>
      <c r="Q185" s="179"/>
      <c r="S185" s="691"/>
    </row>
    <row r="186" spans="2:19" s="1123" customFormat="1" ht="18" customHeight="1" thickBot="1" x14ac:dyDescent="0.3">
      <c r="B186" s="244"/>
      <c r="C186" s="188"/>
      <c r="D186" s="1060" t="s">
        <v>1484</v>
      </c>
      <c r="E186" s="1246" t="str">
        <f>IF(E183="Yes",IF(Welcome!$D$6="New",IF('Required Info to Submit'!F$14="","",'Required Info to Submit'!F$14),""),"")</f>
        <v/>
      </c>
      <c r="F186" s="1125"/>
      <c r="G186" s="229" t="s">
        <v>1495</v>
      </c>
      <c r="H186" s="1128"/>
      <c r="I186" s="229" t="s">
        <v>1576</v>
      </c>
      <c r="J186" s="145"/>
      <c r="K186" s="229" t="s">
        <v>1577</v>
      </c>
      <c r="L186" s="145"/>
      <c r="M186" s="229" t="s">
        <v>1501</v>
      </c>
      <c r="N186" s="1126"/>
      <c r="O186" s="6" t="s">
        <v>493</v>
      </c>
      <c r="P186" s="1127"/>
      <c r="Q186" s="179"/>
      <c r="S186" s="691"/>
    </row>
    <row r="187" spans="2:19" s="1123" customFormat="1" ht="17.25" customHeight="1" thickBot="1" x14ac:dyDescent="0.3">
      <c r="B187" s="244"/>
      <c r="C187" s="188"/>
      <c r="D187" s="1060" t="s">
        <v>1485</v>
      </c>
      <c r="E187" s="1246" t="str">
        <f>IF(E183="Yes",IF(Welcome!$D$6="New",IF('Required Info to Submit'!F$17="","",'Required Info to Submit'!F$17),""),"")</f>
        <v/>
      </c>
      <c r="F187" s="801"/>
      <c r="G187" s="1165">
        <f>IFERROR(I187+K187,0)</f>
        <v>0</v>
      </c>
      <c r="H187" s="188"/>
      <c r="I187" s="1232"/>
      <c r="J187" s="145"/>
      <c r="K187" s="1232"/>
      <c r="L187" s="145"/>
      <c r="M187" s="1232"/>
      <c r="N187" s="145"/>
      <c r="O187" s="1160">
        <f>IFERROR(IF($E183="Yes",G187/$H$4,0),0)</f>
        <v>0</v>
      </c>
      <c r="P187" s="245"/>
      <c r="Q187" s="179"/>
      <c r="S187" s="691"/>
    </row>
    <row r="188" spans="2:19" s="1123" customFormat="1" ht="18" customHeight="1" thickBot="1" x14ac:dyDescent="0.3">
      <c r="B188" s="244"/>
      <c r="C188" s="188"/>
      <c r="D188" s="7"/>
      <c r="E188" s="188"/>
      <c r="F188" s="802" t="s">
        <v>1158</v>
      </c>
      <c r="G188" s="1059"/>
      <c r="H188" s="188"/>
      <c r="I188" s="1130"/>
      <c r="J188" s="188"/>
      <c r="K188" s="1059"/>
      <c r="L188" s="188"/>
      <c r="M188" s="145"/>
      <c r="N188" s="145"/>
      <c r="O188" s="145"/>
      <c r="P188" s="245"/>
      <c r="Q188" s="179"/>
    </row>
    <row r="189" spans="2:19" s="1123" customFormat="1" ht="33" customHeight="1" x14ac:dyDescent="0.25">
      <c r="B189" s="244"/>
      <c r="C189" s="188"/>
      <c r="D189" s="1535" t="s">
        <v>1578</v>
      </c>
      <c r="E189" s="1536"/>
      <c r="F189" s="802"/>
      <c r="G189" s="229" t="s">
        <v>1580</v>
      </c>
      <c r="H189" s="145"/>
      <c r="I189" s="229" t="s">
        <v>1581</v>
      </c>
      <c r="J189" s="145"/>
      <c r="K189" s="229" t="s">
        <v>1212</v>
      </c>
      <c r="L189" s="220"/>
      <c r="M189" s="229" t="s">
        <v>1582</v>
      </c>
      <c r="N189" s="145"/>
      <c r="O189" s="229" t="s">
        <v>1211</v>
      </c>
      <c r="P189" s="245"/>
      <c r="Q189" s="179"/>
    </row>
    <row r="190" spans="2:19" s="1123" customFormat="1" ht="18" customHeight="1" thickBot="1" x14ac:dyDescent="0.3">
      <c r="B190" s="244"/>
      <c r="C190" s="188"/>
      <c r="D190" s="1537" t="s">
        <v>1579</v>
      </c>
      <c r="E190" s="1538"/>
      <c r="F190" s="802"/>
      <c r="G190" s="1285"/>
      <c r="H190" s="145"/>
      <c r="I190" s="1286"/>
      <c r="J190" s="145"/>
      <c r="K190" s="1287"/>
      <c r="L190" s="220"/>
      <c r="M190" s="1287"/>
      <c r="N190" s="145"/>
      <c r="O190" s="1232"/>
      <c r="P190" s="245"/>
      <c r="Q190" s="179"/>
    </row>
    <row r="191" spans="2:19" s="176" customFormat="1" ht="21" customHeight="1" x14ac:dyDescent="0.25">
      <c r="B191" s="246"/>
      <c r="C191" s="202"/>
      <c r="D191" s="558"/>
      <c r="E191" s="202"/>
      <c r="F191" s="803"/>
      <c r="G191" s="803"/>
      <c r="H191" s="202"/>
      <c r="I191" s="202"/>
      <c r="J191" s="202"/>
      <c r="K191" s="202"/>
      <c r="L191" s="202"/>
      <c r="M191" s="202"/>
      <c r="N191" s="202"/>
      <c r="O191" s="202"/>
      <c r="P191" s="251"/>
      <c r="Q191" s="252"/>
    </row>
    <row r="192" spans="2:19" s="176" customFormat="1" ht="9" customHeight="1" x14ac:dyDescent="0.25">
      <c r="C192" s="180"/>
      <c r="D192" s="1172"/>
      <c r="E192" s="180"/>
      <c r="F192" s="180"/>
      <c r="G192" s="180"/>
      <c r="H192" s="180"/>
      <c r="I192" s="180"/>
      <c r="J192" s="180"/>
      <c r="K192" s="180"/>
      <c r="L192" s="180"/>
      <c r="M192" s="180"/>
      <c r="N192" s="180"/>
      <c r="O192" s="180"/>
      <c r="P192" s="715"/>
      <c r="Q192" s="252"/>
    </row>
    <row r="193" spans="2:19" s="1035" customFormat="1" ht="20.25" customHeight="1" thickBot="1" x14ac:dyDescent="0.3">
      <c r="B193" s="249"/>
      <c r="C193" s="183"/>
      <c r="D193" s="1508" t="s">
        <v>1209</v>
      </c>
      <c r="E193" s="1508"/>
      <c r="F193" s="213"/>
      <c r="G193" s="236"/>
      <c r="H193" s="183"/>
      <c r="I193" s="237"/>
      <c r="J193" s="216"/>
      <c r="K193" s="217"/>
      <c r="L193" s="183"/>
      <c r="M193" s="217"/>
      <c r="N193" s="1501"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501"/>
      <c r="P193" s="1502"/>
      <c r="Q193" s="179"/>
      <c r="S193" s="691"/>
    </row>
    <row r="194" spans="2:19" s="1035" customFormat="1" ht="18" customHeight="1" thickBot="1" x14ac:dyDescent="0.3">
      <c r="B194" s="244"/>
      <c r="C194" s="188"/>
      <c r="D194" s="1170" t="s">
        <v>528</v>
      </c>
      <c r="E194" s="1083" t="s">
        <v>653</v>
      </c>
      <c r="F194" s="801"/>
      <c r="G194" s="194" t="s">
        <v>1479</v>
      </c>
      <c r="H194" s="188"/>
      <c r="I194" s="194" t="s">
        <v>1480</v>
      </c>
      <c r="J194" s="41"/>
      <c r="K194" s="194" t="s">
        <v>1496</v>
      </c>
      <c r="L194" s="188"/>
      <c r="M194" s="194" t="s">
        <v>1481</v>
      </c>
      <c r="N194" s="1503"/>
      <c r="O194" s="1503"/>
      <c r="P194" s="1504"/>
      <c r="Q194" s="179"/>
      <c r="S194" s="691"/>
    </row>
    <row r="195" spans="2:19" s="1035" customFormat="1" ht="18" customHeight="1" thickBot="1" x14ac:dyDescent="0.3">
      <c r="B195" s="244"/>
      <c r="C195" s="188"/>
      <c r="D195" s="1053" t="s">
        <v>1482</v>
      </c>
      <c r="E195" s="1139" t="s">
        <v>1483</v>
      </c>
      <c r="F195" s="1129"/>
      <c r="G195" s="1237"/>
      <c r="H195" s="188"/>
      <c r="I195" s="1231"/>
      <c r="J195" s="1129"/>
      <c r="K195" s="1231"/>
      <c r="L195" s="188"/>
      <c r="M195" s="1268"/>
      <c r="N195" s="1503"/>
      <c r="O195" s="1503"/>
      <c r="P195" s="1504"/>
      <c r="Q195" s="179"/>
      <c r="S195" s="691"/>
    </row>
    <row r="196" spans="2:19" s="1035" customFormat="1" ht="17.25" customHeight="1" thickBot="1" x14ac:dyDescent="0.3">
      <c r="B196" s="244"/>
      <c r="C196" s="188"/>
      <c r="D196" s="7"/>
      <c r="E196" s="188"/>
      <c r="F196" s="145"/>
      <c r="G196" s="188"/>
      <c r="H196" s="188"/>
      <c r="I196" s="188"/>
      <c r="J196" s="188"/>
      <c r="K196" s="188"/>
      <c r="L196" s="1133"/>
      <c r="M196" s="188"/>
      <c r="N196" s="1503"/>
      <c r="O196" s="1503"/>
      <c r="P196" s="1504"/>
      <c r="Q196" s="179"/>
      <c r="S196" s="688" t="str">
        <f>IF($E196="NO","",IF($I195="Select Payment Method","X",""))</f>
        <v/>
      </c>
    </row>
    <row r="197" spans="2:19" s="1035" customFormat="1" ht="18" customHeight="1" thickBot="1" x14ac:dyDescent="0.3">
      <c r="B197" s="244"/>
      <c r="C197" s="188"/>
      <c r="D197" s="1060" t="s">
        <v>1484</v>
      </c>
      <c r="E197" s="1246" t="str">
        <f>IF(E194="Yes",IF(Welcome!$D$6="New",IF('Required Info to Submit'!F$14="","",'Required Info to Submit'!F$14),""),"")</f>
        <v/>
      </c>
      <c r="F197" s="801"/>
      <c r="G197" s="229" t="s">
        <v>1495</v>
      </c>
      <c r="H197" s="188"/>
      <c r="I197" s="194" t="s">
        <v>1583</v>
      </c>
      <c r="J197" s="1509"/>
      <c r="K197" s="194" t="s">
        <v>751</v>
      </c>
      <c r="L197" s="1509"/>
      <c r="M197" s="194" t="s">
        <v>1584</v>
      </c>
      <c r="N197" s="145"/>
      <c r="O197" s="6" t="s">
        <v>493</v>
      </c>
      <c r="P197" s="245"/>
      <c r="Q197" s="179"/>
      <c r="S197" s="691"/>
    </row>
    <row r="198" spans="2:19" s="1035" customFormat="1" ht="18" customHeight="1" thickBot="1" x14ac:dyDescent="0.3">
      <c r="B198" s="244"/>
      <c r="C198" s="188"/>
      <c r="D198" s="1060" t="s">
        <v>1485</v>
      </c>
      <c r="E198" s="1246" t="str">
        <f>IF(E194="Yes",IF(Welcome!$D$6="New",IF('Required Info to Submit'!F$17="","",'Required Info to Submit'!F$17),""),"")</f>
        <v/>
      </c>
      <c r="F198" s="802" t="s">
        <v>924</v>
      </c>
      <c r="G198" s="1232">
        <v>0</v>
      </c>
      <c r="H198" s="188"/>
      <c r="I198" s="1167">
        <v>1</v>
      </c>
      <c r="J198" s="1510"/>
      <c r="K198" s="1164"/>
      <c r="L198" s="1511"/>
      <c r="M198" s="1232"/>
      <c r="N198" s="145"/>
      <c r="O198" s="1160">
        <f>IFERROR(IF($E$194="Yes",G198/$H$4,0),0)</f>
        <v>0</v>
      </c>
      <c r="P198" s="245"/>
      <c r="Q198" s="179"/>
      <c r="S198" s="795"/>
    </row>
    <row r="199" spans="2:19" s="1124" customFormat="1" ht="18" customHeight="1" x14ac:dyDescent="0.25">
      <c r="B199" s="244"/>
      <c r="C199" s="188"/>
      <c r="D199" s="1182"/>
      <c r="E199" s="804"/>
      <c r="F199" s="802"/>
      <c r="G199" s="643"/>
      <c r="H199" s="642"/>
      <c r="I199" s="1167">
        <v>2</v>
      </c>
      <c r="J199" s="1134"/>
      <c r="K199" s="1164"/>
      <c r="L199" s="1135"/>
      <c r="M199" s="1232"/>
      <c r="N199" s="1129"/>
      <c r="O199" s="1126"/>
      <c r="P199" s="245"/>
      <c r="Q199" s="179"/>
      <c r="S199" s="795"/>
    </row>
    <row r="200" spans="2:19" s="1124" customFormat="1" ht="18" customHeight="1" x14ac:dyDescent="0.25">
      <c r="B200" s="244"/>
      <c r="C200" s="188"/>
      <c r="D200" s="1182"/>
      <c r="E200" s="804"/>
      <c r="F200" s="802"/>
      <c r="G200" s="194" t="s">
        <v>1488</v>
      </c>
      <c r="H200" s="642"/>
      <c r="I200" s="1167">
        <v>3</v>
      </c>
      <c r="J200" s="1134"/>
      <c r="K200" s="1164"/>
      <c r="L200" s="1135"/>
      <c r="M200" s="1232"/>
      <c r="N200" s="1129"/>
      <c r="O200" s="1126"/>
      <c r="P200" s="245"/>
      <c r="Q200" s="179"/>
      <c r="S200" s="795"/>
    </row>
    <row r="201" spans="2:19" s="1124" customFormat="1" ht="18" customHeight="1" x14ac:dyDescent="0.25">
      <c r="B201" s="244"/>
      <c r="C201" s="188"/>
      <c r="D201" s="1182"/>
      <c r="E201" s="804"/>
      <c r="F201" s="802"/>
      <c r="G201" s="1247">
        <f>IFERROR(IF(Welcome!$D$6="New",(Incentives!G187+Incentives!G198)/(Incentives!H5*Incentives!H4),Incentives!G198/(Incentives!H5*(Incentives!E198-Incentives!E197)/365)),0)</f>
        <v>0</v>
      </c>
      <c r="H201" s="642"/>
      <c r="I201" s="1167">
        <v>4</v>
      </c>
      <c r="J201" s="1134"/>
      <c r="K201" s="1232"/>
      <c r="L201" s="1135"/>
      <c r="M201" s="1232"/>
      <c r="N201" s="1129"/>
      <c r="O201" s="1126"/>
      <c r="P201" s="245"/>
      <c r="Q201" s="179"/>
      <c r="S201" s="795"/>
    </row>
    <row r="202" spans="2:19" s="1124" customFormat="1" ht="18" customHeight="1" x14ac:dyDescent="0.25">
      <c r="B202" s="244"/>
      <c r="C202" s="188"/>
      <c r="D202" s="1182"/>
      <c r="E202" s="804"/>
      <c r="F202" s="802"/>
      <c r="G202" s="643"/>
      <c r="H202" s="642"/>
      <c r="I202" s="1167">
        <v>5</v>
      </c>
      <c r="J202" s="1134"/>
      <c r="K202" s="1232"/>
      <c r="L202" s="1135"/>
      <c r="M202" s="1232"/>
      <c r="N202" s="1129"/>
      <c r="O202" s="1126"/>
      <c r="P202" s="245"/>
      <c r="Q202" s="179"/>
      <c r="S202" s="795"/>
    </row>
    <row r="203" spans="2:19" s="176" customFormat="1" ht="21" customHeight="1" x14ac:dyDescent="0.25">
      <c r="B203" s="246"/>
      <c r="C203" s="202"/>
      <c r="D203" s="558"/>
      <c r="E203" s="202"/>
      <c r="F203" s="803"/>
      <c r="G203" s="803"/>
      <c r="H203" s="202"/>
      <c r="I203" s="1132"/>
      <c r="J203" s="202"/>
      <c r="K203" s="1298">
        <f>SUM(K198:K202)</f>
        <v>0</v>
      </c>
      <c r="L203" s="202"/>
      <c r="M203" s="202"/>
      <c r="N203" s="202"/>
      <c r="O203" s="202"/>
      <c r="P203" s="251"/>
      <c r="Q203" s="252"/>
    </row>
    <row r="204" spans="2:19" s="1035" customFormat="1" ht="10.15" customHeight="1" x14ac:dyDescent="0.25">
      <c r="C204" s="177"/>
      <c r="D204" s="1172"/>
      <c r="E204" s="177"/>
      <c r="F204" s="207"/>
      <c r="G204" s="234"/>
      <c r="H204" s="177"/>
      <c r="I204" s="235"/>
      <c r="J204" s="211"/>
      <c r="K204" s="212"/>
      <c r="L204" s="177"/>
      <c r="M204" s="212"/>
      <c r="N204" s="212"/>
      <c r="O204" s="212"/>
      <c r="P204" s="248"/>
      <c r="Q204" s="179"/>
      <c r="S204" s="691"/>
    </row>
    <row r="205" spans="2:19" s="1035" customFormat="1" ht="20.25" hidden="1" customHeight="1" thickBot="1" x14ac:dyDescent="0.3">
      <c r="B205" s="249"/>
      <c r="C205" s="183"/>
      <c r="D205" s="1508" t="s">
        <v>1209</v>
      </c>
      <c r="E205" s="1508"/>
      <c r="F205" s="213"/>
      <c r="G205" s="236"/>
      <c r="H205" s="183"/>
      <c r="I205" s="237"/>
      <c r="J205" s="216"/>
      <c r="K205" s="217"/>
      <c r="L205" s="183"/>
      <c r="M205" s="217"/>
      <c r="N205" s="1501"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501"/>
      <c r="P205" s="1502"/>
      <c r="Q205" s="179"/>
      <c r="S205" s="691"/>
    </row>
    <row r="206" spans="2:19" s="1035" customFormat="1" ht="18" hidden="1" customHeight="1" thickBot="1" x14ac:dyDescent="0.3">
      <c r="B206" s="244"/>
      <c r="C206" s="188"/>
      <c r="D206" s="1170" t="s">
        <v>528</v>
      </c>
      <c r="E206" s="1083" t="s">
        <v>653</v>
      </c>
      <c r="F206" s="801"/>
      <c r="G206" s="194" t="s">
        <v>1479</v>
      </c>
      <c r="H206" s="188"/>
      <c r="I206" s="194" t="s">
        <v>1480</v>
      </c>
      <c r="J206" s="41"/>
      <c r="K206" s="194" t="s">
        <v>1496</v>
      </c>
      <c r="L206" s="188"/>
      <c r="M206" s="194" t="s">
        <v>1481</v>
      </c>
      <c r="N206" s="1503"/>
      <c r="O206" s="1503"/>
      <c r="P206" s="1504"/>
      <c r="Q206" s="179"/>
      <c r="S206" s="691"/>
    </row>
    <row r="207" spans="2:19" s="1035" customFormat="1" ht="18" hidden="1" customHeight="1" thickBot="1" x14ac:dyDescent="0.3">
      <c r="B207" s="244"/>
      <c r="C207" s="188"/>
      <c r="D207" s="1053" t="s">
        <v>1482</v>
      </c>
      <c r="E207" s="1139" t="s">
        <v>1483</v>
      </c>
      <c r="F207" s="802" t="s">
        <v>924</v>
      </c>
      <c r="G207" s="1237"/>
      <c r="H207" s="188"/>
      <c r="I207" s="1231"/>
      <c r="J207" s="1129"/>
      <c r="K207" s="1231"/>
      <c r="L207" s="188"/>
      <c r="M207" s="1289"/>
      <c r="N207" s="1503"/>
      <c r="O207" s="1503"/>
      <c r="P207" s="1504"/>
      <c r="Q207" s="179"/>
      <c r="S207" s="691"/>
    </row>
    <row r="208" spans="2:19" s="1035" customFormat="1" ht="18" hidden="1" customHeight="1" thickBot="1" x14ac:dyDescent="0.3">
      <c r="B208" s="244"/>
      <c r="C208" s="188"/>
      <c r="D208" s="7"/>
      <c r="E208" s="188"/>
      <c r="F208" s="1129"/>
      <c r="G208" s="188"/>
      <c r="H208" s="188"/>
      <c r="I208" s="188"/>
      <c r="J208" s="188"/>
      <c r="K208" s="188"/>
      <c r="L208" s="1133"/>
      <c r="M208" s="188"/>
      <c r="N208" s="1503"/>
      <c r="O208" s="1503"/>
      <c r="P208" s="1504"/>
      <c r="Q208" s="179"/>
      <c r="S208" s="691"/>
    </row>
    <row r="209" spans="2:20" s="1035" customFormat="1" ht="18" hidden="1" customHeight="1" thickBot="1" x14ac:dyDescent="0.3">
      <c r="B209" s="244"/>
      <c r="C209" s="188"/>
      <c r="D209" s="1060" t="s">
        <v>1484</v>
      </c>
      <c r="E209" s="1246" t="str">
        <f>IF(E206="Yes",IF(Welcome!$D$6="New",IF('Required Info to Submit'!F$14="","",'Required Info to Submit'!F$14),""),"")</f>
        <v/>
      </c>
      <c r="F209" s="801"/>
      <c r="G209" s="229" t="s">
        <v>1495</v>
      </c>
      <c r="H209" s="188"/>
      <c r="I209" s="194" t="s">
        <v>1583</v>
      </c>
      <c r="J209" s="1509"/>
      <c r="K209" s="194" t="s">
        <v>751</v>
      </c>
      <c r="L209" s="1509"/>
      <c r="M209" s="194" t="s">
        <v>1584</v>
      </c>
      <c r="N209" s="1129"/>
      <c r="O209" s="6" t="s">
        <v>493</v>
      </c>
      <c r="P209" s="245"/>
      <c r="Q209" s="179"/>
      <c r="S209" s="691"/>
    </row>
    <row r="210" spans="2:20" s="1035" customFormat="1" ht="18" hidden="1" customHeight="1" thickBot="1" x14ac:dyDescent="0.3">
      <c r="B210" s="244"/>
      <c r="C210" s="188"/>
      <c r="D210" s="1060" t="s">
        <v>1485</v>
      </c>
      <c r="E210" s="1246" t="str">
        <f>IF(E206="Yes",IF(Welcome!$D$6="New",IF('Required Info to Submit'!F$17="","",'Required Info to Submit'!F$17),""),"")</f>
        <v/>
      </c>
      <c r="F210" s="802" t="s">
        <v>924</v>
      </c>
      <c r="G210" s="1232">
        <v>0</v>
      </c>
      <c r="H210" s="188"/>
      <c r="I210" s="1167">
        <v>1</v>
      </c>
      <c r="J210" s="1510"/>
      <c r="K210" s="1164"/>
      <c r="L210" s="1511"/>
      <c r="M210" s="1232"/>
      <c r="N210" s="1129"/>
      <c r="O210" s="1160">
        <f>IFERROR(IF($E$194="Yes",G210/$H$4,0),0)</f>
        <v>0</v>
      </c>
      <c r="P210" s="245"/>
      <c r="Q210" s="179"/>
      <c r="S210" s="691"/>
    </row>
    <row r="211" spans="2:20" s="1035" customFormat="1" ht="18" hidden="1" customHeight="1" x14ac:dyDescent="0.25">
      <c r="B211" s="244"/>
      <c r="C211" s="188"/>
      <c r="D211" s="1182"/>
      <c r="E211" s="804"/>
      <c r="F211" s="802"/>
      <c r="G211" s="643"/>
      <c r="H211" s="642"/>
      <c r="I211" s="1167">
        <v>2</v>
      </c>
      <c r="J211" s="1134"/>
      <c r="K211" s="1164"/>
      <c r="L211" s="1135"/>
      <c r="M211" s="1232"/>
      <c r="N211" s="1129"/>
      <c r="O211" s="1126"/>
      <c r="P211" s="245"/>
      <c r="Q211" s="179"/>
    </row>
    <row r="212" spans="2:20" s="1124" customFormat="1" ht="18" hidden="1" customHeight="1" x14ac:dyDescent="0.25">
      <c r="B212" s="244"/>
      <c r="C212" s="188"/>
      <c r="D212" s="1182"/>
      <c r="E212" s="804"/>
      <c r="F212" s="802"/>
      <c r="G212" s="194" t="s">
        <v>1488</v>
      </c>
      <c r="H212" s="642"/>
      <c r="I212" s="1167">
        <v>3</v>
      </c>
      <c r="J212" s="1134"/>
      <c r="K212" s="1164"/>
      <c r="L212" s="1135"/>
      <c r="M212" s="1232"/>
      <c r="N212" s="1129"/>
      <c r="O212" s="1126"/>
      <c r="P212" s="245"/>
      <c r="Q212" s="179"/>
    </row>
    <row r="213" spans="2:20" s="1124" customFormat="1" ht="18" hidden="1" customHeight="1" x14ac:dyDescent="0.25">
      <c r="B213" s="244"/>
      <c r="C213" s="188"/>
      <c r="D213" s="1182"/>
      <c r="E213" s="804"/>
      <c r="F213" s="802"/>
      <c r="G213" s="1247">
        <f>IFERROR(IF(Welcome!$D$6="New",Incentives!G210/(Incentives!H5*Incentives!H4),Incentives!G210/(Incentives!H5*(Incentives!E210-Incentives!E209)/365)),0)</f>
        <v>0</v>
      </c>
      <c r="H213" s="642"/>
      <c r="I213" s="1167">
        <v>4</v>
      </c>
      <c r="J213" s="1134"/>
      <c r="K213" s="1232"/>
      <c r="L213" s="1135"/>
      <c r="M213" s="1232"/>
      <c r="N213" s="1129"/>
      <c r="O213" s="1126"/>
      <c r="P213" s="245"/>
      <c r="Q213" s="179"/>
    </row>
    <row r="214" spans="2:20" s="1124" customFormat="1" ht="18" hidden="1" customHeight="1" x14ac:dyDescent="0.25">
      <c r="B214" s="244"/>
      <c r="C214" s="188"/>
      <c r="D214" s="1182"/>
      <c r="E214" s="804"/>
      <c r="F214" s="802"/>
      <c r="G214" s="643"/>
      <c r="H214" s="642"/>
      <c r="I214" s="1167">
        <v>5</v>
      </c>
      <c r="J214" s="1134"/>
      <c r="K214" s="1232"/>
      <c r="L214" s="1135"/>
      <c r="M214" s="1232"/>
      <c r="N214" s="1129"/>
      <c r="O214" s="1126"/>
      <c r="P214" s="245"/>
      <c r="Q214" s="179"/>
    </row>
    <row r="215" spans="2:20" s="176" customFormat="1" ht="21" hidden="1" customHeight="1" x14ac:dyDescent="0.25">
      <c r="B215" s="246"/>
      <c r="C215" s="202"/>
      <c r="D215" s="558"/>
      <c r="E215" s="202"/>
      <c r="F215" s="803"/>
      <c r="G215" s="803"/>
      <c r="H215" s="202"/>
      <c r="I215" s="1132"/>
      <c r="J215" s="202"/>
      <c r="K215" s="1136">
        <f>SUM(K210:K214)</f>
        <v>0</v>
      </c>
      <c r="L215" s="202"/>
      <c r="M215" s="202"/>
      <c r="N215" s="202"/>
      <c r="O215" s="202"/>
      <c r="P215" s="251"/>
      <c r="Q215" s="252"/>
    </row>
    <row r="216" spans="2:20" s="1035" customFormat="1" ht="10.15" hidden="1" customHeight="1" x14ac:dyDescent="0.25">
      <c r="C216" s="177"/>
      <c r="D216" s="1172"/>
      <c r="E216" s="177"/>
      <c r="F216" s="207"/>
      <c r="G216" s="234"/>
      <c r="H216" s="177"/>
      <c r="I216" s="235"/>
      <c r="J216" s="211"/>
      <c r="K216" s="212"/>
      <c r="L216" s="177"/>
      <c r="M216" s="212"/>
      <c r="N216" s="212"/>
      <c r="O216" s="212"/>
      <c r="P216" s="248"/>
      <c r="Q216" s="179"/>
      <c r="S216" s="691"/>
    </row>
    <row r="217" spans="2:20" s="176" customFormat="1" ht="20.25" hidden="1" customHeight="1" thickBot="1" x14ac:dyDescent="0.3">
      <c r="B217" s="249"/>
      <c r="C217" s="184"/>
      <c r="D217" s="1505" t="s">
        <v>1585</v>
      </c>
      <c r="E217" s="1505"/>
      <c r="F217" s="1137"/>
      <c r="G217" s="184"/>
      <c r="H217" s="184"/>
      <c r="I217" s="184"/>
      <c r="J217" s="184"/>
      <c r="K217" s="184"/>
      <c r="L217" s="184"/>
      <c r="M217" s="184"/>
      <c r="N217" s="184"/>
      <c r="O217" s="184"/>
      <c r="P217" s="716"/>
      <c r="Q217" s="252"/>
    </row>
    <row r="218" spans="2:20" s="176" customFormat="1" ht="17.25" hidden="1" customHeight="1" thickBot="1" x14ac:dyDescent="0.3">
      <c r="B218" s="244"/>
      <c r="C218" s="145"/>
      <c r="D218" s="1170" t="s">
        <v>528</v>
      </c>
      <c r="E218" s="1083" t="s">
        <v>653</v>
      </c>
      <c r="F218" s="240"/>
      <c r="G218" s="1068"/>
      <c r="H218" s="145"/>
      <c r="I218" s="194" t="s">
        <v>1480</v>
      </c>
      <c r="J218" s="41"/>
      <c r="K218" s="194" t="s">
        <v>1496</v>
      </c>
      <c r="L218" s="145"/>
      <c r="M218" s="145"/>
      <c r="N218" s="145"/>
      <c r="O218" s="145"/>
      <c r="P218" s="717"/>
      <c r="Q218" s="252"/>
    </row>
    <row r="219" spans="2:20" s="176" customFormat="1" ht="36" hidden="1" customHeight="1" thickBot="1" x14ac:dyDescent="0.3">
      <c r="B219" s="244"/>
      <c r="C219" s="145"/>
      <c r="D219" s="1053" t="s">
        <v>1482</v>
      </c>
      <c r="E219" s="1139" t="s">
        <v>1483</v>
      </c>
      <c r="F219" s="196"/>
      <c r="G219" s="1068"/>
      <c r="H219" s="145"/>
      <c r="I219" s="1228"/>
      <c r="J219" s="1129"/>
      <c r="K219" s="1231"/>
      <c r="L219" s="145"/>
      <c r="M219" s="1229"/>
      <c r="N219" s="145"/>
      <c r="O219" s="145"/>
      <c r="P219" s="717"/>
      <c r="Q219" s="252"/>
    </row>
    <row r="220" spans="2:20" s="176" customFormat="1" ht="15" hidden="1" customHeight="1" thickBot="1" x14ac:dyDescent="0.3">
      <c r="B220" s="244"/>
      <c r="C220" s="145"/>
      <c r="D220" s="7"/>
      <c r="E220" s="692"/>
      <c r="F220" s="1068"/>
      <c r="G220" s="1068"/>
      <c r="H220" s="145"/>
      <c r="I220" s="188"/>
      <c r="J220" s="188"/>
      <c r="K220" s="188"/>
      <c r="L220" s="145"/>
      <c r="M220" s="145"/>
      <c r="N220" s="145"/>
      <c r="O220" s="145"/>
      <c r="P220" s="717"/>
      <c r="Q220" s="252"/>
      <c r="S220" s="688" t="str">
        <f>IF($D$227=0,"",IF($E220="NO","",IF($I219="Select Payment Method","X","")))</f>
        <v/>
      </c>
    </row>
    <row r="221" spans="2:20" s="176" customFormat="1" ht="16.5" hidden="1" thickBot="1" x14ac:dyDescent="0.3">
      <c r="B221" s="244"/>
      <c r="C221" s="145"/>
      <c r="D221" s="1060" t="s">
        <v>1484</v>
      </c>
      <c r="E221" s="1246" t="str">
        <f>IF(E218="Yes",IF(Welcome!$D$6="New",IF('Required Info to Submit'!F$14="","",'Required Info to Submit'!F$14),""),"")</f>
        <v/>
      </c>
      <c r="F221" s="240"/>
      <c r="G221" s="1129"/>
      <c r="H221" s="145"/>
      <c r="I221" s="1129"/>
      <c r="J221" s="1129"/>
      <c r="K221" s="194" t="s">
        <v>1488</v>
      </c>
      <c r="L221" s="188"/>
      <c r="M221" s="145"/>
      <c r="N221" s="145"/>
      <c r="O221" s="1343"/>
      <c r="P221" s="717"/>
      <c r="Q221" s="252"/>
    </row>
    <row r="222" spans="2:20" s="176" customFormat="1" ht="18" hidden="1" customHeight="1" thickBot="1" x14ac:dyDescent="0.3">
      <c r="B222" s="244"/>
      <c r="C222" s="145"/>
      <c r="D222" s="1060" t="s">
        <v>1485</v>
      </c>
      <c r="E222" s="1246" t="str">
        <f>IF(E218="Yes",IF(Welcome!$D$6="New",IF('Required Info to Submit'!F$17="","",'Required Info to Submit'!F$17),""),"")</f>
        <v/>
      </c>
      <c r="F222" s="196"/>
      <c r="G222" s="1129"/>
      <c r="H222" s="145"/>
      <c r="I222" s="1129"/>
      <c r="J222" s="1129"/>
      <c r="K222" s="1247"/>
      <c r="L222" s="1138">
        <f>IF(G201&gt;1,1,G201)</f>
        <v>0</v>
      </c>
      <c r="M222" s="145"/>
      <c r="N222" s="145"/>
      <c r="O222" s="857"/>
      <c r="P222" s="717"/>
      <c r="Q222" s="252"/>
    </row>
    <row r="223" spans="2:20" s="176" customFormat="1" ht="36.75" hidden="1" customHeight="1" x14ac:dyDescent="0.25">
      <c r="B223" s="246"/>
      <c r="C223" s="202"/>
      <c r="D223" s="558"/>
      <c r="E223" s="202"/>
      <c r="F223" s="202"/>
      <c r="G223" s="837"/>
      <c r="H223" s="202"/>
      <c r="I223" s="202"/>
      <c r="J223" s="202"/>
      <c r="K223" s="1350" t="str">
        <f>IF(AND(K222&lt;=G201,K222&gt;0.01),"Recommended NCI is 1%",IF(AND(K222&gt;0.01,K222&gt;G201),"Rate cannot be greater than the Prepaid Rate % of Sales",""))</f>
        <v/>
      </c>
      <c r="L223" s="202"/>
      <c r="M223" s="202"/>
      <c r="N223" s="202"/>
      <c r="O223" s="202"/>
      <c r="P223" s="251"/>
      <c r="Q223" s="252"/>
    </row>
    <row r="224" spans="2:20" s="176" customFormat="1" ht="24" customHeight="1" thickBot="1" x14ac:dyDescent="0.3">
      <c r="C224" s="180"/>
      <c r="D224" s="532"/>
      <c r="E224" s="180"/>
      <c r="F224" s="180"/>
      <c r="G224" s="180"/>
      <c r="H224" s="180"/>
      <c r="I224" s="180"/>
      <c r="J224" s="180"/>
      <c r="K224" s="180"/>
      <c r="L224" s="180"/>
      <c r="M224" s="1081"/>
      <c r="N224" s="180"/>
      <c r="O224" s="180"/>
      <c r="P224" s="180"/>
      <c r="Q224" s="252"/>
      <c r="R224" s="180"/>
      <c r="S224" s="180"/>
      <c r="T224" s="180"/>
    </row>
    <row r="225" spans="1:22" s="176" customFormat="1" ht="24" customHeight="1" thickBot="1" x14ac:dyDescent="0.3">
      <c r="C225" s="180"/>
      <c r="D225" s="532"/>
      <c r="E225" s="180"/>
      <c r="F225" s="180"/>
      <c r="G225" s="180"/>
      <c r="H225" s="180"/>
      <c r="I225" s="180"/>
      <c r="J225" s="180"/>
      <c r="K225" s="180"/>
      <c r="L225" s="180"/>
      <c r="M225" s="1081"/>
      <c r="N225" s="254" t="s">
        <v>1831</v>
      </c>
      <c r="O225" s="1344"/>
      <c r="P225" s="180"/>
      <c r="Q225" s="252"/>
      <c r="R225" s="180"/>
      <c r="S225" s="180"/>
      <c r="T225" s="180"/>
    </row>
    <row r="226" spans="1:22" s="176" customFormat="1" ht="24" customHeight="1" thickBot="1" x14ac:dyDescent="0.3">
      <c r="C226" s="180"/>
      <c r="D226" s="532"/>
      <c r="E226" s="180"/>
      <c r="F226" s="180"/>
      <c r="G226" s="180"/>
      <c r="H226" s="180"/>
      <c r="I226" s="180"/>
      <c r="J226" s="180"/>
      <c r="K226" s="180"/>
      <c r="L226" s="180"/>
      <c r="M226" s="1081"/>
      <c r="N226" s="180"/>
      <c r="O226" s="180"/>
      <c r="P226" s="180"/>
      <c r="Q226" s="252"/>
      <c r="R226" s="180"/>
      <c r="S226" s="180"/>
      <c r="T226" s="180"/>
    </row>
    <row r="227" spans="1:22" s="253" customFormat="1" ht="24" customHeight="1" thickBot="1" x14ac:dyDescent="0.35">
      <c r="D227" s="1178">
        <f>'Customer Inputs'!$K$17</f>
        <v>0</v>
      </c>
      <c r="M227" s="1082"/>
      <c r="N227" s="254" t="s">
        <v>226</v>
      </c>
      <c r="O227" s="1322">
        <f>IFERROR(O19+O33+O47+O61+O75+O89+O103+O115+O123+O131+O139+O147+O155+O163+O171+O179+O187+O198+O210+O225,0)</f>
        <v>0</v>
      </c>
      <c r="Q227" s="255"/>
      <c r="T227" s="391"/>
      <c r="U227" s="391"/>
      <c r="V227" s="392"/>
    </row>
    <row r="228" spans="1:22" s="253" customFormat="1" ht="27.6" customHeight="1" thickBot="1" x14ac:dyDescent="0.35">
      <c r="D228" s="1179"/>
      <c r="L228" s="254"/>
      <c r="M228" s="686" t="str">
        <f>IF(M230&gt;0,"**Select Payment Method Above**","")</f>
        <v/>
      </c>
      <c r="N228" s="686"/>
      <c r="O228" s="686"/>
      <c r="P228" s="476" t="s">
        <v>202</v>
      </c>
      <c r="Q228" s="255"/>
    </row>
    <row r="229" spans="1:22" ht="24" customHeight="1" thickBot="1" x14ac:dyDescent="0.3">
      <c r="N229" s="254" t="s">
        <v>227</v>
      </c>
      <c r="O229" s="1323">
        <f>IFERROR($O$227/'PIM Model'!$G$31,0)</f>
        <v>0</v>
      </c>
      <c r="P229" s="477">
        <v>0.05</v>
      </c>
      <c r="Q229" s="138"/>
      <c r="R229" s="1034"/>
    </row>
    <row r="230" spans="1:22" ht="24" customHeight="1" thickBot="1" x14ac:dyDescent="0.3">
      <c r="A230" s="257"/>
      <c r="B230" s="257"/>
      <c r="C230" s="257"/>
      <c r="D230" s="1180"/>
      <c r="E230" s="257"/>
      <c r="F230" s="257"/>
      <c r="G230" s="257"/>
      <c r="H230" s="257"/>
      <c r="I230" s="257"/>
      <c r="J230" s="257"/>
      <c r="K230" s="257"/>
      <c r="L230" s="654"/>
      <c r="M230" s="687">
        <f>COUNTIF($S$14:$S$223,"X")</f>
        <v>0</v>
      </c>
      <c r="N230" s="687"/>
      <c r="O230" s="687"/>
      <c r="P230" s="655"/>
      <c r="Q230" s="258"/>
      <c r="R230" s="1034"/>
    </row>
    <row r="231" spans="1:22" ht="48.6" customHeight="1" x14ac:dyDescent="0.25">
      <c r="C231" s="1506"/>
      <c r="D231" s="1506"/>
      <c r="I231" s="653"/>
      <c r="L231" s="1035"/>
      <c r="M231" s="1507"/>
      <c r="N231" s="1507"/>
      <c r="O231" s="1507"/>
      <c r="P231" s="1507"/>
      <c r="R231" s="1034"/>
    </row>
  </sheetData>
  <sheetProtection algorithmName="SHA-512" hashValue="UVggMrS+k6W9FkLQr+5PF9B/mt1ejWVxjNnP3hKRgQ7hFGexUtjVhgffn0QAcTzme/HNm1eAAs+fG7r3ctGppg==" saltValue="dej5ovk1HF52PL/j1tlgdw==" spinCount="100000" sheet="1" objects="1" scenarios="1"/>
  <mergeCells count="53">
    <mergeCell ref="D189:E189"/>
    <mergeCell ref="D190:E190"/>
    <mergeCell ref="N182:P185"/>
    <mergeCell ref="D182:E182"/>
    <mergeCell ref="H10:I10"/>
    <mergeCell ref="G12:H12"/>
    <mergeCell ref="J12:K12"/>
    <mergeCell ref="D26:E26"/>
    <mergeCell ref="G26:H26"/>
    <mergeCell ref="J26:K26"/>
    <mergeCell ref="D110:E110"/>
    <mergeCell ref="D150:E150"/>
    <mergeCell ref="D158:E158"/>
    <mergeCell ref="D166:E166"/>
    <mergeCell ref="D12:E12"/>
    <mergeCell ref="J40:K40"/>
    <mergeCell ref="H3:I3"/>
    <mergeCell ref="L3:M3"/>
    <mergeCell ref="H4:I4"/>
    <mergeCell ref="L4:M4"/>
    <mergeCell ref="H5:I5"/>
    <mergeCell ref="L5:M5"/>
    <mergeCell ref="D126:E126"/>
    <mergeCell ref="D142:E142"/>
    <mergeCell ref="D134:E134"/>
    <mergeCell ref="H6:I6"/>
    <mergeCell ref="L6:M6"/>
    <mergeCell ref="H7:I7"/>
    <mergeCell ref="L7:M7"/>
    <mergeCell ref="H9:I9"/>
    <mergeCell ref="D54:E54"/>
    <mergeCell ref="D68:E68"/>
    <mergeCell ref="D82:E82"/>
    <mergeCell ref="D96:E96"/>
    <mergeCell ref="D118:E118"/>
    <mergeCell ref="D8:D9"/>
    <mergeCell ref="E8:E9"/>
    <mergeCell ref="T10:T11"/>
    <mergeCell ref="S10:S11"/>
    <mergeCell ref="N205:P208"/>
    <mergeCell ref="D217:E217"/>
    <mergeCell ref="C231:D231"/>
    <mergeCell ref="M231:P231"/>
    <mergeCell ref="D193:E193"/>
    <mergeCell ref="D205:E205"/>
    <mergeCell ref="J197:J198"/>
    <mergeCell ref="L197:L198"/>
    <mergeCell ref="J209:J210"/>
    <mergeCell ref="L209:L210"/>
    <mergeCell ref="N193:P196"/>
    <mergeCell ref="D174:E174"/>
    <mergeCell ref="D40:E40"/>
    <mergeCell ref="G40:H40"/>
  </mergeCells>
  <conditionalFormatting sqref="O229">
    <cfRule type="expression" dxfId="471" priority="370">
      <formula>$M$230&gt;0</formula>
    </cfRule>
    <cfRule type="cellIs" dxfId="470" priority="373" operator="lessThan">
      <formula>$P$229</formula>
    </cfRule>
    <cfRule type="cellIs" dxfId="469" priority="374" operator="greaterThan">
      <formula>$P$229</formula>
    </cfRule>
  </conditionalFormatting>
  <conditionalFormatting sqref="I14">
    <cfRule type="expression" dxfId="468" priority="372">
      <formula>$E$14&lt;&gt;"Please Select"</formula>
    </cfRule>
  </conditionalFormatting>
  <conditionalFormatting sqref="G61 K61">
    <cfRule type="expression" dxfId="467" priority="371">
      <formula>OR($E56="DS Tiered Average Invoice Dollar Qualifier",$E56="DS Threshold Average Invoice Dollar Qualifier")</formula>
    </cfRule>
  </conditionalFormatting>
  <conditionalFormatting sqref="G14">
    <cfRule type="expression" dxfId="466" priority="368">
      <formula>$E$14&lt;&gt;"Please Select"</formula>
    </cfRule>
  </conditionalFormatting>
  <conditionalFormatting sqref="G17">
    <cfRule type="expression" dxfId="465" priority="361">
      <formula>$E$15="YES"</formula>
    </cfRule>
  </conditionalFormatting>
  <conditionalFormatting sqref="G31">
    <cfRule type="expression" dxfId="464" priority="360">
      <formula>$E$15="YES"</formula>
    </cfRule>
  </conditionalFormatting>
  <conditionalFormatting sqref="G45">
    <cfRule type="expression" dxfId="463" priority="358">
      <formula>$E$15="YES"</formula>
    </cfRule>
  </conditionalFormatting>
  <conditionalFormatting sqref="E14">
    <cfRule type="expression" dxfId="462" priority="356">
      <formula>$E$13="No"</formula>
    </cfRule>
    <cfRule type="expression" dxfId="461" priority="357">
      <formula>$E$13="Yes"</formula>
    </cfRule>
  </conditionalFormatting>
  <conditionalFormatting sqref="E28">
    <cfRule type="expression" dxfId="460" priority="354">
      <formula>$E$27="No"</formula>
    </cfRule>
    <cfRule type="expression" dxfId="459" priority="355">
      <formula>$E$27="Yes"</formula>
    </cfRule>
  </conditionalFormatting>
  <conditionalFormatting sqref="E42">
    <cfRule type="expression" dxfId="458" priority="352">
      <formula>$E$41="No"</formula>
    </cfRule>
    <cfRule type="expression" dxfId="457" priority="353">
      <formula>$E$41="Yes"</formula>
    </cfRule>
  </conditionalFormatting>
  <conditionalFormatting sqref="M14">
    <cfRule type="expression" dxfId="456" priority="349">
      <formula>$K$14&lt;&gt;"Corporate Office"</formula>
    </cfRule>
    <cfRule type="expression" dxfId="455" priority="350">
      <formula>AND($K$14="Corporate Office",$I$14="Check")</formula>
    </cfRule>
    <cfRule type="expression" dxfId="454" priority="351">
      <formula>AND($I$14="Credit Memo",$K$14="Corporate Office")</formula>
    </cfRule>
  </conditionalFormatting>
  <conditionalFormatting sqref="M28">
    <cfRule type="expression" dxfId="453" priority="346">
      <formula>$K$28&lt;&gt;"Corporate Office"</formula>
    </cfRule>
    <cfRule type="expression" dxfId="452" priority="347">
      <formula>AND($K$28="Corporate Office",$I$28="Check")</formula>
    </cfRule>
    <cfRule type="expression" dxfId="451" priority="348">
      <formula>AND($I$28="Credit Memo",$K$28="Corporate Office")</formula>
    </cfRule>
  </conditionalFormatting>
  <conditionalFormatting sqref="M42">
    <cfRule type="expression" dxfId="450" priority="343">
      <formula>$K$42&lt;&gt;"Corporate Office"</formula>
    </cfRule>
    <cfRule type="expression" dxfId="449" priority="344">
      <formula>AND($K$42="Corporate Office",$I$42="Check")</formula>
    </cfRule>
    <cfRule type="expression" dxfId="448" priority="345">
      <formula>AND($I$42="Credit Memo",$K$42="Corporate Office")</formula>
    </cfRule>
  </conditionalFormatting>
  <conditionalFormatting sqref="E56">
    <cfRule type="expression" dxfId="447" priority="340">
      <formula>$E$55="Yes"</formula>
    </cfRule>
    <cfRule type="expression" dxfId="446" priority="341">
      <formula>$E$55="No"</formula>
    </cfRule>
  </conditionalFormatting>
  <conditionalFormatting sqref="E70">
    <cfRule type="expression" dxfId="445" priority="338">
      <formula>$E$69="Yes"</formula>
    </cfRule>
    <cfRule type="expression" dxfId="444" priority="339">
      <formula>$E$69="No"</formula>
    </cfRule>
  </conditionalFormatting>
  <conditionalFormatting sqref="K14">
    <cfRule type="expression" dxfId="443" priority="337">
      <formula>AND($E14&lt;&gt;"Please Select",$I14&lt;&gt;"Check")</formula>
    </cfRule>
  </conditionalFormatting>
  <conditionalFormatting sqref="I56">
    <cfRule type="expression" dxfId="442" priority="336">
      <formula>$E$56&lt;&gt;"Please Select"</formula>
    </cfRule>
  </conditionalFormatting>
  <conditionalFormatting sqref="G56">
    <cfRule type="expression" dxfId="441" priority="334">
      <formula>$E$56&lt;&gt;"Please Select"</formula>
    </cfRule>
  </conditionalFormatting>
  <conditionalFormatting sqref="I28">
    <cfRule type="expression" dxfId="440" priority="333">
      <formula>$E$28&lt;&gt;"Please Select"</formula>
    </cfRule>
  </conditionalFormatting>
  <conditionalFormatting sqref="G28">
    <cfRule type="expression" dxfId="439" priority="332">
      <formula>$E$28&lt;&gt;"Please Select"</formula>
    </cfRule>
  </conditionalFormatting>
  <conditionalFormatting sqref="I42">
    <cfRule type="expression" dxfId="438" priority="330">
      <formula>$E$42&lt;&gt;"Please Select"</formula>
    </cfRule>
  </conditionalFormatting>
  <conditionalFormatting sqref="G42">
    <cfRule type="expression" dxfId="437" priority="329">
      <formula>$E$42&lt;&gt;"Please Select"</formula>
    </cfRule>
  </conditionalFormatting>
  <conditionalFormatting sqref="I70">
    <cfRule type="expression" dxfId="436" priority="327">
      <formula>$E$70&lt;&gt;"Please Select"</formula>
    </cfRule>
  </conditionalFormatting>
  <conditionalFormatting sqref="G70">
    <cfRule type="expression" dxfId="435" priority="325">
      <formula>$E$70&lt;&gt;"Please Select"</formula>
    </cfRule>
  </conditionalFormatting>
  <conditionalFormatting sqref="M56">
    <cfRule type="expression" dxfId="434" priority="317">
      <formula>$K$56&lt;&gt;"Corporate Office"</formula>
    </cfRule>
    <cfRule type="expression" dxfId="433" priority="318">
      <formula>AND($K$56="Corporate Office",$I$56="Check")</formula>
    </cfRule>
    <cfRule type="expression" dxfId="432" priority="319">
      <formula>AND($I$56="Credit Memo",$K$56="Corporate Office")</formula>
    </cfRule>
  </conditionalFormatting>
  <conditionalFormatting sqref="M70">
    <cfRule type="expression" dxfId="431" priority="314">
      <formula>$K$70&lt;&gt;"Corporate Office"</formula>
    </cfRule>
    <cfRule type="expression" dxfId="430" priority="315">
      <formula>AND($K$70="Corporate Office",$I$70="Check")</formula>
    </cfRule>
    <cfRule type="expression" dxfId="429" priority="316">
      <formula>AND($I$70="Credit Memo",$K$70="Corporate Office")</formula>
    </cfRule>
  </conditionalFormatting>
  <conditionalFormatting sqref="I84">
    <cfRule type="expression" dxfId="428" priority="313">
      <formula>$E$84&lt;&gt;"Please Select"</formula>
    </cfRule>
  </conditionalFormatting>
  <conditionalFormatting sqref="G84">
    <cfRule type="expression" dxfId="427" priority="311">
      <formula>$E$84&lt;&gt;"Please Select"</formula>
    </cfRule>
  </conditionalFormatting>
  <conditionalFormatting sqref="M84">
    <cfRule type="expression" dxfId="426" priority="308">
      <formula>$K$84&lt;&gt;"Corporate Office"</formula>
    </cfRule>
    <cfRule type="expression" dxfId="425" priority="309">
      <formula>AND($K$84="Corporate Office",$I$84="Check")</formula>
    </cfRule>
    <cfRule type="expression" dxfId="424" priority="310">
      <formula>AND($I$84="Credit Memo",$K$84="Corporate Office")</formula>
    </cfRule>
  </conditionalFormatting>
  <conditionalFormatting sqref="I98">
    <cfRule type="expression" dxfId="423" priority="307">
      <formula>$E$98&lt;&gt;"Please Select"</formula>
    </cfRule>
  </conditionalFormatting>
  <conditionalFormatting sqref="G98">
    <cfRule type="expression" dxfId="422" priority="305">
      <formula>$E$98&lt;&gt;"Please Select"</formula>
    </cfRule>
  </conditionalFormatting>
  <conditionalFormatting sqref="M98">
    <cfRule type="expression" dxfId="421" priority="302">
      <formula>$K$98&lt;&gt;"Corporate Office"</formula>
    </cfRule>
    <cfRule type="expression" dxfId="420" priority="303">
      <formula>AND($K$98="Corporate Office",$I$98="Check")</formula>
    </cfRule>
    <cfRule type="expression" dxfId="419" priority="304">
      <formula>AND($I$98="Credit Memo",$K$98="Corporate Office")</formula>
    </cfRule>
  </conditionalFormatting>
  <conditionalFormatting sqref="E98">
    <cfRule type="expression" dxfId="418" priority="300">
      <formula>$E$97="Yes"</formula>
    </cfRule>
    <cfRule type="expression" dxfId="417" priority="301">
      <formula>$E$97="No"</formula>
    </cfRule>
  </conditionalFormatting>
  <conditionalFormatting sqref="E84">
    <cfRule type="expression" dxfId="416" priority="298">
      <formula>$E$83="Yes"</formula>
    </cfRule>
    <cfRule type="expression" dxfId="415" priority="299">
      <formula>$E$83="No"</formula>
    </cfRule>
  </conditionalFormatting>
  <conditionalFormatting sqref="G33">
    <cfRule type="expression" dxfId="414" priority="297">
      <formula>OR($E28="Volume Incentive Threshold",$E28="Volume Incentive Tiered")</formula>
    </cfRule>
  </conditionalFormatting>
  <conditionalFormatting sqref="G34">
    <cfRule type="expression" dxfId="413" priority="296">
      <formula>$E28="Volume Incentive Tiered"</formula>
    </cfRule>
  </conditionalFormatting>
  <conditionalFormatting sqref="G47">
    <cfRule type="expression" dxfId="412" priority="295">
      <formula>OR($E42="Volume Incentive Threshold",$E42="Volume Incentive Tiered")</formula>
    </cfRule>
  </conditionalFormatting>
  <conditionalFormatting sqref="G48">
    <cfRule type="expression" dxfId="411" priority="294">
      <formula>$E42="Volume Incentive Tiered"</formula>
    </cfRule>
  </conditionalFormatting>
  <conditionalFormatting sqref="G19">
    <cfRule type="expression" dxfId="410" priority="293">
      <formula>OR($E14="Volume Incentive Threshold",$E14="Volume Incentive Tiered")</formula>
    </cfRule>
  </conditionalFormatting>
  <conditionalFormatting sqref="G20 K20">
    <cfRule type="expression" dxfId="409" priority="292">
      <formula>$E14="Volume Incentive Tiered"</formula>
    </cfRule>
  </conditionalFormatting>
  <conditionalFormatting sqref="G62 K62">
    <cfRule type="expression" dxfId="408" priority="291">
      <formula>$E56="DS Tiered Average Invoice Dollar Qualifier"</formula>
    </cfRule>
  </conditionalFormatting>
  <conditionalFormatting sqref="G75">
    <cfRule type="expression" dxfId="407" priority="290">
      <formula>OR($E70="DS Tiered Average Invoice Dollar Qualifier",$E70="DS Threshold Average Invoice Dollar Qualifier")</formula>
    </cfRule>
  </conditionalFormatting>
  <conditionalFormatting sqref="G76">
    <cfRule type="expression" dxfId="406" priority="289">
      <formula>$E70="DS Tiered Average Invoice Dollar Qualifier"</formula>
    </cfRule>
  </conditionalFormatting>
  <conditionalFormatting sqref="G89">
    <cfRule type="expression" dxfId="405" priority="288">
      <formula>OR($E$84="EB Threshold Percent Qualifier",$E$84="EB Tiered Percent Qualifier")</formula>
    </cfRule>
  </conditionalFormatting>
  <conditionalFormatting sqref="K90">
    <cfRule type="expression" dxfId="404" priority="287">
      <formula>$E84="EB Tiered Percent Qualifier"</formula>
    </cfRule>
  </conditionalFormatting>
  <conditionalFormatting sqref="G103">
    <cfRule type="expression" dxfId="403" priority="286">
      <formula>OR($E$98="EB Threshold Percent Qualifier",$E$98="EB Tiered Percent Qualifier")</formula>
    </cfRule>
  </conditionalFormatting>
  <conditionalFormatting sqref="I112">
    <cfRule type="expression" dxfId="402" priority="282">
      <formula>$E$112&lt;&gt;"Please Select"</formula>
    </cfRule>
  </conditionalFormatting>
  <conditionalFormatting sqref="G112">
    <cfRule type="expression" dxfId="401" priority="280">
      <formula>$E$112&lt;&gt;"Please Select"</formula>
    </cfRule>
  </conditionalFormatting>
  <conditionalFormatting sqref="M112">
    <cfRule type="expression" dxfId="400" priority="277">
      <formula>$K$112&lt;&gt;"Corporate Office"</formula>
    </cfRule>
    <cfRule type="expression" dxfId="399" priority="278">
      <formula>AND($K$112="Corporate Office",$I$112="Check")</formula>
    </cfRule>
    <cfRule type="expression" dxfId="398" priority="279">
      <formula>AND($I$112="Credit Memo",$K$112="Corporate Office")</formula>
    </cfRule>
  </conditionalFormatting>
  <conditionalFormatting sqref="E112">
    <cfRule type="expression" dxfId="397" priority="276">
      <formula>$E$111="Yes"</formula>
    </cfRule>
  </conditionalFormatting>
  <conditionalFormatting sqref="G115">
    <cfRule type="expression" dxfId="396" priority="275">
      <formula>$E$112="Growth Incentive Single Rate"</formula>
    </cfRule>
  </conditionalFormatting>
  <conditionalFormatting sqref="K115">
    <cfRule type="expression" dxfId="395" priority="274">
      <formula>$E$112&lt;&gt;"Please Select"</formula>
    </cfRule>
  </conditionalFormatting>
  <conditionalFormatting sqref="I152">
    <cfRule type="expression" dxfId="394" priority="273">
      <formula>$E$152&lt;&gt;"Please Select"</formula>
    </cfRule>
  </conditionalFormatting>
  <conditionalFormatting sqref="G152">
    <cfRule type="expression" dxfId="393" priority="271">
      <formula>$E$152&lt;&gt;"Please Select"</formula>
    </cfRule>
  </conditionalFormatting>
  <conditionalFormatting sqref="M152">
    <cfRule type="expression" dxfId="392" priority="268">
      <formula>$K$152&lt;&gt;"Corporate Office"</formula>
    </cfRule>
    <cfRule type="expression" dxfId="391" priority="269">
      <formula>AND($K$152="Corporate Office",$I$152="Check")</formula>
    </cfRule>
    <cfRule type="expression" dxfId="390" priority="270">
      <formula>AND($I$152="Credit Memo",$K$152="Corporate Office")</formula>
    </cfRule>
  </conditionalFormatting>
  <conditionalFormatting sqref="G155">
    <cfRule type="expression" dxfId="389" priority="267">
      <formula>$E$152="E-Commerce Incentive Threshold"</formula>
    </cfRule>
  </conditionalFormatting>
  <conditionalFormatting sqref="E152">
    <cfRule type="expression" dxfId="388" priority="265">
      <formula>$E$151="Yes"</formula>
    </cfRule>
  </conditionalFormatting>
  <conditionalFormatting sqref="I160">
    <cfRule type="expression" dxfId="387" priority="264">
      <formula>$E$160&lt;&gt;"Please Select"</formula>
    </cfRule>
  </conditionalFormatting>
  <conditionalFormatting sqref="M160">
    <cfRule type="expression" dxfId="386" priority="261">
      <formula>$K$160&lt;&gt;"Corporate Office"</formula>
    </cfRule>
    <cfRule type="expression" dxfId="385" priority="262">
      <formula>AND($K$160="Corporate Office",$I$160="Check")</formula>
    </cfRule>
    <cfRule type="expression" dxfId="384" priority="263">
      <formula>AND($I$160="Credit Memo",$K$160="Corporate Office")</formula>
    </cfRule>
  </conditionalFormatting>
  <conditionalFormatting sqref="E160">
    <cfRule type="expression" dxfId="383" priority="260">
      <formula>$E$159="Yes"</formula>
    </cfRule>
  </conditionalFormatting>
  <conditionalFormatting sqref="G163">
    <cfRule type="expression" dxfId="382" priority="259">
      <formula>$E$160&lt;&gt;"Please Select"</formula>
    </cfRule>
  </conditionalFormatting>
  <conditionalFormatting sqref="E168">
    <cfRule type="expression" dxfId="381" priority="258">
      <formula>$E$167="Yes"</formula>
    </cfRule>
  </conditionalFormatting>
  <conditionalFormatting sqref="I168">
    <cfRule type="expression" dxfId="380" priority="257">
      <formula>$E$168&lt;&gt;"Please Select"</formula>
    </cfRule>
  </conditionalFormatting>
  <conditionalFormatting sqref="M168">
    <cfRule type="expression" dxfId="379" priority="254">
      <formula>$K$168&lt;&gt;"Corporate Office"</formula>
    </cfRule>
    <cfRule type="expression" dxfId="378" priority="255">
      <formula>AND($K$168="Corporate Office",$I$168="Check")</formula>
    </cfRule>
    <cfRule type="expression" dxfId="377" priority="256">
      <formula>AND($I$168="Credit Memo",$K$168="Corporate Office")</formula>
    </cfRule>
  </conditionalFormatting>
  <conditionalFormatting sqref="G171">
    <cfRule type="expression" dxfId="376" priority="253">
      <formula>$E$168&lt;&gt;"Please Select"</formula>
    </cfRule>
  </conditionalFormatting>
  <conditionalFormatting sqref="I176">
    <cfRule type="expression" dxfId="375" priority="251">
      <formula>$E$176&lt;&gt;"Please Select"</formula>
    </cfRule>
  </conditionalFormatting>
  <conditionalFormatting sqref="G176">
    <cfRule type="expression" dxfId="374" priority="249">
      <formula>$E$176&lt;&gt;"Please Select"</formula>
    </cfRule>
  </conditionalFormatting>
  <conditionalFormatting sqref="M176">
    <cfRule type="expression" dxfId="373" priority="246">
      <formula>$K$176&lt;&gt;"Corporate Office"</formula>
    </cfRule>
    <cfRule type="expression" dxfId="372" priority="247">
      <formula>AND($K$176="Corporate Office",$I$176="Check")</formula>
    </cfRule>
    <cfRule type="expression" dxfId="371" priority="248">
      <formula>AND($I$176="Credit Memo",$K$176="Corporate Office")</formula>
    </cfRule>
  </conditionalFormatting>
  <conditionalFormatting sqref="E176">
    <cfRule type="expression" dxfId="370" priority="245">
      <formula>$E$175="Yes"</formula>
    </cfRule>
  </conditionalFormatting>
  <conditionalFormatting sqref="K155">
    <cfRule type="expression" dxfId="369" priority="243">
      <formula>$E$152&lt;&gt;"Please Select"</formula>
    </cfRule>
  </conditionalFormatting>
  <conditionalFormatting sqref="K179">
    <cfRule type="expression" dxfId="368" priority="242">
      <formula>$E$176&lt;&gt;"Please Select"</formula>
    </cfRule>
  </conditionalFormatting>
  <conditionalFormatting sqref="I184">
    <cfRule type="expression" dxfId="367" priority="236">
      <formula>$E184&lt;&gt;"Please Select"</formula>
    </cfRule>
  </conditionalFormatting>
  <conditionalFormatting sqref="M184">
    <cfRule type="expression" dxfId="366" priority="233">
      <formula>$K184&lt;&gt;"Corporate Office"</formula>
    </cfRule>
    <cfRule type="expression" dxfId="365" priority="234">
      <formula>AND($K184="Corporate Office",$I184="Check")</formula>
    </cfRule>
    <cfRule type="expression" dxfId="364" priority="235">
      <formula>AND($I184="Credit Memo",$K184="Corporate Office")</formula>
    </cfRule>
  </conditionalFormatting>
  <conditionalFormatting sqref="E184">
    <cfRule type="expression" dxfId="363" priority="232">
      <formula>$E$183="Yes"</formula>
    </cfRule>
  </conditionalFormatting>
  <conditionalFormatting sqref="G190">
    <cfRule type="expression" dxfId="362" priority="231">
      <formula>$E184&lt;&gt;"Please Select"</formula>
    </cfRule>
  </conditionalFormatting>
  <conditionalFormatting sqref="I190">
    <cfRule type="expression" dxfId="361" priority="227">
      <formula>COUNT(SEARCH("ICM", $G190))=1</formula>
    </cfRule>
    <cfRule type="expression" dxfId="360" priority="230">
      <formula>$E184&lt;&gt;"Please Select"</formula>
    </cfRule>
  </conditionalFormatting>
  <conditionalFormatting sqref="K187">
    <cfRule type="expression" dxfId="359" priority="226">
      <formula>$E184 = "Prepaid Rollover"</formula>
    </cfRule>
  </conditionalFormatting>
  <conditionalFormatting sqref="M190">
    <cfRule type="expression" dxfId="358" priority="224">
      <formula>$E184&lt;&gt;"Please Select"</formula>
    </cfRule>
  </conditionalFormatting>
  <conditionalFormatting sqref="M187">
    <cfRule type="expression" dxfId="357" priority="223">
      <formula>$E184&lt;&gt;"Please Select"</formula>
    </cfRule>
  </conditionalFormatting>
  <conditionalFormatting sqref="K190">
    <cfRule type="expression" dxfId="356" priority="222">
      <formula>$E184&lt;&gt;"Please Select"</formula>
    </cfRule>
  </conditionalFormatting>
  <conditionalFormatting sqref="N182:P185">
    <cfRule type="expression" dxfId="355" priority="220">
      <formula>AND($G$187&lt;100000,$G187&gt;=10000)</formula>
    </cfRule>
    <cfRule type="expression" dxfId="354" priority="221">
      <formula>$G187&gt;=100000</formula>
    </cfRule>
  </conditionalFormatting>
  <conditionalFormatting sqref="O190">
    <cfRule type="expression" dxfId="353" priority="219">
      <formula>$E184&lt;&gt;"Please Select"</formula>
    </cfRule>
  </conditionalFormatting>
  <conditionalFormatting sqref="G195">
    <cfRule type="expression" dxfId="352" priority="200">
      <formula>$E195="Prepay Multi Yr Under"</formula>
    </cfRule>
  </conditionalFormatting>
  <conditionalFormatting sqref="G207">
    <cfRule type="expression" dxfId="351" priority="199">
      <formula>$E207="Prepay Multi Yr Under"</formula>
    </cfRule>
  </conditionalFormatting>
  <conditionalFormatting sqref="I195">
    <cfRule type="expression" dxfId="350" priority="198">
      <formula>$E195&lt;&gt;"Please Select"</formula>
    </cfRule>
  </conditionalFormatting>
  <conditionalFormatting sqref="I207">
    <cfRule type="expression" dxfId="349" priority="197">
      <formula>$E207&lt;&gt;"Please Select"</formula>
    </cfRule>
  </conditionalFormatting>
  <conditionalFormatting sqref="M195">
    <cfRule type="expression" dxfId="348" priority="194">
      <formula>$K195&lt;&gt;"Corporate Office"</formula>
    </cfRule>
    <cfRule type="expression" dxfId="347" priority="195">
      <formula>AND($K195="Corporate Office",$I195="Check")</formula>
    </cfRule>
    <cfRule type="expression" dxfId="346" priority="196">
      <formula>AND($I195="Credit Memo",$K195="Corporate Office")</formula>
    </cfRule>
  </conditionalFormatting>
  <conditionalFormatting sqref="M207">
    <cfRule type="expression" dxfId="345" priority="191">
      <formula>$K207&lt;&gt;"Corporate Office"</formula>
    </cfRule>
    <cfRule type="expression" dxfId="344" priority="192">
      <formula>AND($K207="Corporate Office",$I207="Check")</formula>
    </cfRule>
    <cfRule type="expression" dxfId="343" priority="193">
      <formula>AND($I207="Credit Memo",$K207="Corporate Office")</formula>
    </cfRule>
  </conditionalFormatting>
  <conditionalFormatting sqref="N193:P196">
    <cfRule type="expression" dxfId="342" priority="189">
      <formula>AND($G$198&lt;100000,$G198&gt;=10000)</formula>
    </cfRule>
    <cfRule type="expression" dxfId="341" priority="190">
      <formula>$G198&gt;=100000</formula>
    </cfRule>
  </conditionalFormatting>
  <conditionalFormatting sqref="N205:P208">
    <cfRule type="expression" dxfId="340" priority="187">
      <formula>AND($G$210&lt;=100000,$G210&gt;=10000)</formula>
    </cfRule>
    <cfRule type="expression" dxfId="339" priority="188">
      <formula>$G210&gt;=100000</formula>
    </cfRule>
  </conditionalFormatting>
  <conditionalFormatting sqref="I219">
    <cfRule type="expression" dxfId="338" priority="159">
      <formula>$E219&lt;&gt;"Please Select"</formula>
    </cfRule>
  </conditionalFormatting>
  <conditionalFormatting sqref="E219">
    <cfRule type="expression" dxfId="337" priority="158">
      <formula>$E$218="Yes"</formula>
    </cfRule>
  </conditionalFormatting>
  <conditionalFormatting sqref="K222">
    <cfRule type="expression" dxfId="336" priority="156">
      <formula>$E$219&lt;&gt;"Please Select"</formula>
    </cfRule>
  </conditionalFormatting>
  <conditionalFormatting sqref="E195">
    <cfRule type="expression" dxfId="335" priority="136">
      <formula>$E$194="Yes"</formula>
    </cfRule>
  </conditionalFormatting>
  <conditionalFormatting sqref="K21:K23 G21:G23">
    <cfRule type="expression" dxfId="334" priority="135">
      <formula>$E$14="Volume Incentive Tiered"</formula>
    </cfRule>
  </conditionalFormatting>
  <conditionalFormatting sqref="K63:K65 G63:G65">
    <cfRule type="expression" dxfId="333" priority="124">
      <formula>$E$56="DS Tiered Average Invoice Dollar Qualifier"</formula>
    </cfRule>
  </conditionalFormatting>
  <conditionalFormatting sqref="K91:K93">
    <cfRule type="expression" dxfId="332" priority="123">
      <formula>$E$84="EB Tiered Percent Qualifier"</formula>
    </cfRule>
  </conditionalFormatting>
  <conditionalFormatting sqref="K34">
    <cfRule type="expression" dxfId="331" priority="120">
      <formula>$E28="Volume Incentive Tiered"</formula>
    </cfRule>
  </conditionalFormatting>
  <conditionalFormatting sqref="K35:K37">
    <cfRule type="expression" dxfId="330" priority="119">
      <formula>$E$28="Volume Incentive Tiered"</formula>
    </cfRule>
  </conditionalFormatting>
  <conditionalFormatting sqref="K48">
    <cfRule type="expression" dxfId="329" priority="117">
      <formula>$E42="Volume Incentive Tiered"</formula>
    </cfRule>
  </conditionalFormatting>
  <conditionalFormatting sqref="K49:K51">
    <cfRule type="expression" dxfId="328" priority="116">
      <formula>$E$42="Volume Incentive Tiered"</formula>
    </cfRule>
  </conditionalFormatting>
  <conditionalFormatting sqref="K75">
    <cfRule type="expression" dxfId="327" priority="115">
      <formula>OR($E70="DS Tiered Average Invoice Dollar Qualifier",$E70="DS Threshold Average Invoice Dollar Qualifier")</formula>
    </cfRule>
  </conditionalFormatting>
  <conditionalFormatting sqref="K76">
    <cfRule type="expression" dxfId="326" priority="114">
      <formula>$E70="DS Tiered Average Invoice Dollar Qualifier"</formula>
    </cfRule>
  </conditionalFormatting>
  <conditionalFormatting sqref="K77:K79">
    <cfRule type="expression" dxfId="325" priority="113">
      <formula>$E$70="DS Tiered Average Invoice Dollar Qualifier"</formula>
    </cfRule>
  </conditionalFormatting>
  <conditionalFormatting sqref="K104">
    <cfRule type="expression" dxfId="324" priority="111">
      <formula>$E98="EB Tiered Percent Qualifier"</formula>
    </cfRule>
  </conditionalFormatting>
  <conditionalFormatting sqref="K105:K107">
    <cfRule type="expression" dxfId="323" priority="110">
      <formula>$E$98="EB Tiered Percent Qualifier"</formula>
    </cfRule>
  </conditionalFormatting>
  <conditionalFormatting sqref="T12:T14">
    <cfRule type="cellIs" dxfId="322" priority="109" operator="equal">
      <formula>"Yes"</formula>
    </cfRule>
  </conditionalFormatting>
  <conditionalFormatting sqref="K19">
    <cfRule type="expression" dxfId="321" priority="106">
      <formula>$E$14&lt;&gt;"Please Select"</formula>
    </cfRule>
  </conditionalFormatting>
  <conditionalFormatting sqref="K33">
    <cfRule type="expression" dxfId="320" priority="105">
      <formula>$E$28&lt;&gt;"Please Select"</formula>
    </cfRule>
  </conditionalFormatting>
  <conditionalFormatting sqref="K47">
    <cfRule type="expression" dxfId="319" priority="104">
      <formula>$E$42&lt;&gt;"Please Select"</formula>
    </cfRule>
  </conditionalFormatting>
  <conditionalFormatting sqref="K89">
    <cfRule type="expression" dxfId="318" priority="103">
      <formula>$E$84&lt;&gt;"Please Select"</formula>
    </cfRule>
  </conditionalFormatting>
  <conditionalFormatting sqref="K103">
    <cfRule type="expression" dxfId="317" priority="102">
      <formula>$E$98&lt;&gt;"Please Select"</formula>
    </cfRule>
  </conditionalFormatting>
  <conditionalFormatting sqref="K28">
    <cfRule type="expression" dxfId="316" priority="95">
      <formula>AND($E28&lt;&gt;"Please Select",$I28&lt;&gt;"Check")</formula>
    </cfRule>
  </conditionalFormatting>
  <conditionalFormatting sqref="K42">
    <cfRule type="expression" dxfId="315" priority="94">
      <formula>AND($E42&lt;&gt;"Please Select",$I42&lt;&gt;"Check")</formula>
    </cfRule>
  </conditionalFormatting>
  <conditionalFormatting sqref="K56">
    <cfRule type="expression" dxfId="314" priority="93">
      <formula>AND($E56&lt;&gt;"Please Select",$I56&lt;&gt;"Check")</formula>
    </cfRule>
  </conditionalFormatting>
  <conditionalFormatting sqref="K70">
    <cfRule type="expression" dxfId="313" priority="92">
      <formula>AND($E70&lt;&gt;"Please Select",$I70&lt;&gt;"Check")</formula>
    </cfRule>
  </conditionalFormatting>
  <conditionalFormatting sqref="K84">
    <cfRule type="expression" dxfId="312" priority="91">
      <formula>AND($E84&lt;&gt;"Please Select",$I84&lt;&gt;"Check")</formula>
    </cfRule>
  </conditionalFormatting>
  <conditionalFormatting sqref="K98">
    <cfRule type="expression" dxfId="311" priority="90">
      <formula>AND($E98&lt;&gt;"Please Select",$I98&lt;&gt;"Check")</formula>
    </cfRule>
  </conditionalFormatting>
  <conditionalFormatting sqref="K112">
    <cfRule type="expression" dxfId="310" priority="89">
      <formula>AND($E112&lt;&gt;"Please Select",$I112&lt;&gt;"Check")</formula>
    </cfRule>
  </conditionalFormatting>
  <conditionalFormatting sqref="K152">
    <cfRule type="expression" dxfId="309" priority="88">
      <formula>AND($E152&lt;&gt;"Please Select",$I152&lt;&gt;"Check")</formula>
    </cfRule>
  </conditionalFormatting>
  <conditionalFormatting sqref="K176">
    <cfRule type="expression" dxfId="308" priority="85">
      <formula>AND($E176&lt;&gt;"Please Select",$I176&lt;&gt;"Check")</formula>
    </cfRule>
  </conditionalFormatting>
  <conditionalFormatting sqref="G35:G37">
    <cfRule type="expression" dxfId="307" priority="77">
      <formula>$E$28="Volume Incentive Tiered"</formula>
    </cfRule>
  </conditionalFormatting>
  <conditionalFormatting sqref="G49:G51">
    <cfRule type="expression" dxfId="306" priority="74">
      <formula>$E$42="Volume Incentive Tiered"</formula>
    </cfRule>
  </conditionalFormatting>
  <conditionalFormatting sqref="G77:G79">
    <cfRule type="expression" dxfId="305" priority="71">
      <formula>$E$70="DS Tiered Average Invoice Dollar Qualifier"</formula>
    </cfRule>
  </conditionalFormatting>
  <conditionalFormatting sqref="I187">
    <cfRule type="expression" dxfId="304" priority="64">
      <formula>$E$184&lt;&gt;"Please Select"</formula>
    </cfRule>
  </conditionalFormatting>
  <conditionalFormatting sqref="G198">
    <cfRule type="expression" dxfId="303" priority="62">
      <formula>$E$195="Prepaid Single Payment"</formula>
    </cfRule>
  </conditionalFormatting>
  <conditionalFormatting sqref="G210">
    <cfRule type="expression" dxfId="302" priority="61">
      <formula>$E$207="Prepaid Single Payment"</formula>
    </cfRule>
  </conditionalFormatting>
  <conditionalFormatting sqref="G105:G107">
    <cfRule type="expression" dxfId="301" priority="60">
      <formula>$E$98="EB Tiered Percent Qualifier"</formula>
    </cfRule>
  </conditionalFormatting>
  <conditionalFormatting sqref="G91:G93">
    <cfRule type="expression" dxfId="300" priority="59">
      <formula>$E$84="EB Tiered Percent Qualifier"</formula>
    </cfRule>
  </conditionalFormatting>
  <conditionalFormatting sqref="G90">
    <cfRule type="expression" dxfId="299" priority="58">
      <formula>$E$84="EB Tiered Percent Qualifier"</formula>
    </cfRule>
  </conditionalFormatting>
  <conditionalFormatting sqref="G104">
    <cfRule type="expression" dxfId="298" priority="57">
      <formula>$E$98="EB Tiered Percent Qualifier"</formula>
    </cfRule>
  </conditionalFormatting>
  <conditionalFormatting sqref="I89:I93">
    <cfRule type="cellIs" dxfId="297" priority="56" operator="equal">
      <formula>0</formula>
    </cfRule>
  </conditionalFormatting>
  <conditionalFormatting sqref="I103:I107">
    <cfRule type="cellIs" dxfId="296" priority="55" operator="equal">
      <formula>0</formula>
    </cfRule>
  </conditionalFormatting>
  <conditionalFormatting sqref="M198">
    <cfRule type="expression" dxfId="295" priority="54">
      <formula>$E$195&lt;&gt;"Prepay Multi Yr Under"</formula>
    </cfRule>
  </conditionalFormatting>
  <conditionalFormatting sqref="M199">
    <cfRule type="expression" dxfId="294" priority="53">
      <formula>$E$195&lt;&gt;"Prepay Multi Yr Under"</formula>
    </cfRule>
  </conditionalFormatting>
  <conditionalFormatting sqref="M200">
    <cfRule type="expression" dxfId="293" priority="52">
      <formula>$E$195&lt;&gt;"Prepay Multi Yr Under"</formula>
    </cfRule>
  </conditionalFormatting>
  <conditionalFormatting sqref="M201">
    <cfRule type="expression" dxfId="292" priority="51">
      <formula>$E$195&lt;&gt;"Prepay Multi Yr Under"</formula>
    </cfRule>
  </conditionalFormatting>
  <conditionalFormatting sqref="M202">
    <cfRule type="expression" dxfId="291" priority="50">
      <formula>$E$195&lt;&gt;"Prepay Multi Yr Under"</formula>
    </cfRule>
  </conditionalFormatting>
  <conditionalFormatting sqref="M210">
    <cfRule type="expression" dxfId="290" priority="49">
      <formula>$E$207&lt;&gt;"Prepay Multi Yr Under"</formula>
    </cfRule>
  </conditionalFormatting>
  <conditionalFormatting sqref="M211">
    <cfRule type="expression" dxfId="289" priority="48">
      <formula>$E$207&lt;&gt;"Prepay Multi Yr Under"</formula>
    </cfRule>
  </conditionalFormatting>
  <conditionalFormatting sqref="M212">
    <cfRule type="expression" dxfId="288" priority="47">
      <formula>$E$207&lt;&gt;"Prepay Multi Yr Under"</formula>
    </cfRule>
  </conditionalFormatting>
  <conditionalFormatting sqref="M213">
    <cfRule type="expression" dxfId="287" priority="46">
      <formula>$E$207&lt;&gt;"Prepay Multi Yr Under"</formula>
    </cfRule>
  </conditionalFormatting>
  <conditionalFormatting sqref="M214">
    <cfRule type="expression" dxfId="286" priority="45">
      <formula>$E$207&lt;&gt;"Prepay Multi Yr Under"</formula>
    </cfRule>
  </conditionalFormatting>
  <conditionalFormatting sqref="K198:K202">
    <cfRule type="expression" dxfId="285" priority="44">
      <formula>$E$195="Prepaid Single Payment"</formula>
    </cfRule>
  </conditionalFormatting>
  <conditionalFormatting sqref="K210:K214">
    <cfRule type="expression" dxfId="284" priority="43">
      <formula>$E$207="Prepaid Single Payment"</formula>
    </cfRule>
  </conditionalFormatting>
  <conditionalFormatting sqref="E207">
    <cfRule type="expression" dxfId="283" priority="42">
      <formula>$E$206="Yes"</formula>
    </cfRule>
  </conditionalFormatting>
  <conditionalFormatting sqref="I120">
    <cfRule type="expression" dxfId="282" priority="40">
      <formula>$E$120&lt;&gt;"Please Select"</formula>
    </cfRule>
  </conditionalFormatting>
  <conditionalFormatting sqref="G120">
    <cfRule type="expression" dxfId="281" priority="39">
      <formula>$E$120&lt;&gt;"Please Select"</formula>
    </cfRule>
  </conditionalFormatting>
  <conditionalFormatting sqref="M120">
    <cfRule type="expression" dxfId="280" priority="36">
      <formula>$K$120&lt;&gt;"Corporate Office"</formula>
    </cfRule>
    <cfRule type="expression" dxfId="279" priority="37">
      <formula>AND($K$120="Corporate Office",$I$120="Check")</formula>
    </cfRule>
    <cfRule type="expression" dxfId="278" priority="38">
      <formula>AND($I$120="Credit Memo",$K$120="Corporate Office")</formula>
    </cfRule>
  </conditionalFormatting>
  <conditionalFormatting sqref="E120">
    <cfRule type="expression" dxfId="277" priority="35">
      <formula>$E$119="Yes"</formula>
    </cfRule>
  </conditionalFormatting>
  <conditionalFormatting sqref="G123">
    <cfRule type="expression" dxfId="276" priority="34">
      <formula>$E$120="Growth Incentive Single Rate"</formula>
    </cfRule>
  </conditionalFormatting>
  <conditionalFormatting sqref="K123">
    <cfRule type="expression" dxfId="275" priority="33">
      <formula>$E$120&lt;&gt;"Please Select"</formula>
    </cfRule>
  </conditionalFormatting>
  <conditionalFormatting sqref="K120">
    <cfRule type="expression" dxfId="274" priority="32">
      <formula>AND($E120&lt;&gt;"Please Select",$I120&lt;&gt;"Check")</formula>
    </cfRule>
  </conditionalFormatting>
  <conditionalFormatting sqref="I128">
    <cfRule type="expression" dxfId="273" priority="31">
      <formula>$E$128&lt;&gt;"Please Select"</formula>
    </cfRule>
  </conditionalFormatting>
  <conditionalFormatting sqref="G128">
    <cfRule type="expression" dxfId="272" priority="30">
      <formula>$E$128&lt;&gt;"Please Select"</formula>
    </cfRule>
  </conditionalFormatting>
  <conditionalFormatting sqref="M128">
    <cfRule type="expression" dxfId="271" priority="27">
      <formula>$K$128&lt;&gt;"Corporate Office"</formula>
    </cfRule>
    <cfRule type="expression" dxfId="270" priority="28">
      <formula>AND($K$128="Corporate Office",$I$128="Check")</formula>
    </cfRule>
    <cfRule type="expression" dxfId="269" priority="29">
      <formula>AND($I$128="Credit Memo",$K$128="Corporate Office")</formula>
    </cfRule>
  </conditionalFormatting>
  <conditionalFormatting sqref="E128">
    <cfRule type="expression" dxfId="268" priority="26">
      <formula>$E$127="Yes"</formula>
    </cfRule>
  </conditionalFormatting>
  <conditionalFormatting sqref="G131">
    <cfRule type="expression" dxfId="267" priority="25">
      <formula>$E$128="Growth Incentive Single Rate"</formula>
    </cfRule>
  </conditionalFormatting>
  <conditionalFormatting sqref="K131">
    <cfRule type="expression" dxfId="266" priority="24">
      <formula>$E$128&lt;&gt;"Please Select"</formula>
    </cfRule>
  </conditionalFormatting>
  <conditionalFormatting sqref="K128">
    <cfRule type="expression" dxfId="265" priority="23">
      <formula>AND($E128&lt;&gt;"Please Select",$I128&lt;&gt;"Check")</formula>
    </cfRule>
  </conditionalFormatting>
  <conditionalFormatting sqref="I144">
    <cfRule type="expression" dxfId="264" priority="22">
      <formula>$E$144&lt;&gt;"Please Select"</formula>
    </cfRule>
  </conditionalFormatting>
  <conditionalFormatting sqref="G144">
    <cfRule type="expression" dxfId="263" priority="21">
      <formula>$E$144&lt;&gt;"Please Select"</formula>
    </cfRule>
  </conditionalFormatting>
  <conditionalFormatting sqref="M144">
    <cfRule type="expression" dxfId="262" priority="18">
      <formula>$K$144&lt;&gt;"Corporate Office"</formula>
    </cfRule>
    <cfRule type="expression" dxfId="261" priority="19">
      <formula>AND($K$144="Corporate Office",$I$144="Check")</formula>
    </cfRule>
    <cfRule type="expression" dxfId="260" priority="20">
      <formula>AND($I$144="Credit Memo",$K$144="Corporate Office")</formula>
    </cfRule>
  </conditionalFormatting>
  <conditionalFormatting sqref="E144">
    <cfRule type="expression" dxfId="259" priority="17">
      <formula>$E$143="Yes"</formula>
    </cfRule>
  </conditionalFormatting>
  <conditionalFormatting sqref="G147">
    <cfRule type="expression" dxfId="258" priority="16">
      <formula>$E$144="Growth Incentive Single Rate"</formula>
    </cfRule>
  </conditionalFormatting>
  <conditionalFormatting sqref="K147">
    <cfRule type="expression" dxfId="257" priority="15">
      <formula>$E$144&lt;&gt;"Please Select"</formula>
    </cfRule>
  </conditionalFormatting>
  <conditionalFormatting sqref="K144">
    <cfRule type="expression" dxfId="256" priority="14">
      <formula>AND($E144&lt;&gt;"Please Select",$I144&lt;&gt;"Check")</formula>
    </cfRule>
  </conditionalFormatting>
  <conditionalFormatting sqref="I136">
    <cfRule type="expression" dxfId="255" priority="13">
      <formula>$E$136&lt;&gt;"Please Select"</formula>
    </cfRule>
  </conditionalFormatting>
  <conditionalFormatting sqref="G136">
    <cfRule type="expression" dxfId="254" priority="12">
      <formula>$E$136&lt;&gt;"Please Select"</formula>
    </cfRule>
  </conditionalFormatting>
  <conditionalFormatting sqref="M136">
    <cfRule type="expression" dxfId="253" priority="9">
      <formula>$K$136&lt;&gt;"Corporate Office"</formula>
    </cfRule>
    <cfRule type="expression" dxfId="252" priority="10">
      <formula>AND($K$136="Corporate Office",$I$136="Check")</formula>
    </cfRule>
    <cfRule type="expression" dxfId="251" priority="11">
      <formula>AND($I$136="Credit Memo",$K$136="Corporate Office")</formula>
    </cfRule>
  </conditionalFormatting>
  <conditionalFormatting sqref="E136">
    <cfRule type="expression" dxfId="250" priority="8">
      <formula>$E$135="Yes"</formula>
    </cfRule>
  </conditionalFormatting>
  <conditionalFormatting sqref="G139">
    <cfRule type="expression" dxfId="249" priority="7">
      <formula>$E$136="Growth Incentive Single Rate"</formula>
    </cfRule>
  </conditionalFormatting>
  <conditionalFormatting sqref="K139">
    <cfRule type="expression" dxfId="248" priority="6">
      <formula>$E$136&lt;&gt;"Please Select"</formula>
    </cfRule>
  </conditionalFormatting>
  <conditionalFormatting sqref="K136">
    <cfRule type="expression" dxfId="247" priority="5">
      <formula>AND($E136&lt;&gt;"Please Select",$I136&lt;&gt;"Check")</formula>
    </cfRule>
  </conditionalFormatting>
  <conditionalFormatting sqref="K223">
    <cfRule type="cellIs" dxfId="246" priority="2" operator="equal">
      <formula>"Rate cannot be greater than the Prepaid Rate % of Sales"</formula>
    </cfRule>
    <cfRule type="cellIs" dxfId="245" priority="4" operator="equal">
      <formula>"Recommended NCI is 1%"</formula>
    </cfRule>
  </conditionalFormatting>
  <conditionalFormatting sqref="O225">
    <cfRule type="containsBlanks" dxfId="244" priority="1">
      <formula>LEN(TRIM(O225))=0</formula>
    </cfRule>
  </conditionalFormatting>
  <dataValidations count="37">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decimal" operator="lessThan" allowBlank="1" showInputMessage="1" showErrorMessage="1" errorTitle="Invalid Tier Value" error="The value entered is less than the current weekly drop-size. " sqref="G76 G62" xr:uid="{00000000-0002-0000-0400-000007000000}">
      <formula1>I62</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30" xr:uid="{00000000-0002-0000-0400-00000A000000}">
      <formula1>0</formula1>
      <formula2>Q230</formula2>
    </dataValidation>
    <dataValidation type="decimal" allowBlank="1" showInputMessage="1" showErrorMessage="1" sqref="O229 M230:N230" xr:uid="{00000000-0002-0000-0400-00000B000000}">
      <formula1>0</formula1>
      <formula2>P229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70 G84 G112 G152 G176 G120 G128 G144 G136"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210:K214 G201 G187 I187 K187 K190 M190 I210:I214 I198:I202 G213 G210 G198"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39 K33:K37 K61:K65 K47:K51 K89:K93 K75:K79 K131 K147 K103:K107 K123"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61 G75 G47:G48 G33:G34 G19:G20" xr:uid="{00000000-0002-0000-0400-00001A000000}">
      <formula1>I19</formula1>
    </dataValidation>
    <dataValidation type="custom" operator="lessThan" allowBlank="1" showErrorMessage="1" errorTitle="Invalid Tier Value" error="Value cannot be more than Weekly Sales Target or Maximum Units_x000a_" sqref="G49:G51" xr:uid="{00000000-0002-0000-0400-00001B000000}">
      <formula1>AND(G49&lt;I49,G49&gt;=G$45)</formula1>
    </dataValidation>
    <dataValidation type="custom" operator="lessThan" allowBlank="1" showErrorMessage="1" errorTitle="Invalid Tier Value" error="Value cannot be less than Weekly Sales Target and more than Maximum Units_x000a_" sqref="G21:G23" xr:uid="{00000000-0002-0000-0400-00001C000000}">
      <formula1>AND(G21&lt;I21,G21&gt;=G$17)</formula1>
    </dataValidation>
    <dataValidation type="custom" operator="lessThan" allowBlank="1" showErrorMessage="1" errorTitle="Invalid Tier Value" error="Value cannot be less than Weekly Sales Target and more than Maximum Units_x000a_" sqref="G35:G37" xr:uid="{00000000-0002-0000-0400-00001D000000}">
      <formula1>AND(G35&lt;I35,G35&gt;=G$31)</formula1>
    </dataValidation>
    <dataValidation type="custom" operator="lessThan" allowBlank="1" showInputMessage="1" showErrorMessage="1" errorTitle="Invalid Tier Value" error="Value cannot be less than Weekly Sales Target and more than Maximum Units_x000a_" sqref="G63:G65" xr:uid="{00000000-0002-0000-0400-00001E000000}">
      <formula1>AND(G63&lt;I63,G63&gt;=G$59)</formula1>
    </dataValidation>
    <dataValidation type="custom" operator="lessThan" allowBlank="1" showInputMessage="1" showErrorMessage="1" errorTitle="Invalid Tier Value" error="Value cannot be less than Weekly Sales Target and more than Maximum Units_x000a__x000a_" sqref="G77:G79" xr:uid="{00000000-0002-0000-0400-00001F000000}">
      <formula1>AND(G77&lt;I77,G77&gt;=G$73)</formula1>
    </dataValidation>
    <dataValidation type="decimal" operator="lessThan" allowBlank="1" showInputMessage="1" showErrorMessage="1" error="Value cannot be more than Maximum Units_x000a_" sqref="G89:G93" xr:uid="{00000000-0002-0000-0400-000020000000}">
      <formula1>I89</formula1>
    </dataValidation>
    <dataValidation type="decimal" operator="lessThan" allowBlank="1" showInputMessage="1" showErrorMessage="1" error="Value cannot be more than Maximum Units" sqref="G103:G107" xr:uid="{00000000-0002-0000-0400-000021000000}">
      <formula1>I103</formula1>
    </dataValidation>
    <dataValidation type="custom" operator="lessThanOrEqual" allowBlank="1" showErrorMessage="1" errorTitle="Signing Limit Exceeded" error="Rate cannot be greater than the Prepaid Rate % of Sales" sqref="K222" xr:uid="{8035A27F-4F01-4BEA-BF7C-CEC2233A6F30}">
      <formula1>AND(K222&lt;G201,K222&gt;0.01)</formula1>
    </dataValidation>
    <dataValidation type="decimal" operator="lessThanOrEqual" allowBlank="1" showInputMessage="1" showErrorMessage="1" errorTitle="Maximum Incentive Reached" error="Rate % of sales cannot exceed 5%" sqref="K179 K155 K115" xr:uid="{D7724C3B-7FD2-44CA-88FA-26B0332DB751}">
      <formula1>0.05</formula1>
    </dataValidation>
    <dataValidation type="decimal" operator="lessThanOrEqual" allowBlank="1" showErrorMessage="1" errorTitle="Prepaid Limit Exceeded" error="The prepaid incentive cannot exceed $100,000.  Please use the custom modeling process in order to accomodate this request. " sqref="K198:K202" xr:uid="{40DAC4F8-02E9-4B0E-A63D-7A60FE71A989}">
      <formula1>100000</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41"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40" id="{CC77D9D5-08D0-497D-857C-05FC5404FFA2}">
            <xm:f>Welcome!$D$8&lt;&gt;"MDA"</xm:f>
            <x14:dxf>
              <fill>
                <patternFill>
                  <bgColor rgb="FFFFFF00"/>
                </patternFill>
              </fill>
            </x14:dxf>
          </x14:cfRule>
          <x14:cfRule type="expression" priority="241" id="{38E3C295-11FC-47D7-A4DD-A4DA78AA3DFA}">
            <xm:f>Welcome!$D$8="MDA"</xm:f>
            <x14:dxf>
              <fill>
                <patternFill>
                  <bgColor theme="0" tint="-0.24994659260841701"/>
                </patternFill>
              </fill>
            </x14:dxf>
          </x14:cfRule>
          <xm:sqref>E4</xm:sqref>
        </x14:conditionalFormatting>
        <x14:conditionalFormatting xmlns:xm="http://schemas.microsoft.com/office/excel/2006/main">
          <x14:cfRule type="expression" priority="186" id="{6388F6F4-BC96-4A22-B9C9-C66819C9AEA3}">
            <xm:f>AND($E$195&lt;&gt;"Please Select",AND(Welcome!$D$12&gt;0,Welcome!$D$12&lt;&gt;"Select Term"))</xm:f>
            <x14:dxf>
              <fill>
                <patternFill>
                  <bgColor rgb="FFFFFF00"/>
                </patternFill>
              </fill>
            </x14:dxf>
          </x14:cfRule>
          <xm:sqref>K198 M198</xm:sqref>
        </x14:conditionalFormatting>
        <x14:conditionalFormatting xmlns:xm="http://schemas.microsoft.com/office/excel/2006/main">
          <x14:cfRule type="expression" priority="183" id="{C0212BBB-8B7C-4571-A1F7-10E9FF4027C1}">
            <xm:f>AND($E$195&lt;&gt;"Please Select",AND(Welcome!$D$12&gt;1,Welcome!$D$12&lt;&gt;"Select Term"))</xm:f>
            <x14:dxf>
              <fill>
                <patternFill>
                  <bgColor rgb="FFFFFF00"/>
                </patternFill>
              </fill>
            </x14:dxf>
          </x14:cfRule>
          <xm:sqref>K199 M199</xm:sqref>
        </x14:conditionalFormatting>
        <x14:conditionalFormatting xmlns:xm="http://schemas.microsoft.com/office/excel/2006/main">
          <x14:cfRule type="expression" priority="180" id="{D791997E-92B7-4CA6-A598-E899348E35B6}">
            <xm:f>AND($E$195&lt;&gt;"Please Select",AND(Welcome!$D$12&gt;2,Welcome!$D$12&lt;&gt;"Select Term"))</xm:f>
            <x14:dxf>
              <fill>
                <patternFill>
                  <bgColor rgb="FFFFFF00"/>
                </patternFill>
              </fill>
            </x14:dxf>
          </x14:cfRule>
          <xm:sqref>K200 M200</xm:sqref>
        </x14:conditionalFormatting>
        <x14:conditionalFormatting xmlns:xm="http://schemas.microsoft.com/office/excel/2006/main">
          <x14:cfRule type="expression" priority="177" id="{3BC8ABD1-0ECC-406D-89A2-2AD1E7A7DB69}">
            <xm:f>AND($E$195&lt;&gt;"Please Select",AND(Welcome!$D$12&gt;3,Welcome!$D$12&lt;&gt;"Select Term"))</xm:f>
            <x14:dxf>
              <fill>
                <patternFill>
                  <bgColor rgb="FFFFFF00"/>
                </patternFill>
              </fill>
            </x14:dxf>
          </x14:cfRule>
          <xm:sqref>K201 M201</xm:sqref>
        </x14:conditionalFormatting>
        <x14:conditionalFormatting xmlns:xm="http://schemas.microsoft.com/office/excel/2006/main">
          <x14:cfRule type="expression" priority="176" id="{15852C53-F0E0-47DF-9A9A-EF8E54D13288}">
            <xm:f>AND($E$195&lt;&gt;"Please Select",Welcome!$D$12=5)</xm:f>
            <x14:dxf>
              <fill>
                <patternFill>
                  <bgColor rgb="FFFFFF00"/>
                </patternFill>
              </fill>
            </x14:dxf>
          </x14:cfRule>
          <xm:sqref>K202 M202</xm:sqref>
        </x14:conditionalFormatting>
        <x14:conditionalFormatting xmlns:xm="http://schemas.microsoft.com/office/excel/2006/main">
          <x14:cfRule type="expression" priority="101" id="{87C58F1A-CF07-46D3-9FF3-B2F7FCB19C35}">
            <xm:f>AND($E$207&lt;&gt;"Please Select",AND(Welcome!$D$12&gt;0,Welcome!$D$12&lt;&gt;"Select Term"))</xm:f>
            <x14:dxf>
              <fill>
                <patternFill>
                  <bgColor rgb="FFFFFF00"/>
                </patternFill>
              </fill>
            </x14:dxf>
          </x14:cfRule>
          <xm:sqref>K210 M210</xm:sqref>
        </x14:conditionalFormatting>
        <x14:conditionalFormatting xmlns:xm="http://schemas.microsoft.com/office/excel/2006/main">
          <x14:cfRule type="expression" priority="100" id="{29F73B7C-9811-4DE8-B385-FC7BF69CBCCD}">
            <xm:f>AND($E$207&lt;&gt;"Please Select",AND(Welcome!$D$12&gt;1,Welcome!$D$12&lt;&gt;"Select Term"))</xm:f>
            <x14:dxf>
              <fill>
                <patternFill>
                  <bgColor rgb="FFFFFF00"/>
                </patternFill>
              </fill>
            </x14:dxf>
          </x14:cfRule>
          <xm:sqref>K211 M211</xm:sqref>
        </x14:conditionalFormatting>
        <x14:conditionalFormatting xmlns:xm="http://schemas.microsoft.com/office/excel/2006/main">
          <x14:cfRule type="expression" priority="99" id="{C33F5F17-4C9C-43D2-9ACA-566547147BF3}">
            <xm:f>AND($E$207&lt;&gt;"Please Select",AND(Welcome!$D$12&gt;2,Welcome!$D$12&lt;&gt;"Select Term"))</xm:f>
            <x14:dxf>
              <fill>
                <patternFill>
                  <bgColor rgb="FFFFFF00"/>
                </patternFill>
              </fill>
            </x14:dxf>
          </x14:cfRule>
          <xm:sqref>K212 M212</xm:sqref>
        </x14:conditionalFormatting>
        <x14:conditionalFormatting xmlns:xm="http://schemas.microsoft.com/office/excel/2006/main">
          <x14:cfRule type="expression" priority="98" id="{29C0CDC8-ACFA-4514-9241-2D2B76126D65}">
            <xm:f>AND($E$207&lt;&gt;"Please Select",AND(Welcome!$D$12&gt;3,Welcome!$D$12&lt;&gt;"Select Term"))</xm:f>
            <x14:dxf>
              <fill>
                <patternFill>
                  <bgColor rgb="FFFFFF00"/>
                </patternFill>
              </fill>
            </x14:dxf>
          </x14:cfRule>
          <xm:sqref>K213 M213</xm:sqref>
        </x14:conditionalFormatting>
        <x14:conditionalFormatting xmlns:xm="http://schemas.microsoft.com/office/excel/2006/main">
          <x14:cfRule type="expression" priority="97" id="{1E688AE0-8ED8-41BE-87AF-B2FDB944F2F4}">
            <xm:f>AND($E$207&lt;&gt;"Please Select",Welcome!$D$12=5)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859"/>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83"/>
      <c r="C2" s="1555" t="s">
        <v>210</v>
      </c>
      <c r="D2" s="1555"/>
      <c r="E2" s="1555"/>
      <c r="F2" s="500"/>
      <c r="G2" s="172"/>
      <c r="H2" s="172"/>
      <c r="I2" s="172"/>
      <c r="J2" s="172"/>
      <c r="K2" s="172"/>
      <c r="L2" s="175"/>
    </row>
    <row r="3" spans="2:23" x14ac:dyDescent="0.25">
      <c r="B3" s="178"/>
      <c r="C3" s="1560" t="s">
        <v>1246</v>
      </c>
      <c r="D3" s="1561"/>
      <c r="E3" s="385">
        <f>Welcome!$D$8</f>
        <v>0</v>
      </c>
      <c r="F3" s="388"/>
      <c r="G3" s="472" t="s">
        <v>110</v>
      </c>
      <c r="H3" s="1558" t="str">
        <f>IFERROR(VLOOKUP($H$4,'Market Geography'!$D:$G,4,FALSE),"Select Market")</f>
        <v>Select Market</v>
      </c>
      <c r="I3" s="1558"/>
      <c r="J3" s="1558"/>
      <c r="K3" s="1559"/>
      <c r="L3" s="179"/>
    </row>
    <row r="4" spans="2:23" x14ac:dyDescent="0.25">
      <c r="B4" s="178"/>
      <c r="C4" s="1547" t="s">
        <v>1247</v>
      </c>
      <c r="D4" s="1548"/>
      <c r="E4" s="354" t="str">
        <f>Welcome!$D$12</f>
        <v>Select Term</v>
      </c>
      <c r="F4" s="501"/>
      <c r="G4" s="473" t="s">
        <v>881</v>
      </c>
      <c r="H4" s="1543">
        <f>Welcome!$D$4</f>
        <v>0</v>
      </c>
      <c r="I4" s="1543"/>
      <c r="J4" s="1543"/>
      <c r="K4" s="1544"/>
      <c r="L4" s="179"/>
    </row>
    <row r="5" spans="2:23" x14ac:dyDescent="0.25">
      <c r="B5" s="178"/>
      <c r="C5" s="1547" t="s">
        <v>1252</v>
      </c>
      <c r="D5" s="1548"/>
      <c r="E5" s="143">
        <f>'PIM Model'!$G$31</f>
        <v>0</v>
      </c>
      <c r="F5" s="502"/>
      <c r="G5" s="473" t="s">
        <v>107</v>
      </c>
      <c r="H5" s="1543" t="str">
        <f>'Multi-Customer'!$S$49</f>
        <v>Enter Customer(s)</v>
      </c>
      <c r="I5" s="1543"/>
      <c r="J5" s="1543"/>
      <c r="K5" s="1544"/>
      <c r="L5" s="179"/>
    </row>
    <row r="6" spans="2:23" x14ac:dyDescent="0.25">
      <c r="B6" s="178"/>
      <c r="C6" s="1547" t="s">
        <v>1253</v>
      </c>
      <c r="D6" s="1548"/>
      <c r="E6" s="144">
        <f>'PIM Model'!$E$6</f>
        <v>0</v>
      </c>
      <c r="F6" s="388"/>
      <c r="G6" s="473" t="s">
        <v>1262</v>
      </c>
      <c r="H6" s="1543" t="str">
        <f>IF('Multi-Customer'!$AH$40 = "MULTIPLE MENU TYPES","MULTIPLE TYPES",'Multi-Customer'!$AH$40)</f>
        <v>MULTIPLE TYPES</v>
      </c>
      <c r="I6" s="1543"/>
      <c r="J6" s="1543"/>
      <c r="K6" s="1544"/>
      <c r="L6" s="179"/>
      <c r="R6" s="503"/>
    </row>
    <row r="7" spans="2:23" ht="15.75" thickBot="1" x14ac:dyDescent="0.3">
      <c r="B7" s="178"/>
      <c r="C7" s="1549" t="s">
        <v>1254</v>
      </c>
      <c r="D7" s="1550"/>
      <c r="E7" s="386">
        <f>IFERROR('PIM Ranges'!$AU$3,0)</f>
        <v>0</v>
      </c>
      <c r="F7" s="177"/>
      <c r="G7" s="474" t="s">
        <v>1255</v>
      </c>
      <c r="H7" s="1545" t="s">
        <v>206</v>
      </c>
      <c r="I7" s="1545"/>
      <c r="J7" s="1545"/>
      <c r="K7" s="1546"/>
      <c r="L7" s="179"/>
      <c r="P7" s="177"/>
      <c r="Q7" s="153"/>
      <c r="R7" s="504"/>
      <c r="S7" s="134"/>
      <c r="T7" s="153"/>
      <c r="U7" s="177"/>
      <c r="V7" s="153"/>
      <c r="W7" s="177"/>
    </row>
    <row r="8" spans="2:23" ht="13.9" customHeight="1" x14ac:dyDescent="0.25">
      <c r="B8" s="178"/>
      <c r="D8" s="136"/>
      <c r="E8" s="1487"/>
      <c r="F8" s="1487"/>
      <c r="G8"/>
      <c r="H8"/>
      <c r="I8" s="395"/>
      <c r="J8" s="27"/>
      <c r="K8" s="27"/>
      <c r="L8" s="179"/>
      <c r="P8" s="177"/>
      <c r="Q8" s="136"/>
      <c r="R8" s="505"/>
      <c r="S8" s="134"/>
      <c r="T8" s="211"/>
      <c r="U8" s="177"/>
      <c r="V8" s="212"/>
      <c r="W8" s="177"/>
    </row>
    <row r="9" spans="2:23" ht="13.9" customHeight="1" x14ac:dyDescent="0.25">
      <c r="B9" s="178"/>
      <c r="C9" s="249"/>
      <c r="D9" s="506"/>
      <c r="E9" s="184"/>
      <c r="F9" s="183"/>
      <c r="G9" s="183"/>
      <c r="H9" s="183"/>
      <c r="I9" s="507"/>
      <c r="J9" s="507"/>
      <c r="K9" s="508"/>
      <c r="L9" s="179"/>
      <c r="P9" s="177"/>
      <c r="Q9" s="136"/>
      <c r="R9" s="505"/>
      <c r="S9" s="134"/>
      <c r="T9" s="211"/>
      <c r="U9" s="177"/>
      <c r="V9" s="212"/>
      <c r="W9" s="177"/>
    </row>
    <row r="10" spans="2:23" ht="26.45" customHeight="1" x14ac:dyDescent="0.25">
      <c r="B10" s="178"/>
      <c r="C10" s="244"/>
      <c r="D10" s="6" t="s">
        <v>125</v>
      </c>
      <c r="E10" s="644" t="s">
        <v>1256</v>
      </c>
      <c r="F10" s="188"/>
      <c r="G10" s="644" t="s">
        <v>1257</v>
      </c>
      <c r="H10" s="188"/>
      <c r="I10" s="1551" t="s">
        <v>886</v>
      </c>
      <c r="J10" s="1551"/>
      <c r="K10" s="245"/>
      <c r="L10" s="179"/>
      <c r="P10" s="177"/>
      <c r="Q10" s="177"/>
      <c r="R10" s="509"/>
      <c r="S10" s="177"/>
      <c r="T10" s="177"/>
      <c r="U10" s="177"/>
      <c r="V10" s="177"/>
      <c r="W10" s="177"/>
    </row>
    <row r="11" spans="2:23" ht="23.45" customHeight="1" x14ac:dyDescent="0.25">
      <c r="B11" s="178"/>
      <c r="C11" s="244"/>
      <c r="D11" s="510" t="s">
        <v>1258</v>
      </c>
      <c r="E11" s="511">
        <f>IFERROR('Variable Costs (Back)'!$AE$25,0)</f>
        <v>0</v>
      </c>
      <c r="F11" s="188"/>
      <c r="G11" s="512">
        <f>IFERROR(E11/'PIM Model'!$H$31,0)</f>
        <v>0</v>
      </c>
      <c r="H11" s="188"/>
      <c r="I11" s="1552" t="str">
        <f>IFERROR($E11/$E$5,"")</f>
        <v/>
      </c>
      <c r="J11" s="1552"/>
      <c r="K11" s="245"/>
      <c r="L11" s="179"/>
      <c r="R11" s="503"/>
    </row>
    <row r="12" spans="2:23" ht="36" customHeight="1" x14ac:dyDescent="0.25">
      <c r="B12" s="178"/>
      <c r="C12" s="244"/>
      <c r="D12" s="1553" t="s">
        <v>684</v>
      </c>
      <c r="E12" s="1553"/>
      <c r="F12" s="513"/>
      <c r="G12" s="514"/>
      <c r="H12" s="188"/>
      <c r="I12" s="515"/>
      <c r="J12" s="516"/>
      <c r="K12" s="245"/>
      <c r="L12" s="179"/>
    </row>
    <row r="13" spans="2:23" s="771" customFormat="1" ht="23.45" customHeight="1" x14ac:dyDescent="0.25">
      <c r="B13" s="178"/>
      <c r="C13" s="244"/>
      <c r="D13" s="510" t="s">
        <v>1260</v>
      </c>
      <c r="E13" s="511">
        <f>'Tracking &amp; Profitability'!E27*-1</f>
        <v>0</v>
      </c>
      <c r="F13" s="188"/>
      <c r="G13" s="512">
        <f>'Tracking &amp; Profitability'!G27*-1</f>
        <v>0</v>
      </c>
      <c r="H13" s="188"/>
      <c r="I13" s="1552" t="str">
        <f>IFERROR(E13/E5,"")</f>
        <v/>
      </c>
      <c r="J13" s="1552"/>
      <c r="K13" s="245"/>
      <c r="L13" s="179"/>
    </row>
    <row r="14" spans="2:23" s="771" customFormat="1" ht="36.6" customHeight="1" x14ac:dyDescent="0.25">
      <c r="B14" s="178"/>
      <c r="C14" s="244"/>
      <c r="D14" s="1553" t="s">
        <v>1167</v>
      </c>
      <c r="E14" s="1553"/>
      <c r="F14" s="513"/>
      <c r="G14" s="514"/>
      <c r="H14" s="188"/>
      <c r="I14" s="515"/>
      <c r="J14" s="516"/>
      <c r="K14" s="245"/>
      <c r="L14" s="179"/>
    </row>
    <row r="15" spans="2:23" ht="23.45" customHeight="1" x14ac:dyDescent="0.25">
      <c r="B15" s="178"/>
      <c r="C15" s="244"/>
      <c r="D15" s="510" t="s">
        <v>1259</v>
      </c>
      <c r="E15" s="511">
        <f>IFERROR('Variable Costs (Back)'!$AF$25,0)</f>
        <v>0</v>
      </c>
      <c r="F15" s="188"/>
      <c r="G15" s="512">
        <f>IFERROR(E15/'PIM Model'!$H$31,0)</f>
        <v>0</v>
      </c>
      <c r="H15" s="188"/>
      <c r="I15" s="1552" t="str">
        <f>IFERROR($E15/$E$5,"")</f>
        <v/>
      </c>
      <c r="J15" s="1552"/>
      <c r="K15" s="245"/>
      <c r="L15" s="179"/>
    </row>
    <row r="16" spans="2:23" ht="26.45" customHeight="1" x14ac:dyDescent="0.25">
      <c r="B16" s="178"/>
      <c r="C16" s="244"/>
      <c r="D16" s="1542" t="s">
        <v>686</v>
      </c>
      <c r="E16" s="1542"/>
      <c r="F16" s="513"/>
      <c r="G16" s="514"/>
      <c r="H16" s="188"/>
      <c r="I16" s="515"/>
      <c r="J16" s="516"/>
      <c r="K16" s="245"/>
      <c r="L16" s="179"/>
    </row>
    <row r="17" spans="2:12" ht="23.45" customHeight="1" x14ac:dyDescent="0.25">
      <c r="B17" s="178"/>
      <c r="C17" s="244"/>
      <c r="D17" s="510" t="s">
        <v>1261</v>
      </c>
      <c r="E17" s="511">
        <f>IFERROR('Variable Costs (Back)'!$AD$25,0)</f>
        <v>0</v>
      </c>
      <c r="F17" s="188"/>
      <c r="G17" s="512">
        <f>IFERROR(E17/'PIM Model'!$H$31,0)</f>
        <v>0</v>
      </c>
      <c r="H17" s="188"/>
      <c r="I17" s="1552" t="str">
        <f>IFERROR($E17/$E$5,"")</f>
        <v/>
      </c>
      <c r="J17" s="1552"/>
      <c r="K17" s="245"/>
      <c r="L17" s="179"/>
    </row>
    <row r="18" spans="2:12" ht="25.9" customHeight="1" x14ac:dyDescent="0.25">
      <c r="B18" s="178"/>
      <c r="C18" s="244"/>
      <c r="D18" s="1542" t="s">
        <v>685</v>
      </c>
      <c r="E18" s="1554"/>
      <c r="F18" s="513"/>
      <c r="G18" s="514"/>
      <c r="H18" s="188"/>
      <c r="I18" s="516"/>
      <c r="J18" s="516"/>
      <c r="K18" s="245"/>
      <c r="L18" s="179"/>
    </row>
    <row r="19" spans="2:12" ht="25.15" customHeight="1" x14ac:dyDescent="0.25">
      <c r="B19" s="178"/>
      <c r="C19" s="244"/>
      <c r="D19" s="517" t="s">
        <v>228</v>
      </c>
      <c r="E19" s="518">
        <f>IFERROR(E11+E15+E17+E13,0)</f>
        <v>0</v>
      </c>
      <c r="F19" s="188"/>
      <c r="G19" s="519">
        <f>IFERROR(E19/'PIM Model'!$H$31,0)</f>
        <v>0</v>
      </c>
      <c r="H19" s="520"/>
      <c r="I19" s="1556" t="str">
        <f>IFERROR($E19/$E$5,"")</f>
        <v/>
      </c>
      <c r="J19" s="1556"/>
      <c r="K19" s="245"/>
      <c r="L19" s="179"/>
    </row>
    <row r="20" spans="2:12" ht="13.9" customHeight="1" x14ac:dyDescent="0.25">
      <c r="B20" s="178"/>
      <c r="C20" s="246"/>
      <c r="D20" s="232"/>
      <c r="E20" s="232"/>
      <c r="F20" s="232"/>
      <c r="G20" s="232"/>
      <c r="H20" s="232"/>
      <c r="I20" s="521"/>
      <c r="J20" s="521"/>
      <c r="K20" s="247"/>
      <c r="L20" s="179"/>
    </row>
    <row r="21" spans="2:12" s="177" customFormat="1" ht="13.9" customHeight="1" x14ac:dyDescent="0.25">
      <c r="B21" s="522"/>
      <c r="L21" s="182"/>
    </row>
    <row r="22" spans="2:12" ht="13.9" customHeight="1" x14ac:dyDescent="0.25">
      <c r="B22" s="178"/>
      <c r="C22" s="249"/>
      <c r="D22" s="183"/>
      <c r="E22" s="183"/>
      <c r="F22" s="183"/>
      <c r="G22" s="183"/>
      <c r="H22" s="183"/>
      <c r="I22" s="523"/>
      <c r="J22" s="523"/>
      <c r="K22" s="250"/>
      <c r="L22" s="179"/>
    </row>
    <row r="23" spans="2:12" ht="16.149999999999999" customHeight="1" x14ac:dyDescent="0.25">
      <c r="B23" s="178"/>
      <c r="C23" s="244"/>
      <c r="D23" s="524" t="s">
        <v>945</v>
      </c>
      <c r="E23" s="525">
        <f>IFERROR('EB_CM (Back)'!$G$47,0)</f>
        <v>0</v>
      </c>
      <c r="F23" s="188"/>
      <c r="G23" s="526">
        <f>IFERROR(E23/'PIM Model'!$H$31,0)</f>
        <v>0</v>
      </c>
      <c r="H23" s="188"/>
      <c r="I23" s="1552" t="str">
        <f>IFERROR($E23/$E$5,"")</f>
        <v/>
      </c>
      <c r="J23" s="1552"/>
      <c r="K23" s="245"/>
      <c r="L23" s="179"/>
    </row>
    <row r="24" spans="2:12" ht="16.149999999999999" customHeight="1" x14ac:dyDescent="0.25">
      <c r="B24" s="178"/>
      <c r="C24" s="244"/>
      <c r="D24" s="1557" t="s">
        <v>928</v>
      </c>
      <c r="E24" s="1557"/>
      <c r="F24" s="513"/>
      <c r="G24" s="514"/>
      <c r="H24" s="188"/>
      <c r="I24" s="516"/>
      <c r="J24" s="516"/>
      <c r="K24" s="245"/>
      <c r="L24" s="179"/>
    </row>
    <row r="25" spans="2:12" ht="13.9" customHeight="1" x14ac:dyDescent="0.25">
      <c r="B25" s="178"/>
      <c r="C25" s="246"/>
      <c r="D25" s="527"/>
      <c r="E25" s="528"/>
      <c r="F25" s="232"/>
      <c r="G25" s="529"/>
      <c r="H25" s="232"/>
      <c r="I25" s="521"/>
      <c r="J25" s="521"/>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523"/>
      <c r="J27" s="523"/>
      <c r="K27" s="250"/>
      <c r="L27" s="179"/>
    </row>
    <row r="28" spans="2:12" ht="26.45" customHeight="1" x14ac:dyDescent="0.25">
      <c r="B28" s="178"/>
      <c r="C28" s="244"/>
      <c r="D28" s="6" t="s">
        <v>218</v>
      </c>
      <c r="E28" s="644" t="s">
        <v>1256</v>
      </c>
      <c r="F28" s="188"/>
      <c r="G28" s="644" t="s">
        <v>1257</v>
      </c>
      <c r="H28" s="188"/>
      <c r="I28" s="1551" t="s">
        <v>886</v>
      </c>
      <c r="J28" s="1551"/>
      <c r="K28" s="245"/>
      <c r="L28" s="179"/>
    </row>
    <row r="29" spans="2:12" ht="25.15" customHeight="1" x14ac:dyDescent="0.25">
      <c r="B29" s="178"/>
      <c r="C29" s="244"/>
      <c r="D29" s="524" t="s">
        <v>221</v>
      </c>
      <c r="E29" s="525">
        <f>IFERROR('EB_CM (Back)'!$F$47,0)</f>
        <v>0</v>
      </c>
      <c r="F29" s="188"/>
      <c r="G29" s="512">
        <f>IFERROR(E29/'PIM Model'!$H$31,0)</f>
        <v>0</v>
      </c>
      <c r="H29" s="188"/>
      <c r="I29" s="1552" t="str">
        <f>IFERROR($E29/$E$5,"")</f>
        <v/>
      </c>
      <c r="J29" s="1552"/>
      <c r="K29" s="245"/>
      <c r="L29" s="179"/>
    </row>
    <row r="30" spans="2:12" ht="17.45" customHeight="1" x14ac:dyDescent="0.25">
      <c r="B30" s="178"/>
      <c r="C30" s="244"/>
      <c r="D30" s="524" t="s">
        <v>220</v>
      </c>
      <c r="E30" s="525">
        <f>IFERROR(VLOOKUP($H$4,'Variable Div Avgs'!$D:$L,9,FALSE)*'PIM Model'!$H$31,0)</f>
        <v>0</v>
      </c>
      <c r="F30" s="188"/>
      <c r="G30" s="512">
        <f>IFERROR(E30/'PIM Model'!$H$31,0)</f>
        <v>0</v>
      </c>
      <c r="H30" s="188"/>
      <c r="I30" s="1552" t="str">
        <f>IFERROR($E30/$E$5,"")</f>
        <v/>
      </c>
      <c r="J30" s="1552"/>
      <c r="K30" s="245"/>
      <c r="L30" s="179"/>
    </row>
    <row r="31" spans="2:12" ht="27.6" customHeight="1" x14ac:dyDescent="0.25">
      <c r="B31" s="178"/>
      <c r="C31" s="530"/>
      <c r="D31" s="1542" t="s">
        <v>230</v>
      </c>
      <c r="E31" s="1542"/>
      <c r="F31" s="531"/>
      <c r="G31" s="531"/>
      <c r="H31" s="531"/>
      <c r="I31" s="521"/>
      <c r="J31" s="521"/>
      <c r="K31" s="247"/>
      <c r="L31" s="179"/>
    </row>
    <row r="32" spans="2:12" s="930" customFormat="1" ht="27.6" customHeight="1" x14ac:dyDescent="0.25">
      <c r="B32" s="178"/>
      <c r="C32" s="177"/>
      <c r="D32" s="177"/>
      <c r="E32" s="177"/>
      <c r="H32" s="177"/>
      <c r="I32" s="177"/>
      <c r="J32" s="177"/>
      <c r="K32" s="177"/>
      <c r="L32" s="179"/>
    </row>
    <row r="33" spans="2:12" s="930" customFormat="1" ht="27.6" customHeight="1" x14ac:dyDescent="0.25">
      <c r="B33" s="178"/>
      <c r="C33" s="249"/>
      <c r="D33" s="183"/>
      <c r="E33" s="183"/>
      <c r="F33" s="183"/>
      <c r="G33" s="183"/>
      <c r="H33" s="183"/>
      <c r="I33" s="523"/>
      <c r="J33" s="523"/>
      <c r="K33" s="250"/>
      <c r="L33" s="179"/>
    </row>
    <row r="34" spans="2:12" s="930" customFormat="1" ht="23.25" customHeight="1" x14ac:dyDescent="0.25">
      <c r="B34" s="178"/>
      <c r="C34" s="244"/>
      <c r="D34" s="6" t="s">
        <v>1352</v>
      </c>
      <c r="E34" s="931" t="s">
        <v>266</v>
      </c>
      <c r="F34" s="188"/>
      <c r="G34" s="931" t="s">
        <v>1257</v>
      </c>
      <c r="H34" s="188"/>
      <c r="I34" s="932"/>
      <c r="J34" s="932"/>
      <c r="K34" s="245"/>
      <c r="L34" s="179"/>
    </row>
    <row r="35" spans="2:12" s="930" customFormat="1" ht="23.25" customHeight="1" x14ac:dyDescent="0.25">
      <c r="B35" s="178"/>
      <c r="C35" s="244"/>
      <c r="D35" s="524" t="s">
        <v>1353</v>
      </c>
      <c r="E35" s="941">
        <f>IFERROR('Customer Inputs'!BA16,0)</f>
        <v>0</v>
      </c>
      <c r="F35" s="188"/>
      <c r="G35" s="932"/>
      <c r="H35" s="188"/>
      <c r="I35" s="932"/>
      <c r="J35" s="932"/>
      <c r="K35" s="245"/>
      <c r="L35" s="179"/>
    </row>
    <row r="36" spans="2:12" s="930" customFormat="1" ht="22.5" customHeight="1" x14ac:dyDescent="0.25">
      <c r="B36" s="178"/>
      <c r="C36" s="244"/>
      <c r="D36" s="524" t="s">
        <v>1354</v>
      </c>
      <c r="E36" s="941">
        <f>IFERROR('Customer Inputs'!BB16,0)</f>
        <v>0</v>
      </c>
      <c r="F36" s="188"/>
      <c r="G36" s="512">
        <f>IFERROR('Customer Inputs'!BD16/'PIM Model'!$H$31,0)</f>
        <v>0</v>
      </c>
      <c r="H36" s="188"/>
      <c r="I36" s="932"/>
      <c r="J36" s="932"/>
      <c r="K36" s="245"/>
      <c r="L36" s="179"/>
    </row>
    <row r="37" spans="2:12" s="930" customFormat="1" ht="27.6" customHeight="1" x14ac:dyDescent="0.25">
      <c r="B37" s="178"/>
      <c r="C37" s="530"/>
      <c r="D37" s="1542"/>
      <c r="E37" s="1542"/>
      <c r="F37" s="531"/>
      <c r="G37" s="531"/>
      <c r="H37" s="531"/>
      <c r="I37" s="521"/>
      <c r="J37" s="521"/>
      <c r="K37" s="247"/>
      <c r="L37" s="179"/>
    </row>
    <row r="38" spans="2:12" ht="21.6" customHeight="1" thickBot="1" x14ac:dyDescent="0.3">
      <c r="B38" s="647"/>
      <c r="C38" s="641"/>
      <c r="D38" s="641"/>
      <c r="E38" s="641"/>
      <c r="F38" s="641"/>
      <c r="G38" s="641"/>
      <c r="H38" s="641"/>
      <c r="I38" s="641"/>
      <c r="J38" s="641"/>
      <c r="K38" s="641"/>
      <c r="L38" s="648"/>
    </row>
    <row r="39" spans="2:12" ht="39" customHeight="1" x14ac:dyDescent="0.25"/>
  </sheetData>
  <sheetProtection algorithmName="SHA-512" hashValue="07w/N5RcDjd9D1QdwRu6o0oroDICH1hvnTPJCHM+maF5vOzX41SKXqhimTFw7WZTBCV6Eu8DHTUUO0WmvlqSxg==" saltValue="1PCbnrBGeJ3BjPyPkl4w4Q==" spinCount="100000" sheet="1" selectLockedCells="1"/>
  <mergeCells count="29">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7:E37"/>
    <mergeCell ref="H6:K6"/>
    <mergeCell ref="H7:K7"/>
    <mergeCell ref="C6:D6"/>
    <mergeCell ref="C7:D7"/>
    <mergeCell ref="I10:J10"/>
    <mergeCell ref="I13:J13"/>
    <mergeCell ref="D31:E31"/>
    <mergeCell ref="E8:F8"/>
    <mergeCell ref="D16:E16"/>
    <mergeCell ref="D12:E12"/>
    <mergeCell ref="D18:E18"/>
    <mergeCell ref="D14:E14"/>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532"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792" customWidth="1"/>
    <col min="17" max="17" width="10.85546875" style="176" customWidth="1"/>
    <col min="18" max="18" width="11.5703125" style="792" bestFit="1" customWidth="1"/>
    <col min="19" max="19" width="2.42578125" style="176" customWidth="1"/>
    <col min="20" max="20" width="13.140625" style="176" customWidth="1"/>
    <col min="21" max="21" width="21.140625" style="5" hidden="1"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522</v>
      </c>
      <c r="U1" s="691" t="str">
        <f>N23</f>
        <v/>
      </c>
      <c r="X1" s="691" t="str">
        <f>IF(AND(NOT(ISBLANK(Welcome!D8)),Welcome!$D$8 &lt;&gt; "CIA"),IF(COUNTBLANK('PIM Model'!K10:K30)&gt;0,"TRUE","FALSE"),"FALSE")</f>
        <v>FALSE</v>
      </c>
    </row>
    <row r="2" spans="1:31" ht="21" x14ac:dyDescent="0.25">
      <c r="B2" s="683"/>
      <c r="C2" s="533" t="s">
        <v>129</v>
      </c>
      <c r="D2" s="172"/>
      <c r="E2" s="533"/>
      <c r="F2" s="534"/>
      <c r="G2" s="174"/>
      <c r="H2" s="174"/>
      <c r="I2" s="174"/>
      <c r="J2" s="174"/>
      <c r="K2" s="174"/>
      <c r="L2" s="174"/>
      <c r="M2" s="174"/>
      <c r="N2" s="172"/>
      <c r="O2" s="172"/>
      <c r="P2" s="793"/>
      <c r="Q2" s="174"/>
      <c r="R2" s="793"/>
      <c r="S2" s="535"/>
    </row>
    <row r="3" spans="1:31" ht="8.4499999999999993" customHeight="1" thickBot="1" x14ac:dyDescent="0.3">
      <c r="B3" s="178"/>
      <c r="D3" s="5"/>
      <c r="F3" s="177"/>
      <c r="G3" s="5"/>
      <c r="H3" s="5"/>
      <c r="I3" s="5"/>
      <c r="J3" s="922"/>
      <c r="K3" s="922"/>
      <c r="L3" s="922"/>
      <c r="M3" s="922"/>
      <c r="S3" s="252"/>
    </row>
    <row r="4" spans="1:31" ht="14.45" customHeight="1" x14ac:dyDescent="0.25">
      <c r="B4" s="178"/>
      <c r="C4" s="1560" t="s">
        <v>1246</v>
      </c>
      <c r="D4" s="1561"/>
      <c r="E4" s="646">
        <f>Welcome!$D$8</f>
        <v>0</v>
      </c>
      <c r="F4" s="139"/>
      <c r="G4" s="472" t="s">
        <v>110</v>
      </c>
      <c r="H4" s="1494" t="str">
        <f>IFERROR(VLOOKUP($H$5,'Market Geography'!$D:$G,4,FALSE),"Select Market")</f>
        <v>Select Market</v>
      </c>
      <c r="I4" s="1495"/>
      <c r="J4" s="1496"/>
      <c r="K4" s="922"/>
      <c r="L4" s="922"/>
      <c r="M4" s="922"/>
      <c r="N4" s="922"/>
      <c r="O4" s="922"/>
      <c r="P4" s="796"/>
      <c r="Q4" s="798"/>
      <c r="R4" s="737"/>
      <c r="S4" s="536"/>
    </row>
    <row r="5" spans="1:31" x14ac:dyDescent="0.25">
      <c r="B5" s="178"/>
      <c r="C5" s="1547" t="s">
        <v>1247</v>
      </c>
      <c r="D5" s="1548"/>
      <c r="E5" s="354" t="str">
        <f>Welcome!$D$12</f>
        <v>Select Term</v>
      </c>
      <c r="F5" s="139"/>
      <c r="G5" s="473" t="s">
        <v>881</v>
      </c>
      <c r="H5" s="1491">
        <f>Welcome!$D$4</f>
        <v>0</v>
      </c>
      <c r="I5" s="1492"/>
      <c r="J5" s="1493"/>
      <c r="K5" s="922"/>
      <c r="L5" s="922"/>
      <c r="M5" s="922"/>
      <c r="N5" s="922"/>
      <c r="O5" s="922"/>
      <c r="P5" s="796"/>
      <c r="Q5" s="798"/>
      <c r="R5" s="737"/>
      <c r="S5" s="536"/>
    </row>
    <row r="6" spans="1:31" x14ac:dyDescent="0.25">
      <c r="B6" s="178"/>
      <c r="C6" s="1547" t="s">
        <v>1252</v>
      </c>
      <c r="D6" s="1548"/>
      <c r="E6" s="355">
        <f>IFERROR('PIM Model'!$G$31,0)</f>
        <v>0</v>
      </c>
      <c r="F6" s="387"/>
      <c r="G6" s="473" t="s">
        <v>107</v>
      </c>
      <c r="H6" s="1491" t="str">
        <f>'Multi-Customer'!$S$49</f>
        <v>Enter Customer(s)</v>
      </c>
      <c r="I6" s="1492"/>
      <c r="J6" s="1493"/>
      <c r="K6" s="922"/>
      <c r="L6" s="922"/>
      <c r="M6" s="922"/>
      <c r="N6" s="922"/>
      <c r="O6" s="922"/>
      <c r="P6" s="796"/>
      <c r="Q6" s="798"/>
      <c r="R6" s="737"/>
      <c r="S6" s="536"/>
    </row>
    <row r="7" spans="1:31" x14ac:dyDescent="0.25">
      <c r="B7" s="178"/>
      <c r="C7" s="1547" t="s">
        <v>1253</v>
      </c>
      <c r="D7" s="1548"/>
      <c r="E7" s="537">
        <f>IFERROR('Variable Costs (Back)'!$K$26,0)</f>
        <v>0</v>
      </c>
      <c r="F7" s="177"/>
      <c r="G7" s="473" t="s">
        <v>1262</v>
      </c>
      <c r="H7" s="1491" t="str">
        <f>'Multi-Customer'!$AH$40</f>
        <v>MULTIPLE TYPES</v>
      </c>
      <c r="I7" s="1492"/>
      <c r="J7" s="1493"/>
      <c r="K7" s="922"/>
      <c r="L7" s="922"/>
      <c r="M7" s="922"/>
      <c r="N7" s="922"/>
      <c r="O7" s="922"/>
      <c r="P7" s="796"/>
      <c r="Q7" s="798"/>
      <c r="R7" s="737"/>
      <c r="S7" s="536"/>
    </row>
    <row r="8" spans="1:31" ht="15.75" thickBot="1" x14ac:dyDescent="0.3">
      <c r="B8" s="178"/>
      <c r="C8" s="1549" t="s">
        <v>1254</v>
      </c>
      <c r="D8" s="1550"/>
      <c r="E8" s="386">
        <f>IFERROR('PIM Ranges'!$AU$3,0)</f>
        <v>0</v>
      </c>
      <c r="F8" s="388"/>
      <c r="G8" s="474" t="s">
        <v>1255</v>
      </c>
      <c r="H8" s="1562" t="s">
        <v>206</v>
      </c>
      <c r="I8" s="1563"/>
      <c r="J8" s="1564"/>
      <c r="K8" s="922"/>
      <c r="L8" s="922"/>
      <c r="M8" s="922"/>
      <c r="N8" s="922"/>
      <c r="O8" s="922"/>
      <c r="P8" s="797"/>
      <c r="Q8" s="798"/>
      <c r="R8" s="737"/>
      <c r="S8" s="538"/>
    </row>
    <row r="9" spans="1:31" ht="8.4499999999999993" customHeight="1" x14ac:dyDescent="0.25">
      <c r="B9" s="178"/>
      <c r="D9" s="136"/>
      <c r="E9" s="645"/>
      <c r="F9" s="645"/>
      <c r="G9" s="645"/>
      <c r="H9" s="645"/>
      <c r="I9" s="645"/>
      <c r="J9" s="920"/>
      <c r="K9" s="920"/>
      <c r="L9" s="920"/>
      <c r="M9" s="920"/>
      <c r="S9" s="252"/>
    </row>
    <row r="10" spans="1:31" ht="7.9" customHeight="1" x14ac:dyDescent="0.25">
      <c r="B10" s="178"/>
      <c r="C10" s="249"/>
      <c r="D10" s="539"/>
      <c r="E10" s="183"/>
      <c r="F10" s="183"/>
      <c r="G10" s="183"/>
      <c r="H10" s="183"/>
      <c r="I10" s="183"/>
      <c r="J10" s="183"/>
      <c r="K10" s="183"/>
      <c r="L10" s="183"/>
      <c r="M10" s="183"/>
      <c r="N10" s="183"/>
      <c r="O10" s="187"/>
      <c r="P10"/>
      <c r="Q10" s="794"/>
      <c r="R10" s="791"/>
      <c r="S10" s="179"/>
      <c r="T10" s="5"/>
    </row>
    <row r="11" spans="1:31" ht="18.600000000000001" customHeight="1" x14ac:dyDescent="0.25">
      <c r="B11" s="178"/>
      <c r="C11" s="244"/>
      <c r="D11" s="7"/>
      <c r="E11" s="6" t="s">
        <v>1256</v>
      </c>
      <c r="F11" s="35"/>
      <c r="G11" s="193" t="s">
        <v>1257</v>
      </c>
      <c r="H11" s="195"/>
      <c r="I11" s="188"/>
      <c r="J11" s="188"/>
      <c r="K11" s="188"/>
      <c r="L11" s="188"/>
      <c r="M11" s="188"/>
      <c r="N11" s="188"/>
      <c r="O11" s="190"/>
      <c r="P11"/>
      <c r="Q11" s="1570" t="s">
        <v>1207</v>
      </c>
      <c r="R11" s="1570"/>
      <c r="S11" s="179"/>
      <c r="T11" s="5"/>
    </row>
    <row r="12" spans="1:31" ht="21" customHeight="1" x14ac:dyDescent="0.25">
      <c r="B12" s="178"/>
      <c r="C12" s="244"/>
      <c r="D12" s="705" t="s">
        <v>687</v>
      </c>
      <c r="E12" s="706">
        <f>IFERROR('PIM Model'!$G$31,0)</f>
        <v>0</v>
      </c>
      <c r="F12" s="36"/>
      <c r="G12" s="707">
        <f>IFERROR(E12/'PIM Model'!$H$31,0)</f>
        <v>0</v>
      </c>
      <c r="H12" s="541"/>
      <c r="I12" s="542"/>
      <c r="J12" s="542"/>
      <c r="K12" s="542"/>
      <c r="L12" s="542"/>
      <c r="M12" s="542"/>
      <c r="N12" s="543" t="str">
        <f>IF(AND(Welcome!D8="CIA",E12&lt;150000),"Spend",IF(AND(OR(Welcome!D8="MDA",Welcome!D8="PON Only",Welcome!D8="PON with Existing CIA",Welcome!D8="PON with New CIA"),E12&lt;250000),"Spend",IF(E12&gt;2500000,"Spend","Approve")))</f>
        <v>Approve</v>
      </c>
      <c r="O12" s="544"/>
      <c r="P12"/>
      <c r="Q12" s="854"/>
      <c r="R12" s="855"/>
      <c r="S12" s="179"/>
      <c r="T12" s="5"/>
    </row>
    <row r="13" spans="1:31" ht="21" customHeight="1" x14ac:dyDescent="0.25">
      <c r="B13" s="178"/>
      <c r="C13" s="244"/>
      <c r="D13" s="8" t="s">
        <v>490</v>
      </c>
      <c r="E13" s="12">
        <f>IFERROR('PIM Model'!$I$34,0)</f>
        <v>0</v>
      </c>
      <c r="F13" s="36"/>
      <c r="G13" s="540">
        <f>IFERROR(E13/'PIM Model'!$H$31,0)</f>
        <v>0</v>
      </c>
      <c r="H13" s="541"/>
      <c r="I13" s="542"/>
      <c r="J13" s="548"/>
      <c r="K13" s="542"/>
      <c r="L13" s="542"/>
      <c r="M13" s="542"/>
      <c r="N13" s="545" t="str">
        <f>IF(E13&gt;0,IF(N17=0,IF(X1="FALSE","Approve","Reject"),"Reject"),"")</f>
        <v/>
      </c>
      <c r="O13" s="544"/>
      <c r="P13"/>
      <c r="Q13" s="854"/>
      <c r="R13" s="855"/>
      <c r="S13" s="179"/>
      <c r="T13" s="5"/>
    </row>
    <row r="14" spans="1:31" ht="7.15" customHeight="1" x14ac:dyDescent="0.25">
      <c r="B14" s="178"/>
      <c r="C14" s="244"/>
      <c r="D14" s="708"/>
      <c r="E14" s="709"/>
      <c r="F14" s="709"/>
      <c r="G14" s="702"/>
      <c r="H14" s="702"/>
      <c r="I14" s="703"/>
      <c r="J14" s="548"/>
      <c r="K14" s="542"/>
      <c r="L14" s="542"/>
      <c r="M14" s="542"/>
      <c r="N14" s="704"/>
      <c r="O14" s="544"/>
      <c r="P14"/>
      <c r="Q14" s="794"/>
      <c r="R14" s="791"/>
      <c r="S14" s="179"/>
      <c r="T14" s="5"/>
    </row>
    <row r="15" spans="1:31" ht="21" customHeight="1" x14ac:dyDescent="0.25">
      <c r="B15" s="178"/>
      <c r="C15" s="244"/>
      <c r="D15" s="708"/>
      <c r="E15" s="6" t="s">
        <v>1256</v>
      </c>
      <c r="F15" s="35"/>
      <c r="G15" s="124" t="s">
        <v>1257</v>
      </c>
      <c r="H15" s="546"/>
      <c r="I15" s="193" t="s">
        <v>886</v>
      </c>
      <c r="J15" s="548"/>
      <c r="K15" s="542"/>
      <c r="L15" s="542"/>
      <c r="M15" s="542"/>
      <c r="N15" s="704"/>
      <c r="O15" s="544"/>
      <c r="P15"/>
      <c r="Q15" s="794"/>
      <c r="R15" s="791"/>
      <c r="S15" s="179"/>
      <c r="T15" s="5"/>
      <c r="AE15" s="5" t="e">
        <f>Incentives!K179&gt;ROUNDUP((((VLOOKUP('Variable Selling'!$A$2,'CC MARKET EXPENSE'!$A:$D,4,0))*100)*50/100)/0.25,0)*0.25/100</f>
        <v>#N/A</v>
      </c>
    </row>
    <row r="16" spans="1:31" ht="24" customHeight="1" x14ac:dyDescent="0.25">
      <c r="B16" s="178"/>
      <c r="C16" s="244"/>
      <c r="D16" s="16" t="s">
        <v>1047</v>
      </c>
      <c r="E16" s="710">
        <v>0</v>
      </c>
      <c r="F16" s="123"/>
      <c r="G16" s="703"/>
      <c r="H16" s="702"/>
      <c r="I16" s="703"/>
      <c r="J16" s="548"/>
      <c r="K16" s="542"/>
      <c r="L16" s="542"/>
      <c r="M16" s="542"/>
      <c r="N16" s="704"/>
      <c r="O16" s="544"/>
      <c r="P16"/>
      <c r="Q16" s="794"/>
      <c r="R16" s="791"/>
      <c r="S16" s="179"/>
      <c r="T16" s="5"/>
    </row>
    <row r="17" spans="2:21" ht="24" customHeight="1" x14ac:dyDescent="0.25">
      <c r="B17" s="178"/>
      <c r="C17" s="244"/>
      <c r="D17" s="16" t="s">
        <v>1343</v>
      </c>
      <c r="E17" s="12">
        <f>IFERROR('EB_CM (Back)'!$G$47*-1,0)-E16</f>
        <v>0</v>
      </c>
      <c r="F17" s="36"/>
      <c r="G17" s="540">
        <f>IFERROR(E17/'PIM Model'!$H$31,0)</f>
        <v>0</v>
      </c>
      <c r="H17" s="546"/>
      <c r="I17" s="549">
        <f>IFERROR(E17/E12,0)</f>
        <v>0</v>
      </c>
      <c r="J17" s="548"/>
      <c r="K17" s="542"/>
      <c r="L17" s="542"/>
      <c r="M17" s="542"/>
      <c r="N17" s="856">
        <f>COUNTIF('PIM Model'!$AB$10:$AB$30,"ERROR")+COUNTIFS('PIM Model'!$AF$10:$AJ$30,"BELOW")</f>
        <v>0</v>
      </c>
      <c r="O17" s="547"/>
      <c r="P17"/>
      <c r="Q17" s="794"/>
      <c r="R17" s="791"/>
      <c r="S17" s="179"/>
      <c r="T17" s="5"/>
    </row>
    <row r="18" spans="2:21" ht="13.15" customHeight="1" x14ac:dyDescent="0.25">
      <c r="B18" s="178"/>
      <c r="C18" s="244"/>
      <c r="D18" s="188"/>
      <c r="E18" s="188"/>
      <c r="F18" s="188"/>
      <c r="G18" s="188"/>
      <c r="H18" s="546"/>
      <c r="I18" s="548"/>
      <c r="J18" s="548"/>
      <c r="K18" s="542"/>
      <c r="L18" s="542"/>
      <c r="M18" s="542"/>
      <c r="N18" s="548"/>
      <c r="O18" s="547"/>
      <c r="P18"/>
      <c r="Q18" s="794"/>
      <c r="R18" s="791"/>
      <c r="S18" s="179"/>
      <c r="T18" s="5"/>
    </row>
    <row r="19" spans="2:21" ht="21.6" customHeight="1" x14ac:dyDescent="0.25">
      <c r="B19" s="178"/>
      <c r="C19" s="244"/>
      <c r="D19" s="188"/>
      <c r="E19" s="6" t="s">
        <v>1256</v>
      </c>
      <c r="F19" s="35"/>
      <c r="G19" s="193" t="s">
        <v>1257</v>
      </c>
      <c r="H19" s="546"/>
      <c r="I19" s="193" t="s">
        <v>886</v>
      </c>
      <c r="J19" s="548"/>
      <c r="K19" s="542"/>
      <c r="L19" s="542"/>
      <c r="M19" s="542"/>
      <c r="N19" s="548"/>
      <c r="O19" s="547"/>
      <c r="P19"/>
      <c r="Q19" s="794"/>
      <c r="R19" s="791"/>
      <c r="S19" s="179"/>
      <c r="T19" s="5"/>
    </row>
    <row r="20" spans="2:21" ht="21.6" customHeight="1" x14ac:dyDescent="0.25">
      <c r="B20" s="178"/>
      <c r="C20" s="244"/>
      <c r="D20" s="8" t="s">
        <v>948</v>
      </c>
      <c r="E20" s="12">
        <f>E13+E17</f>
        <v>0</v>
      </c>
      <c r="F20" s="36"/>
      <c r="G20" s="540">
        <f>IFERROR(E20/'PIM Model'!$H$31,0)</f>
        <v>0</v>
      </c>
      <c r="H20" s="546"/>
      <c r="I20" s="549">
        <f>IFERROR(E20/E12,0)</f>
        <v>0</v>
      </c>
      <c r="J20" s="548"/>
      <c r="K20" s="542"/>
      <c r="L20" s="542"/>
      <c r="M20" s="542"/>
      <c r="N20" s="548"/>
      <c r="O20" s="547"/>
      <c r="P20"/>
      <c r="Q20" s="794"/>
      <c r="R20" s="791"/>
      <c r="S20" s="179"/>
      <c r="T20" s="5"/>
    </row>
    <row r="21" spans="2:21" x14ac:dyDescent="0.25">
      <c r="B21" s="178"/>
      <c r="C21" s="244"/>
      <c r="D21" s="7"/>
      <c r="E21" s="546"/>
      <c r="F21" s="546"/>
      <c r="G21" s="546"/>
      <c r="H21" s="546"/>
      <c r="I21" s="548"/>
      <c r="J21" s="548"/>
      <c r="K21" s="542"/>
      <c r="L21" s="542"/>
      <c r="M21" s="542"/>
      <c r="N21" s="548"/>
      <c r="O21" s="547"/>
      <c r="P21"/>
      <c r="Q21" s="1565" t="s">
        <v>1207</v>
      </c>
      <c r="R21" s="1566"/>
      <c r="S21" s="179"/>
      <c r="T21" s="5"/>
    </row>
    <row r="22" spans="2:21" s="1309" customFormat="1" ht="21" customHeight="1" x14ac:dyDescent="0.25">
      <c r="B22" s="178"/>
      <c r="C22" s="244"/>
      <c r="D22" s="1318" t="s">
        <v>1830</v>
      </c>
      <c r="E22" s="1328">
        <f>IFERROR(Incentives!O225*-1,0)</f>
        <v>0</v>
      </c>
      <c r="F22" s="546"/>
      <c r="G22" s="1327"/>
      <c r="H22" s="546"/>
      <c r="I22" s="548"/>
      <c r="J22" s="548"/>
      <c r="K22" s="542"/>
      <c r="L22" s="542"/>
      <c r="M22" s="542"/>
      <c r="N22" s="548"/>
      <c r="O22" s="547"/>
      <c r="P22" s="1308"/>
      <c r="Q22" s="1310"/>
      <c r="R22" s="1311"/>
      <c r="S22" s="179"/>
    </row>
    <row r="23" spans="2:21" ht="24" customHeight="1" x14ac:dyDescent="0.25">
      <c r="B23" s="178"/>
      <c r="C23" s="244"/>
      <c r="D23" s="16" t="s">
        <v>1344</v>
      </c>
      <c r="E23" s="12">
        <f>IFERROR(Incentives!O227*-1,0)</f>
        <v>0</v>
      </c>
      <c r="F23" s="550">
        <f>Incentives!O229</f>
        <v>0</v>
      </c>
      <c r="G23" s="540">
        <f>IFERROR(E23/'PIM Model'!$H$31,0)</f>
        <v>0</v>
      </c>
      <c r="H23" s="541"/>
      <c r="I23" s="693"/>
      <c r="J23" s="693"/>
      <c r="K23" s="693"/>
      <c r="L23" s="693"/>
      <c r="M23" s="693"/>
      <c r="N23" s="515" t="str">
        <f>IF(Q23="Yes","Approve",IF(E23=0,"",IF(AND(Incentives!$E$175="Yes",Welcome!D16="No"),"Reject",IF(F23&gt;0.05,"Reject",IF(Incentives!K179&gt;ROUNDUP((((VLOOKUP('Variable Selling'!$A$2,'CC MARKET EXPENSE'!$A:$D,4,0))*100)*50/100)/0.25,0)*0.25/100,"Reject",IF(U23&gt;=10000,"Caution","Approve"))))))</f>
        <v/>
      </c>
      <c r="O23" s="551"/>
      <c r="P23"/>
      <c r="Q23" s="799"/>
      <c r="R23" s="800"/>
      <c r="S23" s="179"/>
      <c r="T23" s="5"/>
      <c r="U23" s="1342">
        <f>SUM(Incentives!G163,Incentives!G171,Incentives!G187,Incentives!G198,Incentives!G210)</f>
        <v>0</v>
      </c>
    </row>
    <row r="24" spans="2:21" ht="21.6" customHeight="1" x14ac:dyDescent="0.25">
      <c r="B24" s="178"/>
      <c r="C24" s="244"/>
      <c r="D24" s="8" t="s">
        <v>1345</v>
      </c>
      <c r="E24" s="12">
        <f>E20+E23</f>
        <v>0</v>
      </c>
      <c r="F24" s="36"/>
      <c r="G24" s="540">
        <f>IFERROR(E24/'PIM Model'!$H$31,0)</f>
        <v>0</v>
      </c>
      <c r="H24" s="541"/>
      <c r="I24" s="188"/>
      <c r="J24" s="188"/>
      <c r="K24" s="188"/>
      <c r="L24" s="188"/>
      <c r="M24" s="188"/>
      <c r="N24" s="188"/>
      <c r="O24" s="190"/>
      <c r="P24"/>
      <c r="Q24" s="794"/>
      <c r="R24" s="791"/>
      <c r="S24" s="179"/>
      <c r="T24" s="5"/>
    </row>
    <row r="25" spans="2:21" ht="11.45" customHeight="1" x14ac:dyDescent="0.25">
      <c r="B25" s="178"/>
      <c r="C25" s="244"/>
      <c r="D25" s="7"/>
      <c r="E25" s="546"/>
      <c r="F25" s="546"/>
      <c r="G25" s="552"/>
      <c r="H25" s="552"/>
      <c r="I25" s="188"/>
      <c r="J25" s="188"/>
      <c r="K25" s="188"/>
      <c r="L25" s="188"/>
      <c r="M25" s="188"/>
      <c r="N25" s="188"/>
      <c r="O25" s="190"/>
      <c r="P25"/>
      <c r="Q25" s="794"/>
      <c r="R25" s="791"/>
      <c r="S25" s="179"/>
      <c r="T25" s="5"/>
    </row>
    <row r="26" spans="2:21" ht="21.6" customHeight="1" x14ac:dyDescent="0.25">
      <c r="B26" s="178"/>
      <c r="C26" s="244"/>
      <c r="D26" s="16" t="s">
        <v>1346</v>
      </c>
      <c r="E26" s="13">
        <f>IFERROR('Variable Costs &amp; Income'!$E$11*-1,0)</f>
        <v>0</v>
      </c>
      <c r="F26" s="37"/>
      <c r="G26" s="553">
        <f>IFERROR(E26/'PIM Model'!$H$31,0)</f>
        <v>0</v>
      </c>
      <c r="H26" s="64"/>
      <c r="I26" s="554"/>
      <c r="J26" s="554"/>
      <c r="K26" s="554"/>
      <c r="L26" s="554"/>
      <c r="M26" s="554"/>
      <c r="N26" s="554"/>
      <c r="O26" s="190"/>
      <c r="P26"/>
      <c r="Q26" s="794"/>
      <c r="R26" s="791"/>
      <c r="S26" s="179"/>
      <c r="T26" s="5"/>
    </row>
    <row r="27" spans="2:21" ht="21.6" customHeight="1" x14ac:dyDescent="0.25">
      <c r="B27" s="178"/>
      <c r="C27" s="244"/>
      <c r="D27" s="16" t="s">
        <v>1166</v>
      </c>
      <c r="E27" s="13">
        <f>IF(AND(Welcome!D16="YES",Incentives!E175="Yes"),0,IF(AND(Welcome!D16="YES",Incentives!E175="No"),E12*(VLOOKUP('Variable Selling'!$A$2,'CC MARKET EXPENSE'!$A:$D,4,0)),0))*-1</f>
        <v>0</v>
      </c>
      <c r="F27" s="37"/>
      <c r="G27" s="553">
        <f>IFERROR(E27/'PIM Model'!$H$31,0)</f>
        <v>0</v>
      </c>
      <c r="H27" s="64"/>
      <c r="I27" s="554"/>
      <c r="J27" s="554"/>
      <c r="K27" s="554"/>
      <c r="L27" s="554"/>
      <c r="M27" s="554"/>
      <c r="N27" s="554"/>
      <c r="O27" s="190"/>
      <c r="P27"/>
      <c r="Q27" s="794"/>
      <c r="R27" s="791"/>
      <c r="S27" s="179"/>
      <c r="T27" s="5"/>
    </row>
    <row r="28" spans="2:21" ht="21.6" customHeight="1" x14ac:dyDescent="0.25">
      <c r="B28" s="178"/>
      <c r="C28" s="244"/>
      <c r="D28" s="16" t="s">
        <v>1259</v>
      </c>
      <c r="E28" s="13">
        <f>IFERROR('Variable Costs &amp; Income'!$E$15*-1,0)</f>
        <v>0</v>
      </c>
      <c r="F28" s="37"/>
      <c r="G28" s="553">
        <f>IFERROR(E28/'PIM Model'!$H$31,0)</f>
        <v>0</v>
      </c>
      <c r="H28" s="64"/>
      <c r="I28" s="554"/>
      <c r="J28" s="554"/>
      <c r="K28" s="554"/>
      <c r="L28" s="554"/>
      <c r="M28" s="554"/>
      <c r="N28" s="554"/>
      <c r="O28" s="190"/>
      <c r="P28"/>
      <c r="Q28" s="794"/>
      <c r="R28" s="791"/>
      <c r="S28" s="179"/>
      <c r="T28" s="5"/>
    </row>
    <row r="29" spans="2:21" ht="21" customHeight="1" x14ac:dyDescent="0.25">
      <c r="B29" s="178"/>
      <c r="C29" s="244"/>
      <c r="D29" s="16" t="s">
        <v>1261</v>
      </c>
      <c r="E29" s="13">
        <f>IFERROR('Variable Costs &amp; Income'!$E$17*-1,0)</f>
        <v>0</v>
      </c>
      <c r="F29" s="37"/>
      <c r="G29" s="553">
        <f>IFERROR(E29/'PIM Model'!$H$31,0)</f>
        <v>0</v>
      </c>
      <c r="H29" s="64"/>
      <c r="I29" s="554"/>
      <c r="J29" s="554"/>
      <c r="K29" s="554"/>
      <c r="L29" s="554"/>
      <c r="M29" s="554"/>
      <c r="N29" s="554"/>
      <c r="O29" s="190"/>
      <c r="P29"/>
      <c r="Q29" s="794"/>
      <c r="R29" s="791"/>
      <c r="S29" s="179"/>
      <c r="T29" s="5"/>
    </row>
    <row r="30" spans="2:21" ht="23.45" customHeight="1" x14ac:dyDescent="0.25">
      <c r="B30" s="178"/>
      <c r="C30" s="244"/>
      <c r="D30" s="7"/>
      <c r="E30" s="546"/>
      <c r="F30" s="546"/>
      <c r="G30" s="552"/>
      <c r="H30" s="552"/>
      <c r="I30" s="188"/>
      <c r="J30" s="188"/>
      <c r="K30" s="188"/>
      <c r="L30" s="188"/>
      <c r="M30" s="188"/>
      <c r="N30" s="188"/>
      <c r="O30" s="190"/>
      <c r="P30"/>
      <c r="Q30" s="794"/>
      <c r="R30" s="791"/>
      <c r="S30" s="179"/>
      <c r="T30" s="5"/>
    </row>
    <row r="31" spans="2:21" ht="23.45" customHeight="1" x14ac:dyDescent="0.25">
      <c r="B31" s="178"/>
      <c r="C31" s="244"/>
      <c r="D31" s="17" t="s">
        <v>221</v>
      </c>
      <c r="E31" s="12">
        <f>IFERROR('Variable Costs &amp; Income'!$E$29,0)</f>
        <v>0</v>
      </c>
      <c r="F31" s="36"/>
      <c r="G31" s="540">
        <f>IFERROR(E31/'PIM Model'!$H$31,0)</f>
        <v>0</v>
      </c>
      <c r="H31" s="541"/>
      <c r="I31" s="188"/>
      <c r="J31" s="188"/>
      <c r="K31" s="188"/>
      <c r="L31" s="188"/>
      <c r="M31" s="188"/>
      <c r="N31" s="188"/>
      <c r="O31" s="190"/>
      <c r="P31"/>
      <c r="Q31" s="794"/>
      <c r="R31" s="791"/>
      <c r="S31" s="179"/>
      <c r="T31" s="5"/>
    </row>
    <row r="32" spans="2:21" ht="21" customHeight="1" x14ac:dyDescent="0.25">
      <c r="B32" s="178"/>
      <c r="C32" s="244"/>
      <c r="D32" s="17" t="s">
        <v>220</v>
      </c>
      <c r="E32" s="12">
        <f>'Variable Costs &amp; Income'!$E$30</f>
        <v>0</v>
      </c>
      <c r="F32" s="36"/>
      <c r="G32" s="540">
        <f>IFERROR(E32/'PIM Model'!$H$31,0)</f>
        <v>0</v>
      </c>
      <c r="H32" s="541"/>
      <c r="I32" s="188"/>
      <c r="J32" s="188"/>
      <c r="K32" s="188"/>
      <c r="L32" s="188"/>
      <c r="M32" s="188"/>
      <c r="N32" s="188"/>
      <c r="O32" s="190"/>
      <c r="P32"/>
      <c r="Q32" s="794"/>
      <c r="R32" s="791"/>
      <c r="S32" s="179"/>
      <c r="T32" s="5"/>
    </row>
    <row r="33" spans="2:20" ht="30.75" customHeight="1" x14ac:dyDescent="0.25">
      <c r="B33" s="178"/>
      <c r="C33" s="244"/>
      <c r="D33" s="1569" t="s">
        <v>230</v>
      </c>
      <c r="E33" s="1569"/>
      <c r="F33" s="1569"/>
      <c r="G33" s="1569"/>
      <c r="H33" s="555"/>
      <c r="I33" s="1568" t="str">
        <f>IF($J$34=0,IF($N$34=0,"","Customer EB % Missing"),IF($N$34=0,"Customer Drops/Wk Missing","Customer EB % &amp; Drops/Wk Missing"))</f>
        <v/>
      </c>
      <c r="J33" s="1568"/>
      <c r="K33" s="1568"/>
      <c r="L33" s="1568"/>
      <c r="M33" s="1568"/>
      <c r="N33" s="1568"/>
      <c r="O33" s="190"/>
      <c r="P33"/>
      <c r="Q33" s="794"/>
      <c r="R33" s="791"/>
      <c r="S33" s="179"/>
      <c r="T33" s="5"/>
    </row>
    <row r="34" spans="2:20" ht="36.75" customHeight="1" x14ac:dyDescent="0.25">
      <c r="B34" s="178"/>
      <c r="C34" s="244"/>
      <c r="D34" s="7"/>
      <c r="E34" s="923" t="s">
        <v>1256</v>
      </c>
      <c r="F34" s="546"/>
      <c r="G34" s="924" t="s">
        <v>1257</v>
      </c>
      <c r="H34" s="714">
        <f>J34+N34</f>
        <v>0</v>
      </c>
      <c r="I34" s="924" t="s">
        <v>886</v>
      </c>
      <c r="J34" s="1138">
        <f>'Customer Inputs'!$X$16</f>
        <v>0</v>
      </c>
      <c r="K34" s="924" t="s">
        <v>1348</v>
      </c>
      <c r="L34" s="188"/>
      <c r="M34" s="925" t="s">
        <v>1349</v>
      </c>
      <c r="N34" s="516">
        <f>'Customer Inputs'!$AA$16</f>
        <v>0</v>
      </c>
      <c r="O34" s="190"/>
      <c r="P34"/>
      <c r="Q34" s="943"/>
      <c r="R34" s="942"/>
      <c r="S34" s="179"/>
      <c r="T34" s="5"/>
    </row>
    <row r="35" spans="2:20" ht="24" customHeight="1" x14ac:dyDescent="0.25">
      <c r="B35" s="178"/>
      <c r="C35" s="244"/>
      <c r="D35" s="8" t="s">
        <v>1347</v>
      </c>
      <c r="E35" s="12">
        <f>IFERROR(E24+E26+E28+E29+E31+E32+E27,"")</f>
        <v>0</v>
      </c>
      <c r="F35" s="36"/>
      <c r="G35" s="540">
        <f>IFERROR(E35/'PIM Model'!$H$31,0)</f>
        <v>0</v>
      </c>
      <c r="H35" s="556">
        <f>'EB_CM (Back)'!$C$26-'EB_CM (Back)'!$C$27</f>
        <v>0.08</v>
      </c>
      <c r="I35" s="549">
        <f>IFERROR($E$35/'PIM Model'!$G$31,0)</f>
        <v>0</v>
      </c>
      <c r="J35" s="188"/>
      <c r="K35" s="997">
        <f>IFERROR(E35/($E$7*Welcome!$D$14*52),0)</f>
        <v>0</v>
      </c>
      <c r="L35" s="188"/>
      <c r="M35" s="997">
        <f>IFERROR(E35/(Welcome!$D$14*52),0)</f>
        <v>0</v>
      </c>
      <c r="N35" s="516">
        <f>'Customer Inputs'!$AA$16</f>
        <v>0</v>
      </c>
      <c r="O35" s="190"/>
      <c r="P35"/>
      <c r="Q35" s="943"/>
      <c r="R35" s="942"/>
      <c r="S35" s="179"/>
      <c r="T35" s="5"/>
    </row>
    <row r="36" spans="2:20" s="922" customFormat="1" ht="24" customHeight="1" x14ac:dyDescent="0.25">
      <c r="B36" s="178"/>
      <c r="C36" s="244"/>
      <c r="D36" s="7"/>
      <c r="E36" s="546"/>
      <c r="F36" s="546"/>
      <c r="G36" s="552"/>
      <c r="H36" s="552"/>
      <c r="I36" s="188"/>
      <c r="J36" s="188"/>
      <c r="K36" s="188"/>
      <c r="L36" s="188"/>
      <c r="M36" s="188"/>
      <c r="N36" s="188"/>
      <c r="O36" s="190"/>
      <c r="P36" s="921"/>
      <c r="Q36" s="927"/>
      <c r="R36" s="927"/>
      <c r="S36" s="179"/>
    </row>
    <row r="37" spans="2:20" s="922" customFormat="1" ht="24" customHeight="1" x14ac:dyDescent="0.25">
      <c r="B37" s="178"/>
      <c r="C37" s="244"/>
      <c r="D37" s="8" t="s">
        <v>1350</v>
      </c>
      <c r="E37" s="12">
        <f>IFERROR('Customer Inputs'!BD16,0)</f>
        <v>0</v>
      </c>
      <c r="F37" s="926"/>
      <c r="G37" s="540">
        <f>IFERROR(E37/'PIM Model'!$H$31,0)</f>
        <v>0</v>
      </c>
      <c r="H37" s="556"/>
      <c r="I37" s="188"/>
      <c r="J37" s="188"/>
      <c r="K37" s="188"/>
      <c r="L37" s="188"/>
      <c r="M37" s="188"/>
      <c r="N37" s="188"/>
      <c r="O37" s="190"/>
      <c r="P37" s="921"/>
      <c r="Q37" s="927"/>
      <c r="R37" s="927"/>
      <c r="S37" s="179"/>
    </row>
    <row r="38" spans="2:20" s="922" customFormat="1" ht="24" customHeight="1" x14ac:dyDescent="0.25">
      <c r="B38" s="178"/>
      <c r="C38" s="244"/>
      <c r="D38" s="7"/>
      <c r="E38" s="546"/>
      <c r="F38" s="546"/>
      <c r="G38" s="552"/>
      <c r="H38" s="552"/>
      <c r="I38" s="188"/>
      <c r="J38" s="188"/>
      <c r="K38" s="188"/>
      <c r="L38" s="188"/>
      <c r="M38" s="188"/>
      <c r="N38" s="188"/>
      <c r="O38" s="190"/>
      <c r="P38" s="921"/>
      <c r="Q38" s="1565" t="s">
        <v>1207</v>
      </c>
      <c r="R38" s="1566"/>
      <c r="S38" s="179"/>
    </row>
    <row r="39" spans="2:20" s="922" customFormat="1" ht="24" customHeight="1" x14ac:dyDescent="0.25">
      <c r="B39" s="178"/>
      <c r="C39" s="244"/>
      <c r="D39" s="8" t="s">
        <v>1351</v>
      </c>
      <c r="E39" s="12">
        <f>IFERROR(E35-E37,0)</f>
        <v>0</v>
      </c>
      <c r="F39" s="926"/>
      <c r="G39" s="540">
        <f>IFERROR(E39/'PIM Model'!$H$31,0)</f>
        <v>0</v>
      </c>
      <c r="H39" s="556">
        <f>'EB_CM (Back)'!$C$26-'EB_CM (Back)'!$C$27</f>
        <v>0.08</v>
      </c>
      <c r="I39" s="549">
        <f>IFERROR($E$39/'PIM Model'!$G$31,0)</f>
        <v>0</v>
      </c>
      <c r="J39" s="188"/>
      <c r="K39" s="997">
        <f>IFERROR(E39/($E$7*Welcome!$D$14*52),0)</f>
        <v>0</v>
      </c>
      <c r="L39" s="188"/>
      <c r="M39" s="997">
        <f>IFERROR(E39/(Welcome!$D$14*52),0)</f>
        <v>0</v>
      </c>
      <c r="N39" s="557" t="str">
        <f>IFERROR(IF($Q$39="Yes","Approve",IF(H39&gt;0,"Reject","Approve")),"Reject")</f>
        <v>Reject</v>
      </c>
      <c r="O39" s="190"/>
      <c r="P39" s="921"/>
      <c r="Q39" s="799"/>
      <c r="R39" s="800"/>
      <c r="S39" s="179"/>
    </row>
    <row r="40" spans="2:20" ht="24.6" customHeight="1" x14ac:dyDescent="0.25">
      <c r="B40" s="178"/>
      <c r="C40" s="246"/>
      <c r="D40" s="558"/>
      <c r="E40" s="559"/>
      <c r="F40" s="559"/>
      <c r="G40" s="202"/>
      <c r="H40" s="559"/>
      <c r="I40" s="232"/>
      <c r="J40" s="232"/>
      <c r="K40" s="232"/>
      <c r="L40" s="232"/>
      <c r="M40" s="232"/>
      <c r="N40" s="232"/>
      <c r="O40" s="205"/>
      <c r="P40"/>
      <c r="Q40" s="794"/>
      <c r="R40" s="791"/>
      <c r="S40" s="179"/>
      <c r="T40" s="5"/>
    </row>
    <row r="41" spans="2:20" ht="41.25" customHeight="1" thickBot="1" x14ac:dyDescent="0.3">
      <c r="B41" s="647"/>
      <c r="C41" s="656"/>
      <c r="D41" s="657"/>
      <c r="E41" s="658"/>
      <c r="F41" s="658"/>
      <c r="G41" s="659"/>
      <c r="H41" s="658"/>
      <c r="I41" s="656"/>
      <c r="J41" s="656"/>
      <c r="K41" s="656"/>
      <c r="L41" s="656"/>
      <c r="M41" s="656"/>
      <c r="N41" s="656"/>
      <c r="O41" s="656"/>
      <c r="P41" s="656"/>
      <c r="Q41" s="659"/>
      <c r="R41" s="656"/>
      <c r="S41" s="648"/>
    </row>
    <row r="42" spans="2:20" ht="40.5" customHeight="1" x14ac:dyDescent="0.25">
      <c r="B42" s="1567"/>
      <c r="C42" s="1567"/>
      <c r="D42" s="1567"/>
      <c r="N42" s="1507"/>
      <c r="O42" s="1507"/>
      <c r="P42" s="1507"/>
      <c r="Q42" s="1507"/>
      <c r="R42" s="1507"/>
      <c r="S42" s="1507"/>
    </row>
    <row r="43" spans="2:20" x14ac:dyDescent="0.25">
      <c r="S43" s="562"/>
    </row>
  </sheetData>
  <sheetProtection algorithmName="SHA-512" hashValue="/LX8HEJNBRDN8SPmL7x3vIEnebcyrEQWBw5VSklcecM4xUPS+BEvCISRDcEg+p/lqLZAZH9dp1Un/rw1GQsWOQ==" saltValue="LB3mSoLBrhAlgLSIPZRLbQ==" spinCount="100000" sheet="1" objects="1" scenarios="1"/>
  <mergeCells count="17">
    <mergeCell ref="H4:J4"/>
    <mergeCell ref="H5:J5"/>
    <mergeCell ref="H6:J6"/>
    <mergeCell ref="H7:J7"/>
    <mergeCell ref="C4:D4"/>
    <mergeCell ref="C5:D5"/>
    <mergeCell ref="C6:D6"/>
    <mergeCell ref="H8:J8"/>
    <mergeCell ref="Q38:R38"/>
    <mergeCell ref="C7:D7"/>
    <mergeCell ref="C8:D8"/>
    <mergeCell ref="B42:D42"/>
    <mergeCell ref="N42:S42"/>
    <mergeCell ref="I33:N33"/>
    <mergeCell ref="D33:G33"/>
    <mergeCell ref="Q21:R21"/>
    <mergeCell ref="Q11:R11"/>
  </mergeCells>
  <conditionalFormatting sqref="I26:M29">
    <cfRule type="containsText" dxfId="230" priority="74" operator="containsText" text="Below Average">
      <formula>NOT(ISERROR(SEARCH("Below Average",I26)))</formula>
    </cfRule>
  </conditionalFormatting>
  <conditionalFormatting sqref="N12">
    <cfRule type="expression" dxfId="229" priority="49">
      <formula>$Q$12="yes"</formula>
    </cfRule>
    <cfRule type="containsText" dxfId="228" priority="65" operator="containsText" text="Spend">
      <formula>NOT(ISERROR(SEARCH("Spend",N12)))</formula>
    </cfRule>
    <cfRule type="containsText" dxfId="227" priority="69" operator="containsText" text="Approve">
      <formula>NOT(ISERROR(SEARCH("Approve",N12)))</formula>
    </cfRule>
  </conditionalFormatting>
  <conditionalFormatting sqref="N13:N16">
    <cfRule type="containsText" dxfId="226" priority="64" operator="containsText" text="Reject">
      <formula>NOT(ISERROR(SEARCH("Reject",N13)))</formula>
    </cfRule>
    <cfRule type="containsText" dxfId="225" priority="68" operator="containsText" text="Approve">
      <formula>NOT(ISERROR(SEARCH("Approve",N13)))</formula>
    </cfRule>
  </conditionalFormatting>
  <conditionalFormatting sqref="E16">
    <cfRule type="cellIs" dxfId="224" priority="61" operator="notEqual">
      <formula>0</formula>
    </cfRule>
  </conditionalFormatting>
  <conditionalFormatting sqref="Q38:R39">
    <cfRule type="expression" dxfId="223" priority="55">
      <formula>H41&lt;0</formula>
    </cfRule>
  </conditionalFormatting>
  <conditionalFormatting sqref="N13">
    <cfRule type="expression" dxfId="222" priority="46">
      <formula>$Q$13="Yes"</formula>
    </cfRule>
  </conditionalFormatting>
  <conditionalFormatting sqref="Q11:R11">
    <cfRule type="expression" dxfId="221" priority="40">
      <formula>OR($N$13="Reject",$N$13="")</formula>
    </cfRule>
    <cfRule type="expression" dxfId="220" priority="43">
      <formula>$N$12="Spend"</formula>
    </cfRule>
  </conditionalFormatting>
  <conditionalFormatting sqref="Q12:R12">
    <cfRule type="expression" dxfId="219" priority="42">
      <formula>$N$12="spend"</formula>
    </cfRule>
  </conditionalFormatting>
  <conditionalFormatting sqref="Q13:R13">
    <cfRule type="expression" dxfId="218" priority="41">
      <formula>OR($N$13="Reject",$N$13="")</formula>
    </cfRule>
  </conditionalFormatting>
  <conditionalFormatting sqref="R23">
    <cfRule type="containsText" dxfId="217" priority="35" operator="containsText" text="Caution">
      <formula>NOT(ISERROR(SEARCH("Caution",R23)))</formula>
    </cfRule>
  </conditionalFormatting>
  <conditionalFormatting sqref="N23">
    <cfRule type="expression" dxfId="216" priority="24" stopIfTrue="1">
      <formula>$Q$23="Yes"</formula>
    </cfRule>
    <cfRule type="containsText" dxfId="215" priority="27" operator="containsText" text="Reject">
      <formula>NOT(ISERROR(SEARCH("Reject",N23)))</formula>
    </cfRule>
    <cfRule type="containsText" dxfId="214" priority="28" operator="containsText" text="Caution">
      <formula>NOT(ISERROR(SEARCH("Caution",N23)))</formula>
    </cfRule>
    <cfRule type="expression" dxfId="213" priority="29">
      <formula>$N$23="Approve"</formula>
    </cfRule>
  </conditionalFormatting>
  <conditionalFormatting sqref="Q21:R22">
    <cfRule type="expression" dxfId="212" priority="10">
      <formula>$U$1=""</formula>
    </cfRule>
    <cfRule type="expression" dxfId="211" priority="11">
      <formula>$U$1="Caution"</formula>
    </cfRule>
    <cfRule type="expression" dxfId="210" priority="12">
      <formula>$U$1="Reject"</formula>
    </cfRule>
    <cfRule type="expression" dxfId="209" priority="13">
      <formula>AND($Q$23&lt;&gt;"Yes",$U$1="Approve")</formula>
    </cfRule>
    <cfRule type="expression" dxfId="208" priority="14">
      <formula>AND($Q$23="Yes",$U$1="Approve")</formula>
    </cfRule>
  </conditionalFormatting>
  <conditionalFormatting sqref="Q23:R23">
    <cfRule type="expression" dxfId="207" priority="5">
      <formula>$U$1=""</formula>
    </cfRule>
    <cfRule type="expression" dxfId="206" priority="6">
      <formula>$U$1="Caution"</formula>
    </cfRule>
    <cfRule type="expression" dxfId="205" priority="7">
      <formula>$U$1="Reject"</formula>
    </cfRule>
    <cfRule type="expression" dxfId="204" priority="8">
      <formula>AND($Q$23&lt;&gt;"Yes",$U$1="Approve")</formula>
    </cfRule>
    <cfRule type="expression" dxfId="203" priority="9">
      <formula>AND($Q$23="Yes",$U$1="Approve")</formula>
    </cfRule>
  </conditionalFormatting>
  <conditionalFormatting sqref="N39">
    <cfRule type="expression" dxfId="202" priority="1">
      <formula>$H$34&gt;0</formula>
    </cfRule>
    <cfRule type="containsText" dxfId="201" priority="2" operator="containsText" text="Reject">
      <formula>NOT(ISERROR(SEARCH("Reject",N39)))</formula>
    </cfRule>
    <cfRule type="expression" dxfId="200" priority="3">
      <formula>$Q$39="Yes"</formula>
    </cfRule>
    <cfRule type="expression" dxfId="199" priority="4">
      <formula>N39="Approve"</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9"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8"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5"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7"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6"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62"/>
  <sheetViews>
    <sheetView showGridLines="0" topLeftCell="B1" zoomScale="80" zoomScaleNormal="80" zoomScaleSheetLayoutView="70" workbookViewId="0">
      <selection activeCell="I14" sqref="I1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884" customWidth="1"/>
    <col min="13" max="13" width="26.42578125" style="884" customWidth="1"/>
    <col min="14" max="14" width="20.42578125" style="884" hidden="1" customWidth="1"/>
    <col min="15" max="15" width="20.42578125" style="942"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9" t="s">
        <v>646</v>
      </c>
      <c r="S1" s="259" t="s">
        <v>647</v>
      </c>
      <c r="T1" s="259" t="s">
        <v>648</v>
      </c>
      <c r="U1" s="134"/>
      <c r="W1" s="393" t="s">
        <v>930</v>
      </c>
    </row>
    <row r="2" spans="3:23" s="5" customFormat="1" ht="22.5" customHeight="1" x14ac:dyDescent="0.25">
      <c r="C2" s="1576" t="s">
        <v>649</v>
      </c>
      <c r="D2" s="1577"/>
      <c r="E2" s="1577"/>
      <c r="F2" s="1577"/>
      <c r="G2" s="1577"/>
      <c r="H2" s="1577"/>
      <c r="I2" s="1577"/>
      <c r="J2" s="1577"/>
      <c r="K2" s="1577"/>
      <c r="L2" s="1577"/>
      <c r="M2" s="1577"/>
      <c r="N2" s="1577"/>
      <c r="O2" s="1577"/>
      <c r="P2" s="1578"/>
      <c r="R2" s="260" t="s">
        <v>650</v>
      </c>
      <c r="S2" s="260" t="s">
        <v>651</v>
      </c>
      <c r="T2" s="260" t="s">
        <v>485</v>
      </c>
      <c r="V2" s="5" t="s">
        <v>931</v>
      </c>
      <c r="W2" s="5">
        <f>IF(Welcome!D14=W3,0,Welcome!D14)</f>
        <v>0</v>
      </c>
    </row>
    <row r="3" spans="3:23" x14ac:dyDescent="0.25">
      <c r="C3" s="607"/>
      <c r="D3" s="261"/>
      <c r="E3" s="261"/>
      <c r="F3" s="261"/>
      <c r="G3" s="261"/>
      <c r="H3" s="261"/>
      <c r="I3" s="261"/>
      <c r="J3" s="261"/>
      <c r="K3" s="261"/>
      <c r="L3" s="261"/>
      <c r="M3" s="261"/>
      <c r="N3" s="261"/>
      <c r="O3" s="261"/>
      <c r="P3" s="608"/>
      <c r="R3" s="1" t="s">
        <v>652</v>
      </c>
      <c r="S3" s="1" t="s">
        <v>653</v>
      </c>
      <c r="T3" s="1" t="s">
        <v>484</v>
      </c>
      <c r="W3" t="s">
        <v>457</v>
      </c>
    </row>
    <row r="4" spans="3:23" x14ac:dyDescent="0.25">
      <c r="C4" s="137"/>
      <c r="E4" s="395" t="s">
        <v>887</v>
      </c>
      <c r="F4" s="1579"/>
      <c r="G4" s="1579"/>
      <c r="P4" s="609"/>
      <c r="T4" s="1" t="s">
        <v>483</v>
      </c>
    </row>
    <row r="5" spans="3:23" x14ac:dyDescent="0.25">
      <c r="C5" s="137"/>
      <c r="E5" s="395"/>
      <c r="P5" s="138"/>
    </row>
    <row r="6" spans="3:23" x14ac:dyDescent="0.25">
      <c r="C6" s="137"/>
      <c r="E6" s="136" t="s">
        <v>1263</v>
      </c>
      <c r="F6" s="1579"/>
      <c r="G6" s="1579"/>
      <c r="P6" s="138"/>
    </row>
    <row r="7" spans="3:23" x14ac:dyDescent="0.25">
      <c r="C7" s="137"/>
      <c r="E7" s="136"/>
      <c r="P7" s="138"/>
    </row>
    <row r="8" spans="3:23" x14ac:dyDescent="0.25">
      <c r="C8" s="137"/>
      <c r="E8" s="136" t="s">
        <v>1264</v>
      </c>
      <c r="F8" s="1579"/>
      <c r="G8" s="1579"/>
      <c r="P8" s="138"/>
    </row>
    <row r="9" spans="3:23" x14ac:dyDescent="0.25">
      <c r="C9" s="137"/>
      <c r="E9" s="136" t="s">
        <v>1265</v>
      </c>
      <c r="F9" s="1579"/>
      <c r="G9" s="1579"/>
      <c r="P9" s="138"/>
    </row>
    <row r="10" spans="3:23" x14ac:dyDescent="0.25">
      <c r="C10" s="137"/>
      <c r="E10" s="136" t="s">
        <v>877</v>
      </c>
      <c r="F10" s="1579"/>
      <c r="G10" s="1579"/>
      <c r="P10" s="138"/>
    </row>
    <row r="11" spans="3:23" x14ac:dyDescent="0.25">
      <c r="C11" s="137"/>
      <c r="E11" s="136" t="s">
        <v>830</v>
      </c>
      <c r="F11" s="1579"/>
      <c r="G11" s="1579"/>
      <c r="P11" s="138"/>
    </row>
    <row r="12" spans="3:23" x14ac:dyDescent="0.25">
      <c r="C12" s="137"/>
      <c r="E12" s="136" t="s">
        <v>1266</v>
      </c>
      <c r="F12" s="1579"/>
      <c r="G12" s="1579"/>
      <c r="P12" s="138"/>
    </row>
    <row r="13" spans="3:23" x14ac:dyDescent="0.25">
      <c r="C13" s="137"/>
      <c r="E13" s="136"/>
      <c r="F13" s="1581"/>
      <c r="G13" s="1581"/>
      <c r="P13" s="138"/>
    </row>
    <row r="14" spans="3:23" x14ac:dyDescent="0.25">
      <c r="C14" s="137"/>
      <c r="E14" s="136" t="s">
        <v>1267</v>
      </c>
      <c r="F14" s="1580"/>
      <c r="G14" s="1580"/>
      <c r="H14" s="622"/>
      <c r="P14" s="138"/>
      <c r="Q14" s="777">
        <f>WEEKDAY(F14,2)</f>
        <v>6</v>
      </c>
    </row>
    <row r="15" spans="3:23" s="884" customFormat="1" ht="13.5" customHeight="1" x14ac:dyDescent="0.25">
      <c r="C15" s="137"/>
      <c r="F15" s="1227" t="s">
        <v>1006</v>
      </c>
      <c r="G15" s="1227" t="str">
        <f>IF(F14="","",TEXT(F14,"dddd"))</f>
        <v/>
      </c>
      <c r="O15" s="942"/>
      <c r="P15" s="138"/>
    </row>
    <row r="16" spans="3:23" s="884" customFormat="1" ht="13.5" customHeight="1" x14ac:dyDescent="0.25">
      <c r="C16" s="137"/>
      <c r="F16" s="906"/>
      <c r="G16" s="906"/>
      <c r="O16" s="942"/>
      <c r="P16" s="138"/>
    </row>
    <row r="17" spans="1:17" s="884" customFormat="1" ht="13.5" customHeight="1" x14ac:dyDescent="0.25">
      <c r="C17" s="137"/>
      <c r="E17" s="136" t="s">
        <v>1268</v>
      </c>
      <c r="F17" s="1582" t="str">
        <f>IF(F14="","",F14+(364*IF(OR(Welcome!D12="Select Term",Welcome!D12=""),0,Welcome!D12))+6)</f>
        <v/>
      </c>
      <c r="G17" s="1582"/>
      <c r="O17" s="942"/>
      <c r="P17" s="138"/>
    </row>
    <row r="18" spans="1:17" ht="13.5" customHeight="1" x14ac:dyDescent="0.25">
      <c r="C18" s="137"/>
      <c r="P18" s="138"/>
    </row>
    <row r="19" spans="1:17" s="775" customFormat="1" ht="14.25" customHeight="1" x14ac:dyDescent="0.25">
      <c r="C19" s="137"/>
      <c r="E19" s="136" t="s">
        <v>1269</v>
      </c>
      <c r="F19" s="1574">
        <f>Welcome!D8</f>
        <v>0</v>
      </c>
      <c r="G19" s="1575"/>
      <c r="K19" s="884"/>
      <c r="L19" s="884"/>
      <c r="M19" s="884"/>
      <c r="N19" s="884"/>
      <c r="O19" s="942"/>
      <c r="P19" s="138"/>
    </row>
    <row r="20" spans="1:17" s="775" customFormat="1" ht="26.45" customHeight="1" x14ac:dyDescent="0.25">
      <c r="C20" s="137"/>
      <c r="K20" s="884"/>
      <c r="L20" s="884"/>
      <c r="M20" s="884"/>
      <c r="N20" s="884"/>
      <c r="O20" s="942"/>
      <c r="P20" s="138"/>
    </row>
    <row r="21" spans="1:17" ht="24.6" customHeight="1" x14ac:dyDescent="0.25">
      <c r="C21" s="137"/>
      <c r="E21" s="394" t="s">
        <v>1123</v>
      </c>
      <c r="P21" s="138"/>
    </row>
    <row r="22" spans="1:17" ht="44.25" customHeight="1" thickBot="1" x14ac:dyDescent="0.3">
      <c r="C22" s="137"/>
      <c r="E22" s="885" t="s">
        <v>1270</v>
      </c>
      <c r="F22" s="396" t="s">
        <v>794</v>
      </c>
      <c r="G22" s="396" t="s">
        <v>795</v>
      </c>
      <c r="H22" s="396" t="s">
        <v>800</v>
      </c>
      <c r="I22" s="396" t="s">
        <v>801</v>
      </c>
      <c r="J22" s="396" t="s">
        <v>204</v>
      </c>
      <c r="K22" s="396" t="s">
        <v>793</v>
      </c>
      <c r="L22" s="396" t="s">
        <v>1271</v>
      </c>
      <c r="M22" s="885" t="s">
        <v>1272</v>
      </c>
      <c r="N22" s="885" t="s">
        <v>1273</v>
      </c>
      <c r="O22" s="885" t="s">
        <v>1390</v>
      </c>
      <c r="P22" s="138"/>
      <c r="Q22" s="660"/>
    </row>
    <row r="23" spans="1:17" x14ac:dyDescent="0.25">
      <c r="A23">
        <v>1</v>
      </c>
      <c r="C23" s="137"/>
      <c r="D23" s="636" t="str">
        <f t="shared" ref="D23:D32" si="0">IF($A23&lt;=$W$2,A23,"")</f>
        <v/>
      </c>
      <c r="E23" s="637">
        <f>'Customer Inputs'!G6</f>
        <v>0</v>
      </c>
      <c r="F23" s="723" t="str">
        <f>IFERROR(IFERROR(VLOOKUP(E23,'Customer Info'!A:B,2,0),VLOOKUP(""&amp;E23,'Customer Info'!A:B,2,0)),"")</f>
        <v/>
      </c>
      <c r="G23" s="724" t="str">
        <f>IFERROR(IFERROR(VLOOKUP(E23,'Customer Info'!A:C,3,0),VLOOKUP(""&amp;E23,'Customer Info'!A:C,3,0)),"")</f>
        <v/>
      </c>
      <c r="H23" s="724" t="str">
        <f>IFERROR(IFERROR(VLOOKUP(E23,'Customer Info'!A:D,4,0),VLOOKUP(""&amp;E23,'Customer Info'!A:D,4,0)),"")</f>
        <v/>
      </c>
      <c r="I23" s="725" t="str">
        <f>IFERROR(IFERROR(VLOOKUP(E23,'Customer Info'!A:E,5,0),VLOOKUP(""&amp;E23,'Customer Info'!A:E,5,0)),"")</f>
        <v/>
      </c>
      <c r="J23" s="725" t="str">
        <f>IFERROR(IFERROR(VLOOKUP(E23,'Customer Info'!A:F,6,0),VLOOKUP(""&amp;E23,'Customer Info'!A:F,6,0)),"")</f>
        <v/>
      </c>
      <c r="K23" s="886" t="str">
        <f>IF($F$14 = "","",$F$14)</f>
        <v/>
      </c>
      <c r="L23" s="886" t="str">
        <f t="shared" ref="L23:L31" si="1">IF($F$17 = "","",$F$17)</f>
        <v/>
      </c>
      <c r="M23" s="725"/>
      <c r="N23" s="725" t="s">
        <v>651</v>
      </c>
      <c r="O23" s="725" t="s">
        <v>651</v>
      </c>
      <c r="P23" s="138"/>
    </row>
    <row r="24" spans="1:17" x14ac:dyDescent="0.25">
      <c r="A24">
        <v>2</v>
      </c>
      <c r="C24" s="137"/>
      <c r="D24" s="636" t="str">
        <f t="shared" si="0"/>
        <v/>
      </c>
      <c r="E24" s="637">
        <f>'Customer Inputs'!G7</f>
        <v>0</v>
      </c>
      <c r="F24" s="723" t="str">
        <f>IFERROR(IFERROR(VLOOKUP(E24,'Customer Info'!A:B,2,0),VLOOKUP(""&amp;E24,'Customer Info'!A:B,2,0)),"")</f>
        <v/>
      </c>
      <c r="G24" s="724" t="str">
        <f>IFERROR(IFERROR(VLOOKUP(E24,'Customer Info'!A:C,3,0),VLOOKUP(""&amp;E24,'Customer Info'!A:C,3,0)),"")</f>
        <v/>
      </c>
      <c r="H24" s="724" t="str">
        <f>IFERROR(IFERROR(VLOOKUP(E24,'Customer Info'!A:D,4,0),VLOOKUP(""&amp;E24,'Customer Info'!A:D,4,0)),"")</f>
        <v/>
      </c>
      <c r="I24" s="725" t="str">
        <f>IFERROR(IFERROR(VLOOKUP(E24,'Customer Info'!A:E,5,0),VLOOKUP(""&amp;E24,'Customer Info'!A:E,5,0)),"")</f>
        <v/>
      </c>
      <c r="J24" s="725" t="str">
        <f>IFERROR(IFERROR(VLOOKUP(E24,'Customer Info'!A:F,6,0),VLOOKUP(""&amp;E24,'Customer Info'!A:F,6,0)),"")</f>
        <v/>
      </c>
      <c r="K24" s="887" t="str">
        <f t="shared" ref="K24:K32" si="2">IF($F$14 = "","",$F$14)</f>
        <v/>
      </c>
      <c r="L24" s="887" t="str">
        <f t="shared" si="1"/>
        <v/>
      </c>
      <c r="M24" s="725"/>
      <c r="N24" s="725" t="s">
        <v>651</v>
      </c>
      <c r="O24" s="983" t="s">
        <v>651</v>
      </c>
      <c r="P24" s="138"/>
    </row>
    <row r="25" spans="1:17" x14ac:dyDescent="0.25">
      <c r="A25">
        <v>3</v>
      </c>
      <c r="C25" s="137"/>
      <c r="D25" s="636" t="str">
        <f t="shared" si="0"/>
        <v/>
      </c>
      <c r="E25" s="637">
        <f>'Customer Inputs'!G8</f>
        <v>0</v>
      </c>
      <c r="F25" s="723" t="str">
        <f>IFERROR(IFERROR(VLOOKUP(E25,'Customer Info'!A:B,2,0),VLOOKUP(""&amp;E25,'Customer Info'!A:B,2,0)),"")</f>
        <v/>
      </c>
      <c r="G25" s="724" t="str">
        <f>IFERROR(IFERROR(VLOOKUP(E25,'Customer Info'!A:C,3,0),VLOOKUP(""&amp;E25,'Customer Info'!A:C,3,0)),"")</f>
        <v/>
      </c>
      <c r="H25" s="724" t="str">
        <f>IFERROR(IFERROR(VLOOKUP(E25,'Customer Info'!A:D,4,0),VLOOKUP(""&amp;E25,'Customer Info'!A:D,4,0)),"")</f>
        <v/>
      </c>
      <c r="I25" s="725" t="str">
        <f>IFERROR(IFERROR(VLOOKUP(E25,'Customer Info'!A:E,5,0),VLOOKUP(""&amp;E25,'Customer Info'!A:E,5,0)),"")</f>
        <v/>
      </c>
      <c r="J25" s="725" t="str">
        <f>IFERROR(IFERROR(VLOOKUP(E25,'Customer Info'!A:F,6,0),VLOOKUP(""&amp;E25,'Customer Info'!A:F,6,0)),"")</f>
        <v/>
      </c>
      <c r="K25" s="887" t="str">
        <f t="shared" si="2"/>
        <v/>
      </c>
      <c r="L25" s="887" t="str">
        <f t="shared" si="1"/>
        <v/>
      </c>
      <c r="M25" s="725"/>
      <c r="N25" s="725" t="s">
        <v>651</v>
      </c>
      <c r="O25" s="983" t="s">
        <v>651</v>
      </c>
      <c r="P25" s="138"/>
    </row>
    <row r="26" spans="1:17" x14ac:dyDescent="0.25">
      <c r="A26">
        <v>4</v>
      </c>
      <c r="C26" s="137"/>
      <c r="D26" s="636" t="str">
        <f t="shared" si="0"/>
        <v/>
      </c>
      <c r="E26" s="637">
        <f>'Customer Inputs'!G9</f>
        <v>0</v>
      </c>
      <c r="F26" s="723" t="str">
        <f>IFERROR(IFERROR(VLOOKUP(E26,'Customer Info'!A:B,2,0),VLOOKUP(""&amp;E26,'Customer Info'!A:B,2,0)),"")</f>
        <v/>
      </c>
      <c r="G26" s="724" t="str">
        <f>IFERROR(IFERROR(VLOOKUP(E26,'Customer Info'!A:C,3,0),VLOOKUP(""&amp;E26,'Customer Info'!A:C,3,0)),"")</f>
        <v/>
      </c>
      <c r="H26" s="724" t="str">
        <f>IFERROR(IFERROR(VLOOKUP(E26,'Customer Info'!A:D,4,0),VLOOKUP(""&amp;E26,'Customer Info'!A:D,4,0)),"")</f>
        <v/>
      </c>
      <c r="I26" s="725" t="str">
        <f>IFERROR(IFERROR(VLOOKUP(E26,'Customer Info'!A:E,5,0),VLOOKUP(""&amp;E26,'Customer Info'!A:E,5,0)),"")</f>
        <v/>
      </c>
      <c r="J26" s="725" t="str">
        <f>IFERROR(IFERROR(VLOOKUP(E26,'Customer Info'!A:F,6,0),VLOOKUP(""&amp;E26,'Customer Info'!A:F,6,0)),"")</f>
        <v/>
      </c>
      <c r="K26" s="887" t="str">
        <f t="shared" si="2"/>
        <v/>
      </c>
      <c r="L26" s="887" t="str">
        <f t="shared" si="1"/>
        <v/>
      </c>
      <c r="M26" s="725"/>
      <c r="N26" s="725" t="s">
        <v>651</v>
      </c>
      <c r="O26" s="983" t="s">
        <v>651</v>
      </c>
      <c r="P26" s="138"/>
    </row>
    <row r="27" spans="1:17" x14ac:dyDescent="0.25">
      <c r="A27">
        <v>5</v>
      </c>
      <c r="C27" s="137"/>
      <c r="D27" s="636" t="str">
        <f t="shared" si="0"/>
        <v/>
      </c>
      <c r="E27" s="637">
        <f>'Customer Inputs'!G10</f>
        <v>0</v>
      </c>
      <c r="F27" s="723" t="str">
        <f>IFERROR(IFERROR(VLOOKUP(E27,'Customer Info'!A:B,2,0),VLOOKUP(""&amp;E27,'Customer Info'!A:B,2,0)),"")</f>
        <v/>
      </c>
      <c r="G27" s="724" t="str">
        <f>IFERROR(IFERROR(VLOOKUP(E27,'Customer Info'!A:C,3,0),VLOOKUP(""&amp;E27,'Customer Info'!A:C,3,0)),"")</f>
        <v/>
      </c>
      <c r="H27" s="724" t="str">
        <f>IFERROR(IFERROR(VLOOKUP(E27,'Customer Info'!A:D,4,0),VLOOKUP(""&amp;E27,'Customer Info'!A:D,4,0)),"")</f>
        <v/>
      </c>
      <c r="I27" s="725" t="str">
        <f>IFERROR(IFERROR(VLOOKUP(E27,'Customer Info'!A:E,5,0),VLOOKUP(""&amp;E27,'Customer Info'!A:E,5,0)),"")</f>
        <v/>
      </c>
      <c r="J27" s="725" t="str">
        <f>IFERROR(IFERROR(VLOOKUP(E27,'Customer Info'!A:F,6,0),VLOOKUP(""&amp;E27,'Customer Info'!A:F,6,0)),"")</f>
        <v/>
      </c>
      <c r="K27" s="887" t="str">
        <f t="shared" si="2"/>
        <v/>
      </c>
      <c r="L27" s="887" t="str">
        <f t="shared" si="1"/>
        <v/>
      </c>
      <c r="M27" s="725"/>
      <c r="N27" s="725" t="s">
        <v>651</v>
      </c>
      <c r="O27" s="983" t="s">
        <v>651</v>
      </c>
      <c r="P27" s="138"/>
    </row>
    <row r="28" spans="1:17" x14ac:dyDescent="0.25">
      <c r="A28">
        <v>6</v>
      </c>
      <c r="C28" s="137"/>
      <c r="D28" s="636" t="str">
        <f t="shared" si="0"/>
        <v/>
      </c>
      <c r="E28" s="637">
        <f>'Customer Inputs'!G11</f>
        <v>0</v>
      </c>
      <c r="F28" s="723" t="str">
        <f>IFERROR(IFERROR(VLOOKUP(E28,'Customer Info'!A:B,2,0),VLOOKUP(""&amp;E28,'Customer Info'!A:B,2,0)),"")</f>
        <v/>
      </c>
      <c r="G28" s="724" t="str">
        <f>IFERROR(IFERROR(VLOOKUP(E28,'Customer Info'!A:C,3,0),VLOOKUP(""&amp;E28,'Customer Info'!A:C,3,0)),"")</f>
        <v/>
      </c>
      <c r="H28" s="724" t="str">
        <f>IFERROR(IFERROR(VLOOKUP(E28,'Customer Info'!A:D,4,0),VLOOKUP(""&amp;E28,'Customer Info'!A:D,4,0)),"")</f>
        <v/>
      </c>
      <c r="I28" s="725" t="str">
        <f>IFERROR(IFERROR(VLOOKUP(E28,'Customer Info'!A:E,5,0),VLOOKUP(""&amp;E28,'Customer Info'!A:E,5,0)),"")</f>
        <v/>
      </c>
      <c r="J28" s="725" t="str">
        <f>IFERROR(IFERROR(VLOOKUP(E28,'Customer Info'!A:F,6,0),VLOOKUP(""&amp;E28,'Customer Info'!A:F,6,0)),"")</f>
        <v/>
      </c>
      <c r="K28" s="887" t="str">
        <f t="shared" si="2"/>
        <v/>
      </c>
      <c r="L28" s="887" t="str">
        <f t="shared" si="1"/>
        <v/>
      </c>
      <c r="M28" s="725"/>
      <c r="N28" s="725" t="s">
        <v>651</v>
      </c>
      <c r="O28" s="983" t="s">
        <v>651</v>
      </c>
      <c r="P28" s="138"/>
    </row>
    <row r="29" spans="1:17" x14ac:dyDescent="0.25">
      <c r="A29">
        <v>7</v>
      </c>
      <c r="C29" s="137"/>
      <c r="D29" s="636" t="str">
        <f t="shared" si="0"/>
        <v/>
      </c>
      <c r="E29" s="637">
        <f>'Customer Inputs'!G12</f>
        <v>0</v>
      </c>
      <c r="F29" s="723" t="str">
        <f>IFERROR(IFERROR(VLOOKUP(E29,'Customer Info'!A:B,2,0),VLOOKUP(""&amp;E29,'Customer Info'!A:B,2,0)),"")</f>
        <v/>
      </c>
      <c r="G29" s="724" t="str">
        <f>IFERROR(IFERROR(VLOOKUP(E29,'Customer Info'!A:C,3,0),VLOOKUP(""&amp;E29,'Customer Info'!A:C,3,0)),"")</f>
        <v/>
      </c>
      <c r="H29" s="724" t="str">
        <f>IFERROR(IFERROR(VLOOKUP(E29,'Customer Info'!A:D,4,0),VLOOKUP(""&amp;E29,'Customer Info'!A:D,4,0)),"")</f>
        <v/>
      </c>
      <c r="I29" s="725" t="str">
        <f>IFERROR(IFERROR(VLOOKUP(E29,'Customer Info'!A:E,5,0),VLOOKUP(""&amp;E29,'Customer Info'!A:E,5,0)),"")</f>
        <v/>
      </c>
      <c r="J29" s="725" t="str">
        <f>IFERROR(IFERROR(VLOOKUP(E29,'Customer Info'!A:F,6,0),VLOOKUP(""&amp;E29,'Customer Info'!A:F,6,0)),"")</f>
        <v/>
      </c>
      <c r="K29" s="887" t="str">
        <f t="shared" si="2"/>
        <v/>
      </c>
      <c r="L29" s="887" t="str">
        <f t="shared" si="1"/>
        <v/>
      </c>
      <c r="M29" s="725"/>
      <c r="N29" s="725" t="s">
        <v>651</v>
      </c>
      <c r="O29" s="983" t="s">
        <v>651</v>
      </c>
      <c r="P29" s="138"/>
    </row>
    <row r="30" spans="1:17" x14ac:dyDescent="0.25">
      <c r="A30">
        <v>8</v>
      </c>
      <c r="C30" s="137"/>
      <c r="D30" s="636" t="str">
        <f t="shared" si="0"/>
        <v/>
      </c>
      <c r="E30" s="637">
        <f>'Customer Inputs'!G13</f>
        <v>0</v>
      </c>
      <c r="F30" s="723" t="str">
        <f>IFERROR(IFERROR(VLOOKUP(E30,'Customer Info'!A:B,2,0),VLOOKUP(""&amp;E30,'Customer Info'!A:B,2,0)),"")</f>
        <v/>
      </c>
      <c r="G30" s="724" t="str">
        <f>IFERROR(IFERROR(VLOOKUP(E30,'Customer Info'!A:C,3,0),VLOOKUP(""&amp;E30,'Customer Info'!A:C,3,0)),"")</f>
        <v/>
      </c>
      <c r="H30" s="724" t="str">
        <f>IFERROR(IFERROR(VLOOKUP(E30,'Customer Info'!A:D,4,0),VLOOKUP(""&amp;E30,'Customer Info'!A:D,4,0)),"")</f>
        <v/>
      </c>
      <c r="I30" s="725" t="str">
        <f>IFERROR(IFERROR(VLOOKUP(E30,'Customer Info'!A:E,5,0),VLOOKUP(""&amp;E30,'Customer Info'!A:E,5,0)),"")</f>
        <v/>
      </c>
      <c r="J30" s="725" t="str">
        <f>IFERROR(IFERROR(VLOOKUP(E30,'Customer Info'!A:F,6,0),VLOOKUP(""&amp;E30,'Customer Info'!A:F,6,0)),"")</f>
        <v/>
      </c>
      <c r="K30" s="887" t="str">
        <f t="shared" si="2"/>
        <v/>
      </c>
      <c r="L30" s="887" t="str">
        <f t="shared" si="1"/>
        <v/>
      </c>
      <c r="M30" s="725"/>
      <c r="N30" s="725" t="s">
        <v>651</v>
      </c>
      <c r="O30" s="983" t="s">
        <v>651</v>
      </c>
      <c r="P30" s="138"/>
    </row>
    <row r="31" spans="1:17" x14ac:dyDescent="0.25">
      <c r="A31">
        <v>9</v>
      </c>
      <c r="C31" s="137"/>
      <c r="D31" s="636" t="str">
        <f t="shared" si="0"/>
        <v/>
      </c>
      <c r="E31" s="637">
        <f>'Customer Inputs'!G14</f>
        <v>0</v>
      </c>
      <c r="F31" s="723" t="str">
        <f>IFERROR(IFERROR(VLOOKUP(E31,'Customer Info'!A:B,2,0),VLOOKUP(""&amp;E31,'Customer Info'!A:B,2,0)),"")</f>
        <v/>
      </c>
      <c r="G31" s="724" t="str">
        <f>IFERROR(IFERROR(VLOOKUP(E31,'Customer Info'!A:C,3,0),VLOOKUP(""&amp;E31,'Customer Info'!A:C,3,0)),"")</f>
        <v/>
      </c>
      <c r="H31" s="724" t="str">
        <f>IFERROR(IFERROR(VLOOKUP(E31,'Customer Info'!A:D,4,0),VLOOKUP(""&amp;E31,'Customer Info'!A:D,4,0)),"")</f>
        <v/>
      </c>
      <c r="I31" s="725" t="str">
        <f>IFERROR(IFERROR(VLOOKUP(E31,'Customer Info'!A:E,5,0),VLOOKUP(""&amp;E31,'Customer Info'!A:E,5,0)),"")</f>
        <v/>
      </c>
      <c r="J31" s="725" t="str">
        <f>IFERROR(IFERROR(VLOOKUP(E31,'Customer Info'!A:F,6,0),VLOOKUP(""&amp;E31,'Customer Info'!A:F,6,0)),"")</f>
        <v/>
      </c>
      <c r="K31" s="887" t="str">
        <f t="shared" si="2"/>
        <v/>
      </c>
      <c r="L31" s="887" t="str">
        <f t="shared" si="1"/>
        <v/>
      </c>
      <c r="M31" s="725"/>
      <c r="N31" s="725" t="s">
        <v>651</v>
      </c>
      <c r="O31" s="983" t="s">
        <v>651</v>
      </c>
      <c r="P31" s="138"/>
    </row>
    <row r="32" spans="1:17" x14ac:dyDescent="0.25">
      <c r="A32">
        <v>10</v>
      </c>
      <c r="C32" s="137"/>
      <c r="D32" s="636" t="str">
        <f t="shared" si="0"/>
        <v/>
      </c>
      <c r="E32" s="637">
        <f>'Customer Inputs'!G15</f>
        <v>0</v>
      </c>
      <c r="F32" s="723" t="str">
        <f>IFERROR(IFERROR(VLOOKUP(E32,'Customer Info'!A:B,2,0),VLOOKUP(""&amp;E32,'Customer Info'!A:B,2,0)),"")</f>
        <v/>
      </c>
      <c r="G32" s="724" t="str">
        <f>IFERROR(IFERROR(VLOOKUP(E32,'Customer Info'!A:C,3,0),VLOOKUP(""&amp;E32,'Customer Info'!A:C,3,0)),"")</f>
        <v/>
      </c>
      <c r="H32" s="724" t="str">
        <f>IFERROR(IFERROR(VLOOKUP(E32,'Customer Info'!A:D,4,0),VLOOKUP(""&amp;E32,'Customer Info'!A:D,4,0)),"")</f>
        <v/>
      </c>
      <c r="I32" s="725" t="str">
        <f>IFERROR(IFERROR(VLOOKUP(E32,'Customer Info'!A:E,5,0),VLOOKUP(""&amp;E32,'Customer Info'!A:E,5,0)),"")</f>
        <v/>
      </c>
      <c r="J32" s="725" t="str">
        <f>IFERROR(IFERROR(VLOOKUP(E32,'Customer Info'!A:F,6,0),VLOOKUP(""&amp;E32,'Customer Info'!A:F,6,0)),"")</f>
        <v/>
      </c>
      <c r="K32" s="887" t="str">
        <f t="shared" si="2"/>
        <v/>
      </c>
      <c r="L32" s="887" t="str">
        <f>IF($F$17 = "","",$F$17)</f>
        <v/>
      </c>
      <c r="M32" s="725"/>
      <c r="N32" s="725" t="s">
        <v>651</v>
      </c>
      <c r="O32" s="983" t="s">
        <v>651</v>
      </c>
      <c r="P32" s="138"/>
    </row>
    <row r="33" spans="3:16" ht="15.75" thickBot="1" x14ac:dyDescent="0.3">
      <c r="C33" s="256"/>
      <c r="D33" s="661"/>
      <c r="E33" s="662"/>
      <c r="F33" s="663"/>
      <c r="G33" s="664"/>
      <c r="H33" s="664"/>
      <c r="I33" s="664"/>
      <c r="J33" s="664"/>
      <c r="K33" s="664"/>
      <c r="L33" s="664"/>
      <c r="M33" s="664"/>
      <c r="N33" s="664"/>
      <c r="O33" s="664"/>
      <c r="P33" s="618"/>
    </row>
    <row r="35" spans="3:16" ht="19.899999999999999" customHeight="1" x14ac:dyDescent="0.25"/>
    <row r="37" spans="3:16" hidden="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571" t="s">
        <v>1565</v>
      </c>
      <c r="G44" s="1572"/>
      <c r="H44" s="1573"/>
    </row>
    <row r="45" spans="3:16" hidden="1" x14ac:dyDescent="0.25">
      <c r="F45" s="1092" t="s">
        <v>1511</v>
      </c>
      <c r="G45" s="1093" t="s">
        <v>1566</v>
      </c>
      <c r="H45" s="1094" t="s">
        <v>1567</v>
      </c>
    </row>
    <row r="46" spans="3:16" ht="15.75" hidden="1" thickBot="1" x14ac:dyDescent="0.3">
      <c r="F46" s="1095"/>
      <c r="G46" s="1096"/>
      <c r="H46" s="1097"/>
    </row>
    <row r="47" spans="3:16" hidden="1" x14ac:dyDescent="0.25"/>
    <row r="48" spans="3:16" hidden="1" x14ac:dyDescent="0.25"/>
    <row r="49" hidden="1" x14ac:dyDescent="0.25"/>
    <row r="50" hidden="1" x14ac:dyDescent="0.25"/>
    <row r="51" hidden="1" x14ac:dyDescent="0.25"/>
    <row r="52" hidden="1" x14ac:dyDescent="0.25"/>
    <row r="53" hidden="1" x14ac:dyDescent="0.25"/>
    <row r="54" hidden="1" x14ac:dyDescent="0.25"/>
    <row r="55" hidden="1" x14ac:dyDescent="0.25"/>
    <row r="57" hidden="1" x14ac:dyDescent="0.25"/>
    <row r="58" hidden="1" x14ac:dyDescent="0.25"/>
    <row r="59" hidden="1" x14ac:dyDescent="0.25"/>
    <row r="60" hidden="1" x14ac:dyDescent="0.25"/>
    <row r="61" hidden="1" x14ac:dyDescent="0.25"/>
    <row r="62" hidden="1" x14ac:dyDescent="0.25"/>
  </sheetData>
  <sheetProtection algorithmName="SHA-512" hashValue="M3AcADoKCOBQEUTRO6qtAwNZYV7aJy3CDik/062O3aLXBUPuPYZYhk44uuddsKdwEO1kwf4ZPu/IjFBwaaOMxw==" saltValue="OAH23oYCOHYYD5XnwU/JYg=="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193" priority="13">
      <formula>$A23&gt;$W$2</formula>
    </cfRule>
  </conditionalFormatting>
  <conditionalFormatting sqref="E23:O32">
    <cfRule type="expression" dxfId="192" priority="9">
      <formula>$D23=$W$2</formula>
    </cfRule>
  </conditionalFormatting>
  <conditionalFormatting sqref="E21:O21 F22:L22">
    <cfRule type="expression" dxfId="191" priority="10">
      <formula>$W$2=0</formula>
    </cfRule>
  </conditionalFormatting>
  <conditionalFormatting sqref="F14:G14">
    <cfRule type="expression" dxfId="190" priority="6">
      <formula>$F$14&lt;NOW()</formula>
    </cfRule>
    <cfRule type="expression" dxfId="189" priority="7">
      <formula>$Q$14&lt;&gt;7</formula>
    </cfRule>
  </conditionalFormatting>
  <conditionalFormatting sqref="E22">
    <cfRule type="expression" dxfId="188" priority="5">
      <formula>$W$2=0</formula>
    </cfRule>
  </conditionalFormatting>
  <conditionalFormatting sqref="M22">
    <cfRule type="expression" dxfId="187" priority="4">
      <formula>$W$2=0</formula>
    </cfRule>
  </conditionalFormatting>
  <conditionalFormatting sqref="N22:O22">
    <cfRule type="expression" dxfId="186" priority="3">
      <formula>$W$2=0</formula>
    </cfRule>
  </conditionalFormatting>
  <conditionalFormatting sqref="M23:M32">
    <cfRule type="expression" dxfId="185" priority="2">
      <formula>$A23&gt;$W$2</formula>
    </cfRule>
  </conditionalFormatting>
  <conditionalFormatting sqref="M23:M32">
    <cfRule type="expression" dxfId="184" priority="1">
      <formula>$D23=$W$2</formula>
    </cfRule>
  </conditionalFormatting>
  <conditionalFormatting sqref="F23:J32 M23:O32">
    <cfRule type="containsBlanks" dxfId="183" priority="14" stopIfTrue="1">
      <formula>LEN(TRIM(F23))=0</formula>
    </cfRule>
    <cfRule type="notContainsBlanks" dxfId="182" priority="15">
      <formula>LEN(TRIM(F23))&gt;0</formula>
    </cfRule>
  </conditionalFormatting>
  <dataValidations count="4">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D18" sqref="D18"/>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653"/>
      <c r="B1" s="653"/>
      <c r="C1" s="653"/>
      <c r="D1" s="653"/>
      <c r="E1" s="653"/>
      <c r="F1" s="653"/>
      <c r="G1" s="653"/>
      <c r="H1" s="653"/>
      <c r="I1" s="653"/>
      <c r="J1" s="906"/>
      <c r="K1" s="906"/>
      <c r="L1" s="906"/>
      <c r="M1" s="906"/>
      <c r="N1" s="906"/>
      <c r="O1" s="906"/>
      <c r="P1" s="906"/>
      <c r="Q1" s="906"/>
      <c r="R1" s="906"/>
      <c r="S1" s="898"/>
    </row>
    <row r="2" spans="1:19" ht="15.75" thickBot="1" x14ac:dyDescent="0.3">
      <c r="A2" s="906"/>
      <c r="B2" s="1584" t="s">
        <v>1289</v>
      </c>
      <c r="C2" s="1587"/>
      <c r="D2" s="1587"/>
      <c r="E2" s="1587"/>
      <c r="F2" s="1587"/>
      <c r="G2" s="1587"/>
      <c r="H2" s="1587"/>
      <c r="I2" s="1587"/>
      <c r="J2" s="1588"/>
      <c r="K2" s="906"/>
      <c r="L2" s="906"/>
      <c r="M2" s="1583" t="s">
        <v>1290</v>
      </c>
      <c r="N2" s="1583"/>
      <c r="O2" s="1583"/>
      <c r="P2" s="906"/>
      <c r="Q2" s="906"/>
      <c r="R2" s="906"/>
      <c r="S2" s="898"/>
    </row>
    <row r="3" spans="1:19" ht="15.75" thickBot="1" x14ac:dyDescent="0.3">
      <c r="A3" s="906"/>
      <c r="B3" s="1312"/>
      <c r="C3" s="1313"/>
      <c r="D3" s="1313"/>
      <c r="E3" s="1313"/>
      <c r="F3" s="1313"/>
      <c r="G3" s="1313"/>
      <c r="H3" s="1313"/>
      <c r="I3" s="1314"/>
      <c r="J3" s="1315"/>
      <c r="K3" s="906"/>
      <c r="L3" s="906"/>
      <c r="M3" s="907" t="s">
        <v>1291</v>
      </c>
      <c r="N3" s="907">
        <v>500</v>
      </c>
      <c r="O3" s="907">
        <v>25</v>
      </c>
      <c r="P3" s="906"/>
      <c r="Q3" s="906" t="s">
        <v>1291</v>
      </c>
      <c r="R3" s="906"/>
      <c r="S3" s="898"/>
    </row>
    <row r="4" spans="1:19" ht="25.5" x14ac:dyDescent="0.25">
      <c r="A4" s="906"/>
      <c r="B4" s="1356" t="s">
        <v>376</v>
      </c>
      <c r="C4" s="1357" t="s">
        <v>1292</v>
      </c>
      <c r="D4" s="1357" t="s">
        <v>1293</v>
      </c>
      <c r="E4" s="1357" t="s">
        <v>1294</v>
      </c>
      <c r="F4" s="1357" t="s">
        <v>1295</v>
      </c>
      <c r="G4" s="1358" t="s">
        <v>1296</v>
      </c>
      <c r="H4" s="1358" t="s">
        <v>1297</v>
      </c>
      <c r="I4" s="1359" t="s">
        <v>1298</v>
      </c>
      <c r="J4" s="1360" t="s">
        <v>1827</v>
      </c>
      <c r="K4" s="906"/>
      <c r="L4" s="906"/>
      <c r="M4" s="907" t="s">
        <v>1299</v>
      </c>
      <c r="N4" s="907">
        <v>500</v>
      </c>
      <c r="O4" s="907">
        <v>35</v>
      </c>
      <c r="P4" s="906"/>
      <c r="Q4" s="906" t="s">
        <v>1299</v>
      </c>
      <c r="R4" s="906"/>
      <c r="S4" s="898"/>
    </row>
    <row r="5" spans="1:19" ht="15.75" thickBot="1" x14ac:dyDescent="0.3">
      <c r="A5" s="906"/>
      <c r="B5" s="908">
        <f>'Existing Customers'!$AB$2</f>
        <v>0</v>
      </c>
      <c r="C5" s="900" t="s">
        <v>651</v>
      </c>
      <c r="D5" s="900" t="s">
        <v>1300</v>
      </c>
      <c r="E5" s="900" t="s">
        <v>653</v>
      </c>
      <c r="F5" s="900" t="s">
        <v>651</v>
      </c>
      <c r="G5" s="909" t="str">
        <f>IFERROR('PIM Model'!H31/('PIM Model'!E6*52*Welcome!D14),"")</f>
        <v/>
      </c>
      <c r="H5" s="909" t="str">
        <f>IFERROR('PIM Model'!G31/('PIM Model'!E6*52*Welcome!D14),"")</f>
        <v/>
      </c>
      <c r="I5" s="909" t="str">
        <f>IFERROR('PIM Model'!G31/'PIM Model'!H31,"")</f>
        <v/>
      </c>
      <c r="J5" s="949" t="s">
        <v>1828</v>
      </c>
      <c r="K5" s="906"/>
      <c r="L5" s="906"/>
      <c r="M5" s="907" t="s">
        <v>1301</v>
      </c>
      <c r="N5" s="907">
        <v>500</v>
      </c>
      <c r="O5" s="907">
        <v>50</v>
      </c>
      <c r="P5" s="906"/>
      <c r="Q5" s="906" t="s">
        <v>1301</v>
      </c>
      <c r="R5" s="906"/>
      <c r="S5" s="898"/>
    </row>
    <row r="6" spans="1:19" ht="15.75" thickBot="1" x14ac:dyDescent="0.3">
      <c r="A6" s="906"/>
      <c r="B6" s="653"/>
      <c r="C6" s="653"/>
      <c r="D6" s="653"/>
      <c r="E6" s="653"/>
      <c r="F6" s="653"/>
      <c r="G6" s="653"/>
      <c r="H6" s="653"/>
      <c r="I6" s="653"/>
      <c r="J6" s="906"/>
      <c r="K6" s="906"/>
      <c r="L6" s="906"/>
      <c r="M6" s="907"/>
      <c r="N6" s="907"/>
      <c r="O6" s="907"/>
      <c r="P6" s="906"/>
      <c r="Q6" s="906" t="s">
        <v>1302</v>
      </c>
      <c r="R6" s="906"/>
      <c r="S6" s="898"/>
    </row>
    <row r="7" spans="1:19" ht="15.75" thickBot="1" x14ac:dyDescent="0.3">
      <c r="A7" s="906"/>
      <c r="B7" s="1584" t="s">
        <v>1303</v>
      </c>
      <c r="C7" s="1585"/>
      <c r="D7" s="1585"/>
      <c r="E7" s="1585"/>
      <c r="F7" s="1585"/>
      <c r="G7" s="1585"/>
      <c r="H7" s="1585"/>
      <c r="I7" s="1586"/>
      <c r="J7" s="906"/>
      <c r="K7" s="906"/>
      <c r="L7" s="906"/>
      <c r="M7" s="907" t="s">
        <v>1302</v>
      </c>
      <c r="N7" s="907">
        <v>600</v>
      </c>
      <c r="O7" s="907">
        <v>35</v>
      </c>
      <c r="P7" s="906"/>
      <c r="Q7" s="906" t="s">
        <v>1304</v>
      </c>
      <c r="R7" s="906"/>
      <c r="S7" s="898"/>
    </row>
    <row r="8" spans="1:19" x14ac:dyDescent="0.25">
      <c r="A8" s="906"/>
      <c r="B8" s="985"/>
      <c r="C8" s="986"/>
      <c r="D8" s="986"/>
      <c r="E8" s="986"/>
      <c r="F8" s="986"/>
      <c r="G8" s="986"/>
      <c r="H8" s="986"/>
      <c r="I8" s="987"/>
      <c r="J8" s="906"/>
      <c r="K8" s="906"/>
      <c r="L8" s="906"/>
      <c r="M8" s="907" t="s">
        <v>1304</v>
      </c>
      <c r="N8" s="907">
        <v>600</v>
      </c>
      <c r="O8" s="907">
        <v>50</v>
      </c>
      <c r="P8" s="906"/>
      <c r="Q8" s="906" t="s">
        <v>1305</v>
      </c>
      <c r="R8" s="906"/>
      <c r="S8" s="898"/>
    </row>
    <row r="9" spans="1:19" ht="65.25" customHeight="1" x14ac:dyDescent="0.25">
      <c r="A9" s="906"/>
      <c r="B9" s="1361" t="s">
        <v>1306</v>
      </c>
      <c r="C9" s="1362" t="s">
        <v>1307</v>
      </c>
      <c r="D9" s="1362" t="s">
        <v>1308</v>
      </c>
      <c r="E9" s="1362" t="s">
        <v>1309</v>
      </c>
      <c r="F9" s="1362" t="s">
        <v>1310</v>
      </c>
      <c r="G9" s="1362" t="s">
        <v>1311</v>
      </c>
      <c r="H9" s="1362" t="s">
        <v>1312</v>
      </c>
      <c r="I9" s="1363" t="s">
        <v>1313</v>
      </c>
      <c r="J9" s="906"/>
      <c r="K9" s="906"/>
      <c r="L9" s="906"/>
      <c r="M9" s="907" t="s">
        <v>1305</v>
      </c>
      <c r="N9" s="907">
        <v>750</v>
      </c>
      <c r="O9" s="907">
        <v>35</v>
      </c>
      <c r="P9" s="906"/>
      <c r="Q9" s="906" t="s">
        <v>1305</v>
      </c>
      <c r="R9" s="906"/>
      <c r="S9" s="898"/>
    </row>
    <row r="10" spans="1:19" x14ac:dyDescent="0.25">
      <c r="A10" s="906"/>
      <c r="B10" s="912">
        <v>85</v>
      </c>
      <c r="C10" s="913">
        <v>500</v>
      </c>
      <c r="D10" s="914" t="s">
        <v>1299</v>
      </c>
      <c r="E10" s="910">
        <f>VLOOKUP($D$10,$M$3:$O$17,2,FALSE)</f>
        <v>500</v>
      </c>
      <c r="F10" s="910">
        <f>VLOOKUP($D$10,$M$3:$O$17,3,FALSE)</f>
        <v>35</v>
      </c>
      <c r="G10" s="914"/>
      <c r="H10" s="914" t="s">
        <v>651</v>
      </c>
      <c r="I10" s="915" t="s">
        <v>1314</v>
      </c>
      <c r="J10" s="906"/>
      <c r="K10" s="906"/>
      <c r="L10" s="906"/>
      <c r="M10" s="907" t="s">
        <v>1315</v>
      </c>
      <c r="N10" s="907">
        <v>750</v>
      </c>
      <c r="O10" s="907">
        <v>50</v>
      </c>
      <c r="P10" s="906"/>
      <c r="Q10" s="906" t="s">
        <v>1316</v>
      </c>
      <c r="R10" s="906"/>
      <c r="S10" s="898"/>
    </row>
    <row r="11" spans="1:19" x14ac:dyDescent="0.25">
      <c r="A11" s="906"/>
      <c r="B11" s="988"/>
      <c r="C11" s="944"/>
      <c r="D11" s="944"/>
      <c r="E11" s="989"/>
      <c r="F11" s="989"/>
      <c r="G11" s="944"/>
      <c r="H11" s="989"/>
      <c r="I11" s="984"/>
      <c r="J11" s="906"/>
      <c r="K11" s="906"/>
      <c r="L11" s="906"/>
      <c r="M11" s="907"/>
      <c r="N11" s="907"/>
      <c r="O11" s="907"/>
      <c r="P11" s="906"/>
      <c r="Q11" s="906" t="s">
        <v>1317</v>
      </c>
      <c r="R11" s="906"/>
      <c r="S11" s="898"/>
    </row>
    <row r="12" spans="1:19" ht="48.75" customHeight="1" x14ac:dyDescent="0.25">
      <c r="A12" s="906"/>
      <c r="B12" s="1361" t="s">
        <v>1318</v>
      </c>
      <c r="C12" s="1362" t="s">
        <v>1319</v>
      </c>
      <c r="D12" s="1362" t="s">
        <v>1320</v>
      </c>
      <c r="E12" s="1362" t="s">
        <v>1321</v>
      </c>
      <c r="F12" s="1362" t="s">
        <v>1322</v>
      </c>
      <c r="G12" s="1362" t="s">
        <v>1323</v>
      </c>
      <c r="H12" s="1362" t="s">
        <v>1324</v>
      </c>
      <c r="I12" s="1363" t="s">
        <v>1325</v>
      </c>
      <c r="J12" s="906"/>
      <c r="K12" s="906"/>
      <c r="L12" s="906"/>
      <c r="M12" s="907" t="s">
        <v>1316</v>
      </c>
      <c r="N12" s="907">
        <v>1000</v>
      </c>
      <c r="O12" s="907">
        <v>35</v>
      </c>
      <c r="P12" s="906"/>
      <c r="Q12" s="906" t="s">
        <v>1326</v>
      </c>
      <c r="R12" s="906"/>
      <c r="S12" s="898"/>
    </row>
    <row r="13" spans="1:19" ht="51" customHeight="1" thickBot="1" x14ac:dyDescent="0.3">
      <c r="A13" s="906"/>
      <c r="B13" s="908" t="s">
        <v>651</v>
      </c>
      <c r="C13" s="901">
        <v>30</v>
      </c>
      <c r="D13" s="900" t="s">
        <v>482</v>
      </c>
      <c r="E13" s="911" t="s">
        <v>651</v>
      </c>
      <c r="F13" s="901">
        <v>2.25</v>
      </c>
      <c r="G13" s="901">
        <v>30</v>
      </c>
      <c r="H13" s="900" t="s">
        <v>482</v>
      </c>
      <c r="I13" s="916" t="s">
        <v>1327</v>
      </c>
      <c r="J13" s="906"/>
      <c r="K13" s="906"/>
      <c r="L13" s="906"/>
      <c r="M13" s="907" t="s">
        <v>1317</v>
      </c>
      <c r="N13" s="907">
        <v>1000</v>
      </c>
      <c r="O13" s="907">
        <v>50</v>
      </c>
      <c r="P13" s="906"/>
      <c r="Q13" s="906" t="s">
        <v>1328</v>
      </c>
      <c r="R13" s="906"/>
      <c r="S13" s="898"/>
    </row>
    <row r="14" spans="1:19" ht="15.75" thickBot="1" x14ac:dyDescent="0.3">
      <c r="A14" s="906"/>
      <c r="B14" s="653"/>
      <c r="C14" s="653"/>
      <c r="D14" s="653"/>
      <c r="E14" s="653"/>
      <c r="F14" s="653"/>
      <c r="G14" s="653"/>
      <c r="H14" s="653"/>
      <c r="I14" s="653"/>
      <c r="J14" s="906"/>
      <c r="K14" s="906"/>
      <c r="L14" s="906"/>
      <c r="M14" s="907"/>
      <c r="N14" s="907"/>
      <c r="O14" s="907"/>
      <c r="P14" s="906"/>
      <c r="Q14" s="906" t="s">
        <v>1329</v>
      </c>
      <c r="R14" s="906"/>
      <c r="S14" s="898"/>
    </row>
    <row r="15" spans="1:19" ht="15.75" thickBot="1" x14ac:dyDescent="0.3">
      <c r="A15" s="906"/>
      <c r="B15" s="1589" t="s">
        <v>1330</v>
      </c>
      <c r="C15" s="1590"/>
      <c r="D15" s="1590"/>
      <c r="E15" s="1590"/>
      <c r="F15" s="1590"/>
      <c r="G15" s="1590"/>
      <c r="H15" s="1590"/>
      <c r="I15" s="1591"/>
      <c r="J15" s="906"/>
      <c r="K15" s="906"/>
      <c r="L15" s="906"/>
      <c r="M15" s="907" t="s">
        <v>1331</v>
      </c>
      <c r="N15" s="907">
        <v>1500</v>
      </c>
      <c r="O15" s="907">
        <v>35</v>
      </c>
      <c r="P15" s="906"/>
      <c r="Q15" s="906"/>
      <c r="R15" s="906"/>
      <c r="S15" s="898"/>
    </row>
    <row r="16" spans="1:19" ht="15.75" thickBot="1" x14ac:dyDescent="0.3">
      <c r="A16" s="906"/>
      <c r="B16" s="1312"/>
      <c r="C16" s="1313"/>
      <c r="D16" s="1313"/>
      <c r="E16" s="1313"/>
      <c r="F16" s="1313"/>
      <c r="G16" s="1313"/>
      <c r="H16" s="1316"/>
      <c r="I16" s="1317"/>
      <c r="J16" s="906"/>
      <c r="K16" s="906"/>
      <c r="L16" s="906"/>
      <c r="M16" s="907" t="s">
        <v>1328</v>
      </c>
      <c r="N16" s="907">
        <v>1500</v>
      </c>
      <c r="O16" s="907">
        <v>50</v>
      </c>
      <c r="P16" s="906"/>
      <c r="Q16" s="906"/>
      <c r="R16" s="906"/>
      <c r="S16" s="898"/>
    </row>
    <row r="17" spans="1:19" ht="51" customHeight="1" x14ac:dyDescent="0.25">
      <c r="A17" s="906"/>
      <c r="B17" s="1364" t="s">
        <v>1335</v>
      </c>
      <c r="C17" s="1365" t="s">
        <v>1332</v>
      </c>
      <c r="D17" s="1365" t="s">
        <v>1333</v>
      </c>
      <c r="E17" s="1365" t="s">
        <v>1336</v>
      </c>
      <c r="F17" s="1366" t="s">
        <v>1334</v>
      </c>
      <c r="G17" s="1359" t="s">
        <v>1337</v>
      </c>
      <c r="H17" s="1367" t="s">
        <v>1355</v>
      </c>
      <c r="I17" s="1368" t="s">
        <v>1829</v>
      </c>
      <c r="J17" s="906"/>
      <c r="K17" s="906"/>
      <c r="L17" s="906"/>
      <c r="M17" s="907" t="s">
        <v>1329</v>
      </c>
      <c r="N17" s="907">
        <v>5000</v>
      </c>
      <c r="O17" s="907">
        <v>100</v>
      </c>
      <c r="P17" s="906"/>
      <c r="Q17" s="906"/>
      <c r="R17" s="906"/>
      <c r="S17" s="898"/>
    </row>
    <row r="18" spans="1:19" ht="19.5" customHeight="1" thickBot="1" x14ac:dyDescent="0.3">
      <c r="A18" s="906"/>
      <c r="B18" s="903">
        <v>13</v>
      </c>
      <c r="C18" s="902" t="s">
        <v>667</v>
      </c>
      <c r="D18" s="904">
        <v>25</v>
      </c>
      <c r="E18" s="902"/>
      <c r="F18" s="905">
        <v>2</v>
      </c>
      <c r="G18" s="911" t="str">
        <f>IF('Pricing Schedule'!E5="PB","before","after")</f>
        <v>before</v>
      </c>
      <c r="H18" s="909" t="str">
        <f>IF(AND(Welcome!$D$6="New",'Customer Inputs'!P17&lt;&gt;0),'Customer Inputs'!P17,"")</f>
        <v/>
      </c>
      <c r="I18" s="919" t="str">
        <f>IF(Welcome!$D$6="New","No","")</f>
        <v>No</v>
      </c>
      <c r="J18" s="906"/>
      <c r="K18" s="906"/>
      <c r="L18" s="906"/>
      <c r="M18" s="906"/>
      <c r="N18" s="906"/>
      <c r="O18" s="906"/>
      <c r="P18" s="906"/>
      <c r="Q18" s="906"/>
      <c r="R18" s="906"/>
      <c r="S18" s="898"/>
    </row>
    <row r="19" spans="1:19" x14ac:dyDescent="0.25">
      <c r="A19" s="906"/>
      <c r="B19" s="944"/>
      <c r="C19" s="944"/>
      <c r="D19" s="944"/>
      <c r="E19" s="944"/>
      <c r="F19" s="944"/>
      <c r="G19" s="944"/>
      <c r="H19" s="653"/>
      <c r="I19" s="653"/>
      <c r="J19" s="906"/>
      <c r="K19" s="906"/>
      <c r="L19" s="906"/>
      <c r="M19" s="906"/>
      <c r="N19" s="906"/>
      <c r="O19" s="906"/>
      <c r="P19" s="906"/>
      <c r="Q19" s="906"/>
      <c r="R19" s="906"/>
      <c r="S19" s="898"/>
    </row>
    <row r="20" spans="1:19" x14ac:dyDescent="0.25">
      <c r="A20" s="906"/>
      <c r="B20" s="653"/>
      <c r="C20" s="653"/>
      <c r="D20" s="653"/>
      <c r="E20" s="653"/>
      <c r="F20" s="653"/>
      <c r="G20" s="653"/>
      <c r="H20" s="653"/>
      <c r="I20" s="653"/>
      <c r="J20" s="906"/>
      <c r="K20" s="906"/>
      <c r="L20" s="906"/>
      <c r="M20" s="906"/>
      <c r="N20" s="906"/>
      <c r="O20" s="906"/>
      <c r="P20" s="906"/>
      <c r="Q20" s="906"/>
      <c r="R20" s="906"/>
      <c r="S20" s="898"/>
    </row>
    <row r="21" spans="1:19" x14ac:dyDescent="0.25">
      <c r="A21" s="906"/>
      <c r="B21" s="906"/>
      <c r="C21" s="906"/>
      <c r="D21" s="906"/>
      <c r="E21" s="906"/>
      <c r="F21" s="906"/>
      <c r="G21" s="906"/>
      <c r="H21" s="906"/>
      <c r="I21" s="906"/>
      <c r="J21" s="906"/>
      <c r="K21" s="906"/>
      <c r="L21" s="906"/>
      <c r="M21" s="906"/>
      <c r="N21" s="906"/>
      <c r="O21" s="906"/>
      <c r="P21" s="906"/>
      <c r="Q21" s="906"/>
      <c r="R21" s="906"/>
      <c r="S21" s="898"/>
    </row>
    <row r="22" spans="1:19" x14ac:dyDescent="0.25">
      <c r="A22" s="898"/>
      <c r="B22" s="898"/>
      <c r="C22" s="898"/>
      <c r="D22" s="898"/>
      <c r="E22" s="898"/>
      <c r="F22" s="898"/>
      <c r="G22" s="898"/>
      <c r="H22" s="898"/>
      <c r="I22" s="898"/>
      <c r="J22" s="898"/>
      <c r="K22" s="898"/>
      <c r="L22" s="898"/>
      <c r="M22" s="898"/>
      <c r="N22" s="898"/>
      <c r="O22" s="898"/>
      <c r="P22" s="898"/>
      <c r="Q22" s="898"/>
      <c r="R22" s="898"/>
      <c r="S22" s="898"/>
    </row>
    <row r="23" spans="1:19" x14ac:dyDescent="0.25">
      <c r="A23" s="898"/>
      <c r="B23" s="898"/>
      <c r="C23" s="898"/>
      <c r="D23" s="898"/>
      <c r="E23" s="898"/>
      <c r="F23" s="898"/>
      <c r="G23" s="898"/>
      <c r="H23" s="898"/>
      <c r="I23" s="898"/>
      <c r="J23" s="898"/>
      <c r="K23" s="898"/>
      <c r="L23" s="898"/>
      <c r="M23" s="898"/>
      <c r="N23" s="898"/>
      <c r="O23" s="898"/>
      <c r="P23" s="898"/>
      <c r="Q23" s="898"/>
      <c r="R23" s="898"/>
      <c r="S23" s="898"/>
    </row>
    <row r="24" spans="1:19" x14ac:dyDescent="0.25">
      <c r="A24" s="898"/>
      <c r="B24" s="898"/>
      <c r="C24" s="898"/>
      <c r="D24" s="898"/>
      <c r="E24" s="898"/>
      <c r="F24" s="898"/>
      <c r="G24" s="898"/>
      <c r="H24" s="898"/>
      <c r="I24" s="898"/>
      <c r="J24" s="898"/>
      <c r="K24" s="898"/>
      <c r="L24" s="898"/>
      <c r="M24" s="898"/>
      <c r="N24" s="898"/>
      <c r="O24" s="898"/>
      <c r="P24" s="898"/>
      <c r="Q24" s="898"/>
      <c r="R24" s="898"/>
      <c r="S24" s="898"/>
    </row>
    <row r="25" spans="1:19" x14ac:dyDescent="0.25">
      <c r="A25" s="898"/>
      <c r="B25" s="898"/>
      <c r="C25" s="898"/>
      <c r="D25" s="898"/>
      <c r="E25" s="898"/>
      <c r="F25" s="898"/>
      <c r="G25" s="898"/>
      <c r="H25" s="898"/>
      <c r="I25" s="898"/>
      <c r="J25" s="898"/>
      <c r="K25" s="898"/>
      <c r="L25" s="898"/>
      <c r="M25" s="898"/>
      <c r="N25" s="898"/>
      <c r="O25" s="898"/>
      <c r="P25" s="898"/>
      <c r="Q25" s="898"/>
      <c r="R25" s="898"/>
      <c r="S25" s="898"/>
    </row>
    <row r="26" spans="1:19" x14ac:dyDescent="0.25">
      <c r="A26" s="898"/>
      <c r="B26" s="898"/>
      <c r="C26" s="898"/>
      <c r="D26" s="898"/>
      <c r="E26" s="898"/>
      <c r="F26" s="898"/>
      <c r="G26" s="898"/>
      <c r="H26" s="898"/>
      <c r="I26" s="898"/>
      <c r="J26" s="898"/>
      <c r="K26" s="898"/>
      <c r="L26" s="898"/>
      <c r="M26" s="898"/>
      <c r="N26" s="898"/>
      <c r="O26" s="898"/>
      <c r="P26" s="898"/>
      <c r="Q26" s="898"/>
      <c r="R26" s="898"/>
      <c r="S26" s="898"/>
    </row>
    <row r="27" spans="1:19" x14ac:dyDescent="0.25">
      <c r="A27" s="898"/>
      <c r="B27" s="898"/>
      <c r="C27" s="898"/>
      <c r="D27" s="898"/>
      <c r="E27" s="898"/>
      <c r="F27" s="898"/>
      <c r="G27" s="898"/>
      <c r="H27" s="898"/>
      <c r="I27" s="898"/>
      <c r="J27" s="898"/>
      <c r="K27" s="898"/>
      <c r="L27" s="898"/>
      <c r="M27" s="898"/>
      <c r="N27" s="898"/>
      <c r="O27" s="898"/>
      <c r="P27" s="898"/>
      <c r="Q27" s="898"/>
      <c r="R27" s="898"/>
      <c r="S27" s="898"/>
    </row>
    <row r="28" spans="1:19" x14ac:dyDescent="0.25">
      <c r="A28" s="898"/>
      <c r="B28" s="898"/>
      <c r="C28" s="898"/>
      <c r="D28" s="898"/>
      <c r="E28" s="898"/>
      <c r="F28" s="898"/>
      <c r="G28" s="898"/>
      <c r="H28" s="898"/>
      <c r="I28" s="898"/>
      <c r="J28" s="898"/>
      <c r="K28" s="898"/>
      <c r="L28" s="898"/>
      <c r="M28" s="898"/>
      <c r="N28" s="898"/>
      <c r="O28" s="898"/>
      <c r="P28" s="898"/>
      <c r="Q28" s="898"/>
      <c r="R28" s="898"/>
      <c r="S28" s="898"/>
    </row>
    <row r="29" spans="1:19" x14ac:dyDescent="0.25">
      <c r="A29" s="898"/>
      <c r="B29" s="898"/>
      <c r="C29" s="898"/>
      <c r="D29" s="898"/>
      <c r="E29" s="898"/>
      <c r="F29" s="898"/>
      <c r="G29" s="898"/>
      <c r="H29" s="898"/>
      <c r="I29" s="898"/>
      <c r="J29" s="898"/>
      <c r="K29" s="898"/>
      <c r="L29" s="898"/>
      <c r="M29" s="898"/>
      <c r="N29" s="898"/>
      <c r="O29" s="898"/>
      <c r="P29" s="898"/>
      <c r="Q29" s="898"/>
      <c r="R29" s="898"/>
      <c r="S29" s="898"/>
    </row>
    <row r="30" spans="1:19" x14ac:dyDescent="0.25">
      <c r="A30" s="898"/>
      <c r="B30" s="898"/>
      <c r="C30" s="898"/>
      <c r="D30" s="898"/>
      <c r="E30" s="898"/>
      <c r="F30" s="898"/>
      <c r="G30" s="898"/>
      <c r="H30" s="898"/>
      <c r="I30" s="898"/>
      <c r="J30" s="898"/>
      <c r="K30" s="898"/>
      <c r="L30" s="898"/>
      <c r="M30" s="898"/>
      <c r="N30" s="898"/>
      <c r="O30" s="898"/>
      <c r="P30" s="898"/>
      <c r="Q30" s="898"/>
      <c r="R30" s="898"/>
      <c r="S30" s="898"/>
    </row>
    <row r="31" spans="1:19" x14ac:dyDescent="0.25">
      <c r="A31" s="898"/>
      <c r="B31" s="898"/>
      <c r="C31" s="898"/>
      <c r="D31" s="898"/>
      <c r="E31" s="898"/>
      <c r="F31" s="898"/>
      <c r="G31" s="898"/>
      <c r="H31" s="898"/>
      <c r="I31" s="898"/>
      <c r="J31" s="898"/>
      <c r="K31" s="898"/>
      <c r="L31" s="898"/>
      <c r="M31" s="898"/>
      <c r="N31" s="898"/>
      <c r="O31" s="898"/>
      <c r="P31" s="898"/>
      <c r="Q31" s="898"/>
      <c r="R31" s="898"/>
      <c r="S31" s="898"/>
    </row>
    <row r="32" spans="1:19" x14ac:dyDescent="0.25">
      <c r="A32" s="898"/>
      <c r="B32" s="898"/>
      <c r="C32" s="898"/>
      <c r="D32" s="898"/>
      <c r="E32" s="898"/>
      <c r="F32" s="898"/>
      <c r="G32" s="898"/>
      <c r="H32" s="898"/>
      <c r="I32" s="898"/>
      <c r="J32" s="898"/>
      <c r="K32" s="898"/>
      <c r="L32" s="898"/>
      <c r="M32" s="898"/>
      <c r="N32" s="898"/>
      <c r="O32" s="898"/>
      <c r="P32" s="898"/>
      <c r="Q32" s="898"/>
      <c r="R32" s="898"/>
      <c r="S32" s="898"/>
    </row>
    <row r="33" spans="1:19" x14ac:dyDescent="0.25">
      <c r="A33" s="898"/>
      <c r="B33" s="898"/>
      <c r="C33" s="898"/>
      <c r="D33" s="898"/>
      <c r="E33" s="898"/>
      <c r="F33" s="898"/>
      <c r="G33" s="898"/>
      <c r="H33" s="898"/>
      <c r="I33" s="898"/>
      <c r="J33" s="898"/>
      <c r="K33" s="898"/>
      <c r="L33" s="898"/>
      <c r="M33" s="898"/>
      <c r="N33" s="898"/>
      <c r="O33" s="898"/>
      <c r="P33" s="898"/>
      <c r="Q33" s="898"/>
      <c r="R33" s="898"/>
      <c r="S33" s="898"/>
    </row>
    <row r="34" spans="1:19" x14ac:dyDescent="0.25">
      <c r="A34" s="898"/>
      <c r="B34" s="898"/>
      <c r="C34" s="898"/>
      <c r="D34" s="898"/>
      <c r="E34" s="898"/>
      <c r="F34" s="898"/>
      <c r="G34" s="898"/>
      <c r="H34" s="898"/>
      <c r="I34" s="898"/>
      <c r="J34" s="898"/>
      <c r="K34" s="898"/>
      <c r="L34" s="898"/>
      <c r="M34" s="898"/>
      <c r="N34" s="898"/>
      <c r="O34" s="898"/>
      <c r="P34" s="898"/>
      <c r="Q34" s="898"/>
      <c r="R34" s="898"/>
      <c r="S34" s="898"/>
    </row>
    <row r="35" spans="1:19" x14ac:dyDescent="0.25">
      <c r="A35" s="898"/>
      <c r="B35" s="898"/>
      <c r="C35" s="898"/>
      <c r="D35" s="898"/>
      <c r="E35" s="898"/>
      <c r="F35" s="898"/>
      <c r="G35" s="898"/>
      <c r="H35" s="898"/>
      <c r="I35" s="898"/>
      <c r="J35" s="898"/>
      <c r="K35" s="898"/>
      <c r="L35" s="898"/>
      <c r="M35" s="898"/>
      <c r="N35" s="898"/>
      <c r="O35" s="898"/>
      <c r="P35" s="898"/>
      <c r="Q35" s="898"/>
      <c r="R35" s="898"/>
      <c r="S35" s="898"/>
    </row>
    <row r="36" spans="1:19" x14ac:dyDescent="0.25">
      <c r="A36" s="898"/>
      <c r="B36" s="898"/>
      <c r="C36" s="898"/>
      <c r="D36" s="898"/>
      <c r="E36" s="898"/>
      <c r="F36" s="898"/>
      <c r="G36" s="898"/>
      <c r="H36" s="898"/>
      <c r="I36" s="898"/>
      <c r="J36" s="898"/>
      <c r="K36" s="898"/>
      <c r="L36" s="898"/>
      <c r="M36" s="898"/>
      <c r="N36" s="898"/>
      <c r="O36" s="898"/>
      <c r="P36" s="898"/>
      <c r="Q36" s="898"/>
      <c r="R36" s="898"/>
      <c r="S36" s="898"/>
    </row>
  </sheetData>
  <sheetProtection algorithmName="SHA-512" hashValue="Jm4KG5K0xlLbfRye6qFs5xdj+aF8gX+PBVZaNty2HhJA1WYcPqEhH/dlvYoow9ZL+FZqbb/9KAcoUnMqk0swmQ==" saltValue="i5xSRrMcf8VlgppFjEp6Dg==" spinCount="100000" sheet="1" objects="1" scenarios="1" selectLockedCells="1"/>
  <mergeCells count="4">
    <mergeCell ref="M2:O2"/>
    <mergeCell ref="B7:I7"/>
    <mergeCell ref="B2:J2"/>
    <mergeCell ref="B15:I15"/>
  </mergeCells>
  <conditionalFormatting sqref="B13">
    <cfRule type="cellIs" dxfId="181" priority="2" operator="equal">
      <formula>"No"</formula>
    </cfRule>
  </conditionalFormatting>
  <conditionalFormatting sqref="E13">
    <cfRule type="cellIs" dxfId="180" priority="1" operator="equal">
      <formula>"No"</formula>
    </cfRule>
  </conditionalFormatting>
  <dataValidations disablePrompts="1"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K5" sqref="K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653"/>
      <c r="B1" s="653"/>
      <c r="C1" s="653"/>
      <c r="D1" s="653"/>
      <c r="E1" s="653"/>
      <c r="F1" s="653"/>
      <c r="G1" s="653"/>
      <c r="H1" s="653"/>
      <c r="I1" s="653"/>
      <c r="J1" s="653"/>
      <c r="K1" s="653"/>
      <c r="L1" s="653"/>
      <c r="M1" s="653"/>
      <c r="N1" s="653"/>
      <c r="O1" s="653"/>
    </row>
    <row r="2" spans="1:21" ht="15.75" thickBot="1" x14ac:dyDescent="0.3">
      <c r="A2" s="653"/>
      <c r="B2" s="1592" t="s">
        <v>1357</v>
      </c>
      <c r="C2" s="1593"/>
      <c r="D2" s="1593"/>
      <c r="E2" s="1593"/>
      <c r="F2" s="1593"/>
      <c r="G2" s="1593"/>
      <c r="H2" s="1593"/>
      <c r="I2" s="1593"/>
      <c r="J2" s="1593"/>
      <c r="K2" s="1593"/>
      <c r="L2" s="1593"/>
      <c r="M2" s="1593"/>
      <c r="N2" s="1594"/>
      <c r="O2" s="653"/>
      <c r="U2" s="976">
        <f>IF(ISNA(U4),0,1)</f>
        <v>0</v>
      </c>
    </row>
    <row r="3" spans="1:21" ht="15.75" thickBot="1" x14ac:dyDescent="0.3">
      <c r="A3" s="653"/>
      <c r="B3" s="944"/>
      <c r="C3" s="944"/>
      <c r="D3" s="944"/>
      <c r="E3" s="944"/>
      <c r="F3" s="944"/>
      <c r="G3" s="944"/>
      <c r="H3" s="944"/>
      <c r="I3" s="944"/>
      <c r="J3" s="944"/>
      <c r="K3" s="944"/>
      <c r="L3" s="944"/>
      <c r="M3" s="944"/>
      <c r="N3" s="944"/>
      <c r="O3" s="653"/>
      <c r="U3" s="976">
        <f>IF(ISNA(U5),0,1)</f>
        <v>0</v>
      </c>
    </row>
    <row r="4" spans="1:21" ht="54" customHeight="1" x14ac:dyDescent="0.25">
      <c r="A4" s="653"/>
      <c r="B4" s="945" t="s">
        <v>1358</v>
      </c>
      <c r="C4" s="946" t="s">
        <v>1359</v>
      </c>
      <c r="D4" s="946" t="s">
        <v>1476</v>
      </c>
      <c r="E4" s="946" t="s">
        <v>1360</v>
      </c>
      <c r="F4" s="946" t="s">
        <v>1361</v>
      </c>
      <c r="G4" s="946" t="s">
        <v>1362</v>
      </c>
      <c r="H4" s="946" t="s">
        <v>1363</v>
      </c>
      <c r="I4" s="946" t="s">
        <v>1364</v>
      </c>
      <c r="J4" s="946" t="s">
        <v>1365</v>
      </c>
      <c r="K4" s="946" t="s">
        <v>1366</v>
      </c>
      <c r="L4" s="946" t="s">
        <v>1367</v>
      </c>
      <c r="M4" s="947" t="s">
        <v>1368</v>
      </c>
      <c r="N4" s="948" t="s">
        <v>1369</v>
      </c>
      <c r="O4" s="653"/>
      <c r="U4" s="976" t="e">
        <f>MATCH("Yes",K11:K30,0)</f>
        <v>#N/A</v>
      </c>
    </row>
    <row r="5" spans="1:21" ht="15.75" thickBot="1" x14ac:dyDescent="0.3">
      <c r="A5" s="653"/>
      <c r="B5" s="908">
        <v>1</v>
      </c>
      <c r="C5" s="900"/>
      <c r="D5" s="900" t="s">
        <v>667</v>
      </c>
      <c r="E5" s="900" t="s">
        <v>1370</v>
      </c>
      <c r="F5" s="900" t="s">
        <v>1371</v>
      </c>
      <c r="G5" s="900" t="s">
        <v>651</v>
      </c>
      <c r="H5" s="900" t="s">
        <v>653</v>
      </c>
      <c r="I5" s="900" t="s">
        <v>653</v>
      </c>
      <c r="J5" s="900" t="s">
        <v>651</v>
      </c>
      <c r="K5" s="900" t="s">
        <v>653</v>
      </c>
      <c r="L5" s="900" t="s">
        <v>653</v>
      </c>
      <c r="M5" s="950" t="str">
        <f>'Required Info to Submit'!F17</f>
        <v/>
      </c>
      <c r="N5" s="949" t="s">
        <v>653</v>
      </c>
      <c r="O5" s="653"/>
      <c r="U5" s="977" t="e">
        <f>MATCH("Yes",I11:I30,0)</f>
        <v>#N/A</v>
      </c>
    </row>
    <row r="6" spans="1:21" x14ac:dyDescent="0.25">
      <c r="A6" s="653"/>
      <c r="B6" s="944"/>
      <c r="C6" s="944"/>
      <c r="D6" s="944"/>
      <c r="E6" s="944"/>
      <c r="F6" s="944"/>
      <c r="G6" s="944"/>
      <c r="H6" s="944"/>
      <c r="I6" s="944"/>
      <c r="J6" s="944"/>
      <c r="K6" s="944"/>
      <c r="L6" s="944"/>
      <c r="M6" s="944"/>
      <c r="N6" s="944"/>
      <c r="O6" s="653"/>
    </row>
    <row r="7" spans="1:21" ht="15.75" thickBot="1" x14ac:dyDescent="0.3">
      <c r="A7" s="653"/>
      <c r="B7" s="653"/>
      <c r="C7" s="653"/>
      <c r="D7" s="653"/>
      <c r="E7" s="653"/>
      <c r="F7" s="653"/>
      <c r="G7" s="653"/>
      <c r="H7" s="653"/>
      <c r="I7" s="653"/>
      <c r="J7" s="653"/>
      <c r="K7" s="653"/>
      <c r="L7" s="653"/>
      <c r="M7" s="653"/>
      <c r="N7" s="653"/>
      <c r="O7" s="653"/>
    </row>
    <row r="8" spans="1:21" ht="15.75" thickBot="1" x14ac:dyDescent="0.3">
      <c r="A8" s="653"/>
      <c r="B8" s="1595" t="s">
        <v>1372</v>
      </c>
      <c r="C8" s="1593"/>
      <c r="D8" s="1593"/>
      <c r="E8" s="1593"/>
      <c r="F8" s="1593"/>
      <c r="G8" s="1593"/>
      <c r="H8" s="1593"/>
      <c r="I8" s="1593"/>
      <c r="J8" s="1593"/>
      <c r="K8" s="1593"/>
      <c r="L8" s="1593"/>
      <c r="M8" s="1593"/>
      <c r="N8" s="1594"/>
      <c r="O8" s="653"/>
    </row>
    <row r="9" spans="1:21" ht="15.75" thickBot="1" x14ac:dyDescent="0.3">
      <c r="A9" s="653"/>
      <c r="B9" s="944"/>
      <c r="C9" s="944"/>
      <c r="D9" s="944"/>
      <c r="E9" s="944"/>
      <c r="F9" s="944"/>
      <c r="G9" s="944"/>
      <c r="H9" s="944"/>
      <c r="I9" s="944"/>
      <c r="J9" s="944"/>
      <c r="K9" s="944"/>
      <c r="L9" s="944"/>
      <c r="M9" s="944"/>
      <c r="N9" s="944"/>
      <c r="O9" s="653"/>
    </row>
    <row r="10" spans="1:21" ht="33" customHeight="1" x14ac:dyDescent="0.25">
      <c r="A10" s="653"/>
      <c r="B10" s="953" t="s">
        <v>1358</v>
      </c>
      <c r="C10" s="947" t="s">
        <v>1373</v>
      </c>
      <c r="D10" s="947" t="s">
        <v>1374</v>
      </c>
      <c r="E10" s="947" t="s">
        <v>1375</v>
      </c>
      <c r="F10" s="954" t="s">
        <v>1376</v>
      </c>
      <c r="G10" s="954" t="s">
        <v>1377</v>
      </c>
      <c r="H10" s="947" t="s">
        <v>1338</v>
      </c>
      <c r="I10" s="947" t="s">
        <v>1378</v>
      </c>
      <c r="J10" s="947" t="s">
        <v>1379</v>
      </c>
      <c r="K10" s="947" t="s">
        <v>1380</v>
      </c>
      <c r="L10" s="947" t="s">
        <v>1381</v>
      </c>
      <c r="M10" s="947" t="s">
        <v>1320</v>
      </c>
      <c r="N10" s="948" t="s">
        <v>1382</v>
      </c>
      <c r="O10" s="653"/>
    </row>
    <row r="11" spans="1:21" x14ac:dyDescent="0.25">
      <c r="A11" s="653"/>
      <c r="B11" s="955">
        <v>1</v>
      </c>
      <c r="C11" s="956">
        <v>15</v>
      </c>
      <c r="D11" s="957"/>
      <c r="E11" s="914"/>
      <c r="F11" s="966"/>
      <c r="G11" s="914"/>
      <c r="H11" s="957" t="s">
        <v>482</v>
      </c>
      <c r="I11" s="992" t="s">
        <v>653</v>
      </c>
      <c r="J11" s="967">
        <v>2.25</v>
      </c>
      <c r="K11" s="914" t="s">
        <v>653</v>
      </c>
      <c r="L11" s="967">
        <v>30</v>
      </c>
      <c r="M11" s="969" t="s">
        <v>482</v>
      </c>
      <c r="N11" s="971" t="s">
        <v>103</v>
      </c>
      <c r="O11" s="653"/>
      <c r="P11">
        <f>'Agreement Worksheet'!$F$13</f>
        <v>2.25</v>
      </c>
    </row>
    <row r="12" spans="1:21" x14ac:dyDescent="0.25">
      <c r="A12" s="653"/>
      <c r="B12" s="958">
        <v>1</v>
      </c>
      <c r="C12" s="956">
        <v>16</v>
      </c>
      <c r="D12" s="959"/>
      <c r="E12" s="914"/>
      <c r="F12" s="963"/>
      <c r="G12" s="914"/>
      <c r="H12" s="957" t="s">
        <v>482</v>
      </c>
      <c r="I12" s="992" t="s">
        <v>653</v>
      </c>
      <c r="J12" s="967">
        <v>2.25</v>
      </c>
      <c r="K12" s="914" t="s">
        <v>653</v>
      </c>
      <c r="L12" s="967">
        <v>30</v>
      </c>
      <c r="M12" s="969" t="s">
        <v>482</v>
      </c>
      <c r="N12" s="972" t="s">
        <v>102</v>
      </c>
      <c r="O12" s="653"/>
      <c r="P12" s="942">
        <f>'Agreement Worksheet'!$C$13</f>
        <v>30</v>
      </c>
    </row>
    <row r="13" spans="1:21" ht="26.25" x14ac:dyDescent="0.25">
      <c r="A13" s="653"/>
      <c r="B13" s="955">
        <v>1</v>
      </c>
      <c r="C13" s="956">
        <v>17</v>
      </c>
      <c r="D13" s="957"/>
      <c r="E13" s="914"/>
      <c r="F13" s="963"/>
      <c r="G13" s="914"/>
      <c r="H13" s="957" t="s">
        <v>482</v>
      </c>
      <c r="I13" s="992" t="s">
        <v>653</v>
      </c>
      <c r="J13" s="967">
        <v>2.25</v>
      </c>
      <c r="K13" s="914" t="s">
        <v>653</v>
      </c>
      <c r="L13" s="967">
        <v>30</v>
      </c>
      <c r="M13" s="969" t="s">
        <v>482</v>
      </c>
      <c r="N13" s="972" t="s">
        <v>101</v>
      </c>
      <c r="O13" s="653"/>
      <c r="P13" s="942" t="str">
        <f>'Agreement Worksheet'!$D$13</f>
        <v>%</v>
      </c>
    </row>
    <row r="14" spans="1:21" x14ac:dyDescent="0.25">
      <c r="A14" s="653"/>
      <c r="B14" s="955">
        <v>1</v>
      </c>
      <c r="C14" s="956">
        <v>18</v>
      </c>
      <c r="D14" s="960"/>
      <c r="E14" s="914"/>
      <c r="F14" s="963"/>
      <c r="G14" s="951"/>
      <c r="H14" s="957" t="s">
        <v>482</v>
      </c>
      <c r="I14" s="992" t="s">
        <v>653</v>
      </c>
      <c r="J14" s="967">
        <v>2.25</v>
      </c>
      <c r="K14" s="914" t="s">
        <v>653</v>
      </c>
      <c r="L14" s="967">
        <v>30</v>
      </c>
      <c r="M14" s="969" t="s">
        <v>482</v>
      </c>
      <c r="N14" s="972" t="s">
        <v>100</v>
      </c>
      <c r="O14" s="653"/>
    </row>
    <row r="15" spans="1:21" ht="26.25" x14ac:dyDescent="0.25">
      <c r="A15" s="653"/>
      <c r="B15" s="955">
        <v>1</v>
      </c>
      <c r="C15" s="956">
        <v>19</v>
      </c>
      <c r="D15" s="960"/>
      <c r="E15" s="914"/>
      <c r="F15" s="963"/>
      <c r="G15" s="951"/>
      <c r="H15" s="957" t="s">
        <v>482</v>
      </c>
      <c r="I15" s="992" t="s">
        <v>653</v>
      </c>
      <c r="J15" s="967">
        <v>2.25</v>
      </c>
      <c r="K15" s="914" t="s">
        <v>653</v>
      </c>
      <c r="L15" s="967">
        <v>30</v>
      </c>
      <c r="M15" s="969" t="s">
        <v>482</v>
      </c>
      <c r="N15" s="972" t="s">
        <v>104</v>
      </c>
      <c r="O15" s="653"/>
    </row>
    <row r="16" spans="1:21" ht="26.25" x14ac:dyDescent="0.25">
      <c r="A16" s="653"/>
      <c r="B16" s="955">
        <v>1</v>
      </c>
      <c r="C16" s="956">
        <v>20</v>
      </c>
      <c r="D16" s="960"/>
      <c r="E16" s="914"/>
      <c r="F16" s="963"/>
      <c r="G16" s="951"/>
      <c r="H16" s="957" t="s">
        <v>482</v>
      </c>
      <c r="I16" s="992" t="s">
        <v>653</v>
      </c>
      <c r="J16" s="967">
        <v>2.25</v>
      </c>
      <c r="K16" s="914" t="s">
        <v>653</v>
      </c>
      <c r="L16" s="967">
        <v>30</v>
      </c>
      <c r="M16" s="969" t="s">
        <v>482</v>
      </c>
      <c r="N16" s="972" t="s">
        <v>99</v>
      </c>
      <c r="O16" s="653"/>
    </row>
    <row r="17" spans="1:15" x14ac:dyDescent="0.25">
      <c r="A17" s="653"/>
      <c r="B17" s="955">
        <v>1</v>
      </c>
      <c r="C17" s="956">
        <v>21</v>
      </c>
      <c r="D17" s="960"/>
      <c r="E17" s="914"/>
      <c r="F17" s="963"/>
      <c r="G17" s="951"/>
      <c r="H17" s="957" t="s">
        <v>482</v>
      </c>
      <c r="I17" s="992" t="s">
        <v>653</v>
      </c>
      <c r="J17" s="967">
        <v>2.25</v>
      </c>
      <c r="K17" s="914" t="s">
        <v>653</v>
      </c>
      <c r="L17" s="967">
        <v>30</v>
      </c>
      <c r="M17" s="969" t="s">
        <v>482</v>
      </c>
      <c r="N17" s="972" t="s">
        <v>98</v>
      </c>
      <c r="O17" s="653"/>
    </row>
    <row r="18" spans="1:15" x14ac:dyDescent="0.25">
      <c r="A18" s="653"/>
      <c r="B18" s="955">
        <v>1</v>
      </c>
      <c r="C18" s="956">
        <v>22</v>
      </c>
      <c r="D18" s="960"/>
      <c r="E18" s="914"/>
      <c r="F18" s="963"/>
      <c r="G18" s="951"/>
      <c r="H18" s="957" t="s">
        <v>482</v>
      </c>
      <c r="I18" s="992" t="s">
        <v>653</v>
      </c>
      <c r="J18" s="967">
        <v>2.25</v>
      </c>
      <c r="K18" s="914" t="s">
        <v>653</v>
      </c>
      <c r="L18" s="967">
        <v>30</v>
      </c>
      <c r="M18" s="969" t="s">
        <v>482</v>
      </c>
      <c r="N18" s="972" t="s">
        <v>97</v>
      </c>
      <c r="O18" s="653"/>
    </row>
    <row r="19" spans="1:15" x14ac:dyDescent="0.25">
      <c r="A19" s="653"/>
      <c r="B19" s="955">
        <v>1</v>
      </c>
      <c r="C19" s="956">
        <v>23</v>
      </c>
      <c r="D19" s="960"/>
      <c r="E19" s="914"/>
      <c r="F19" s="963"/>
      <c r="G19" s="951"/>
      <c r="H19" s="957" t="s">
        <v>482</v>
      </c>
      <c r="I19" s="992" t="s">
        <v>653</v>
      </c>
      <c r="J19" s="967">
        <v>2.25</v>
      </c>
      <c r="K19" s="914" t="s">
        <v>653</v>
      </c>
      <c r="L19" s="967">
        <v>30</v>
      </c>
      <c r="M19" s="969" t="s">
        <v>482</v>
      </c>
      <c r="N19" s="972" t="s">
        <v>96</v>
      </c>
      <c r="O19" s="653"/>
    </row>
    <row r="20" spans="1:15" x14ac:dyDescent="0.25">
      <c r="A20" s="653"/>
      <c r="B20" s="955">
        <v>1</v>
      </c>
      <c r="C20" s="956">
        <v>24</v>
      </c>
      <c r="D20" s="960"/>
      <c r="E20" s="914"/>
      <c r="F20" s="963"/>
      <c r="G20" s="951"/>
      <c r="H20" s="957" t="s">
        <v>482</v>
      </c>
      <c r="I20" s="992" t="s">
        <v>653</v>
      </c>
      <c r="J20" s="967">
        <v>2.25</v>
      </c>
      <c r="K20" s="914" t="s">
        <v>653</v>
      </c>
      <c r="L20" s="967">
        <v>30</v>
      </c>
      <c r="M20" s="969" t="s">
        <v>482</v>
      </c>
      <c r="N20" s="972" t="s">
        <v>95</v>
      </c>
      <c r="O20" s="653"/>
    </row>
    <row r="21" spans="1:15" x14ac:dyDescent="0.25">
      <c r="A21" s="653"/>
      <c r="B21" s="955">
        <v>1</v>
      </c>
      <c r="C21" s="956">
        <v>25</v>
      </c>
      <c r="D21" s="960"/>
      <c r="E21" s="914" t="s">
        <v>1383</v>
      </c>
      <c r="F21" s="963"/>
      <c r="G21" s="951"/>
      <c r="H21" s="957" t="s">
        <v>482</v>
      </c>
      <c r="I21" s="992" t="s">
        <v>653</v>
      </c>
      <c r="J21" s="967">
        <v>2.25</v>
      </c>
      <c r="K21" s="914" t="s">
        <v>653</v>
      </c>
      <c r="L21" s="967">
        <v>30</v>
      </c>
      <c r="M21" s="969" t="s">
        <v>482</v>
      </c>
      <c r="N21" s="972" t="s">
        <v>94</v>
      </c>
      <c r="O21" s="653"/>
    </row>
    <row r="22" spans="1:15" x14ac:dyDescent="0.25">
      <c r="A22" s="653"/>
      <c r="B22" s="955">
        <v>1</v>
      </c>
      <c r="C22" s="956">
        <v>26</v>
      </c>
      <c r="D22" s="960"/>
      <c r="E22" s="914"/>
      <c r="F22" s="963"/>
      <c r="G22" s="951"/>
      <c r="H22" s="957" t="s">
        <v>482</v>
      </c>
      <c r="I22" s="992" t="s">
        <v>653</v>
      </c>
      <c r="J22" s="967">
        <v>2.25</v>
      </c>
      <c r="K22" s="914" t="s">
        <v>653</v>
      </c>
      <c r="L22" s="967">
        <v>30</v>
      </c>
      <c r="M22" s="969" t="s">
        <v>482</v>
      </c>
      <c r="N22" s="972" t="s">
        <v>93</v>
      </c>
      <c r="O22" s="653"/>
    </row>
    <row r="23" spans="1:15" x14ac:dyDescent="0.25">
      <c r="A23" s="653"/>
      <c r="B23" s="955">
        <v>1</v>
      </c>
      <c r="C23" s="956">
        <v>29</v>
      </c>
      <c r="D23" s="960"/>
      <c r="E23" s="914"/>
      <c r="F23" s="963"/>
      <c r="G23" s="951"/>
      <c r="H23" s="957" t="s">
        <v>482</v>
      </c>
      <c r="I23" s="992" t="s">
        <v>653</v>
      </c>
      <c r="J23" s="967">
        <v>2.25</v>
      </c>
      <c r="K23" s="914" t="s">
        <v>653</v>
      </c>
      <c r="L23" s="967">
        <v>30</v>
      </c>
      <c r="M23" s="969" t="s">
        <v>482</v>
      </c>
      <c r="N23" s="972" t="s">
        <v>92</v>
      </c>
      <c r="O23" s="653"/>
    </row>
    <row r="24" spans="1:15" x14ac:dyDescent="0.25">
      <c r="A24" s="653"/>
      <c r="B24" s="955">
        <v>1</v>
      </c>
      <c r="C24" s="956">
        <v>30</v>
      </c>
      <c r="D24" s="960"/>
      <c r="E24" s="914"/>
      <c r="F24" s="963"/>
      <c r="G24" s="951"/>
      <c r="H24" s="957" t="s">
        <v>482</v>
      </c>
      <c r="I24" s="992" t="s">
        <v>653</v>
      </c>
      <c r="J24" s="967">
        <v>2.25</v>
      </c>
      <c r="K24" s="914" t="s">
        <v>653</v>
      </c>
      <c r="L24" s="967">
        <v>30</v>
      </c>
      <c r="M24" s="969" t="s">
        <v>482</v>
      </c>
      <c r="N24" s="972" t="s">
        <v>91</v>
      </c>
      <c r="O24" s="653"/>
    </row>
    <row r="25" spans="1:15" x14ac:dyDescent="0.25">
      <c r="A25" s="653"/>
      <c r="B25" s="955">
        <v>1</v>
      </c>
      <c r="C25" s="956">
        <v>31</v>
      </c>
      <c r="D25" s="960"/>
      <c r="E25" s="914"/>
      <c r="F25" s="963"/>
      <c r="G25" s="951"/>
      <c r="H25" s="957" t="s">
        <v>482</v>
      </c>
      <c r="I25" s="992" t="s">
        <v>653</v>
      </c>
      <c r="J25" s="967">
        <v>2.25</v>
      </c>
      <c r="K25" s="914" t="s">
        <v>653</v>
      </c>
      <c r="L25" s="967">
        <v>30</v>
      </c>
      <c r="M25" s="969" t="s">
        <v>482</v>
      </c>
      <c r="N25" s="972" t="s">
        <v>90</v>
      </c>
      <c r="O25" s="653"/>
    </row>
    <row r="26" spans="1:15" x14ac:dyDescent="0.25">
      <c r="A26" s="653"/>
      <c r="B26" s="955">
        <v>1</v>
      </c>
      <c r="C26" s="956">
        <v>32</v>
      </c>
      <c r="D26" s="960"/>
      <c r="E26" s="914"/>
      <c r="F26" s="963"/>
      <c r="G26" s="951"/>
      <c r="H26" s="957" t="s">
        <v>482</v>
      </c>
      <c r="I26" s="992" t="s">
        <v>653</v>
      </c>
      <c r="J26" s="967">
        <v>2.25</v>
      </c>
      <c r="K26" s="914" t="s">
        <v>653</v>
      </c>
      <c r="L26" s="967">
        <v>30</v>
      </c>
      <c r="M26" s="969" t="s">
        <v>482</v>
      </c>
      <c r="N26" s="972" t="s">
        <v>89</v>
      </c>
      <c r="O26" s="653"/>
    </row>
    <row r="27" spans="1:15" x14ac:dyDescent="0.25">
      <c r="A27" s="653"/>
      <c r="B27" s="955">
        <v>1</v>
      </c>
      <c r="C27" s="956">
        <v>33</v>
      </c>
      <c r="D27" s="960"/>
      <c r="E27" s="914"/>
      <c r="F27" s="963"/>
      <c r="G27" s="951"/>
      <c r="H27" s="957" t="s">
        <v>482</v>
      </c>
      <c r="I27" s="992" t="s">
        <v>653</v>
      </c>
      <c r="J27" s="967">
        <v>2.25</v>
      </c>
      <c r="K27" s="914" t="s">
        <v>653</v>
      </c>
      <c r="L27" s="967">
        <v>30</v>
      </c>
      <c r="M27" s="969" t="s">
        <v>482</v>
      </c>
      <c r="N27" s="972" t="s">
        <v>88</v>
      </c>
      <c r="O27" s="653"/>
    </row>
    <row r="28" spans="1:15" x14ac:dyDescent="0.25">
      <c r="A28" s="653"/>
      <c r="B28" s="955">
        <v>1</v>
      </c>
      <c r="C28" s="956">
        <v>34</v>
      </c>
      <c r="D28" s="960"/>
      <c r="E28" s="914"/>
      <c r="F28" s="963"/>
      <c r="G28" s="951"/>
      <c r="H28" s="957" t="s">
        <v>482</v>
      </c>
      <c r="I28" s="992" t="s">
        <v>653</v>
      </c>
      <c r="J28" s="967">
        <v>2.25</v>
      </c>
      <c r="K28" s="914" t="s">
        <v>653</v>
      </c>
      <c r="L28" s="967">
        <v>30</v>
      </c>
      <c r="M28" s="969" t="s">
        <v>482</v>
      </c>
      <c r="N28" s="972" t="s">
        <v>87</v>
      </c>
      <c r="O28" s="653"/>
    </row>
    <row r="29" spans="1:15" x14ac:dyDescent="0.25">
      <c r="A29" s="653"/>
      <c r="B29" s="955">
        <v>1</v>
      </c>
      <c r="C29" s="956">
        <v>35</v>
      </c>
      <c r="D29" s="960"/>
      <c r="E29" s="914"/>
      <c r="F29" s="963"/>
      <c r="G29" s="951"/>
      <c r="H29" s="957" t="s">
        <v>482</v>
      </c>
      <c r="I29" s="992" t="s">
        <v>653</v>
      </c>
      <c r="J29" s="967">
        <v>2.25</v>
      </c>
      <c r="K29" s="914" t="s">
        <v>653</v>
      </c>
      <c r="L29" s="967">
        <v>30</v>
      </c>
      <c r="M29" s="969" t="s">
        <v>482</v>
      </c>
      <c r="N29" s="972" t="s">
        <v>86</v>
      </c>
      <c r="O29" s="653"/>
    </row>
    <row r="30" spans="1:15" ht="15.75" thickBot="1" x14ac:dyDescent="0.3">
      <c r="A30" s="653"/>
      <c r="B30" s="908">
        <v>1</v>
      </c>
      <c r="C30" s="961">
        <v>37</v>
      </c>
      <c r="D30" s="962"/>
      <c r="E30" s="900"/>
      <c r="F30" s="964"/>
      <c r="G30" s="952"/>
      <c r="H30" s="911" t="s">
        <v>482</v>
      </c>
      <c r="I30" s="993" t="s">
        <v>653</v>
      </c>
      <c r="J30" s="968">
        <v>2.25</v>
      </c>
      <c r="K30" s="900" t="s">
        <v>653</v>
      </c>
      <c r="L30" s="968">
        <v>30</v>
      </c>
      <c r="M30" s="970" t="s">
        <v>482</v>
      </c>
      <c r="N30" s="973" t="s">
        <v>105</v>
      </c>
      <c r="O30" s="653"/>
    </row>
    <row r="31" spans="1:15" ht="15.75" hidden="1" thickBot="1" x14ac:dyDescent="0.3">
      <c r="A31" s="653"/>
      <c r="B31" s="944"/>
      <c r="C31" s="944"/>
      <c r="D31" s="944"/>
      <c r="E31" s="944"/>
      <c r="F31" s="944"/>
      <c r="G31" s="944"/>
      <c r="H31" s="944"/>
      <c r="I31" s="944"/>
      <c r="J31" s="944"/>
      <c r="K31" s="944"/>
      <c r="L31" s="944"/>
      <c r="M31" s="944"/>
      <c r="N31" s="944"/>
      <c r="O31" s="653"/>
    </row>
    <row r="32" spans="1:15" ht="15.75" hidden="1" thickBot="1" x14ac:dyDescent="0.3">
      <c r="A32" s="653"/>
      <c r="B32" s="1595" t="s">
        <v>1384</v>
      </c>
      <c r="C32" s="1596"/>
      <c r="D32" s="1596"/>
      <c r="E32" s="1596"/>
      <c r="F32" s="1596"/>
      <c r="G32" s="1596"/>
      <c r="H32" s="1596"/>
      <c r="I32" s="1596"/>
      <c r="J32" s="1596"/>
      <c r="K32" s="1596"/>
      <c r="L32" s="1596"/>
      <c r="M32" s="1596"/>
      <c r="N32" s="1597"/>
      <c r="O32" s="653"/>
    </row>
    <row r="33" spans="1:15" ht="15.75" hidden="1" thickBot="1" x14ac:dyDescent="0.3">
      <c r="A33" s="653"/>
      <c r="B33" s="944"/>
      <c r="C33" s="944"/>
      <c r="D33" s="944"/>
      <c r="E33" s="944"/>
      <c r="F33" s="944"/>
      <c r="G33" s="944"/>
      <c r="H33" s="944"/>
      <c r="I33" s="944"/>
      <c r="J33" s="944"/>
      <c r="K33" s="944"/>
      <c r="L33" s="944"/>
      <c r="M33" s="944"/>
      <c r="N33" s="944"/>
      <c r="O33" s="653"/>
    </row>
    <row r="34" spans="1:15" ht="36.75" hidden="1" customHeight="1" x14ac:dyDescent="0.25">
      <c r="A34" s="653"/>
      <c r="B34" s="953" t="s">
        <v>1358</v>
      </c>
      <c r="C34" s="947" t="s">
        <v>1373</v>
      </c>
      <c r="D34" s="947" t="s">
        <v>1374</v>
      </c>
      <c r="E34" s="947" t="s">
        <v>1375</v>
      </c>
      <c r="F34" s="954" t="s">
        <v>1376</v>
      </c>
      <c r="G34" s="954" t="s">
        <v>1377</v>
      </c>
      <c r="H34" s="947" t="s">
        <v>1338</v>
      </c>
      <c r="I34" s="947" t="s">
        <v>1378</v>
      </c>
      <c r="J34" s="947" t="s">
        <v>1379</v>
      </c>
      <c r="K34" s="947" t="s">
        <v>1380</v>
      </c>
      <c r="L34" s="947" t="s">
        <v>1381</v>
      </c>
      <c r="M34" s="947" t="s">
        <v>1320</v>
      </c>
      <c r="N34" s="948" t="s">
        <v>1382</v>
      </c>
      <c r="O34" s="653"/>
    </row>
    <row r="35" spans="1:15" hidden="1" x14ac:dyDescent="0.25">
      <c r="A35" s="653"/>
      <c r="B35" s="958">
        <v>1</v>
      </c>
      <c r="C35" s="956">
        <v>15</v>
      </c>
      <c r="D35" s="957"/>
      <c r="E35" s="914"/>
      <c r="F35" s="963"/>
      <c r="G35" s="914"/>
      <c r="H35" s="957" t="s">
        <v>482</v>
      </c>
      <c r="I35" s="914" t="s">
        <v>653</v>
      </c>
      <c r="J35" s="957">
        <v>2.25</v>
      </c>
      <c r="K35" s="914" t="s">
        <v>653</v>
      </c>
      <c r="L35" s="957">
        <v>30</v>
      </c>
      <c r="M35" s="957" t="s">
        <v>482</v>
      </c>
      <c r="N35" s="978" t="s">
        <v>103</v>
      </c>
      <c r="O35" s="653"/>
    </row>
    <row r="36" spans="1:15" hidden="1" x14ac:dyDescent="0.25">
      <c r="A36" s="653"/>
      <c r="B36" s="958">
        <v>1</v>
      </c>
      <c r="C36" s="956">
        <v>15</v>
      </c>
      <c r="D36" s="974">
        <v>131</v>
      </c>
      <c r="E36" s="914"/>
      <c r="F36" s="963"/>
      <c r="G36" s="914"/>
      <c r="H36" s="957" t="s">
        <v>482</v>
      </c>
      <c r="I36" s="914" t="s">
        <v>653</v>
      </c>
      <c r="J36" s="957">
        <v>2.25</v>
      </c>
      <c r="K36" s="914" t="s">
        <v>653</v>
      </c>
      <c r="L36" s="957">
        <v>30</v>
      </c>
      <c r="M36" s="957" t="s">
        <v>482</v>
      </c>
      <c r="N36" s="971" t="s">
        <v>1389</v>
      </c>
      <c r="O36" s="653"/>
    </row>
    <row r="37" spans="1:15" hidden="1" x14ac:dyDescent="0.25">
      <c r="A37" s="653"/>
      <c r="B37" s="958">
        <v>1</v>
      </c>
      <c r="C37" s="956">
        <v>15</v>
      </c>
      <c r="D37" s="974">
        <v>254</v>
      </c>
      <c r="E37" s="914"/>
      <c r="F37" s="963"/>
      <c r="G37" s="914"/>
      <c r="H37" s="957" t="s">
        <v>482</v>
      </c>
      <c r="I37" s="914" t="s">
        <v>653</v>
      </c>
      <c r="J37" s="957">
        <v>2.25</v>
      </c>
      <c r="K37" s="914" t="s">
        <v>653</v>
      </c>
      <c r="L37" s="957">
        <v>30</v>
      </c>
      <c r="M37" s="957" t="s">
        <v>482</v>
      </c>
      <c r="N37" s="971" t="s">
        <v>1389</v>
      </c>
      <c r="O37" s="653"/>
    </row>
    <row r="38" spans="1:15" hidden="1" x14ac:dyDescent="0.25">
      <c r="A38" s="653"/>
      <c r="B38" s="958">
        <v>1</v>
      </c>
      <c r="C38" s="956">
        <v>15</v>
      </c>
      <c r="D38" s="974">
        <v>373</v>
      </c>
      <c r="E38" s="914"/>
      <c r="F38" s="963"/>
      <c r="G38" s="914"/>
      <c r="H38" s="957" t="s">
        <v>482</v>
      </c>
      <c r="I38" s="914" t="s">
        <v>653</v>
      </c>
      <c r="J38" s="957">
        <v>2.25</v>
      </c>
      <c r="K38" s="914" t="s">
        <v>653</v>
      </c>
      <c r="L38" s="957">
        <v>30</v>
      </c>
      <c r="M38" s="957" t="s">
        <v>482</v>
      </c>
      <c r="N38" s="971" t="s">
        <v>1389</v>
      </c>
      <c r="O38" s="653"/>
    </row>
    <row r="39" spans="1:15" hidden="1" x14ac:dyDescent="0.25">
      <c r="A39" s="653"/>
      <c r="B39" s="958">
        <v>1</v>
      </c>
      <c r="C39" s="956">
        <v>15</v>
      </c>
      <c r="D39" s="974">
        <v>132</v>
      </c>
      <c r="E39" s="914"/>
      <c r="F39" s="963"/>
      <c r="G39" s="914"/>
      <c r="H39" s="957" t="s">
        <v>482</v>
      </c>
      <c r="I39" s="914" t="s">
        <v>653</v>
      </c>
      <c r="J39" s="957">
        <v>2.25</v>
      </c>
      <c r="K39" s="914" t="s">
        <v>653</v>
      </c>
      <c r="L39" s="957">
        <v>30</v>
      </c>
      <c r="M39" s="957" t="s">
        <v>482</v>
      </c>
      <c r="N39" s="971" t="s">
        <v>1389</v>
      </c>
      <c r="O39" s="653"/>
    </row>
    <row r="40" spans="1:15" hidden="1" x14ac:dyDescent="0.25">
      <c r="A40" s="653"/>
      <c r="B40" s="958">
        <v>1</v>
      </c>
      <c r="C40" s="956">
        <v>15</v>
      </c>
      <c r="D40" s="974">
        <v>368</v>
      </c>
      <c r="E40" s="914"/>
      <c r="F40" s="963"/>
      <c r="G40" s="914"/>
      <c r="H40" s="957" t="s">
        <v>482</v>
      </c>
      <c r="I40" s="914" t="s">
        <v>653</v>
      </c>
      <c r="J40" s="957">
        <v>2.25</v>
      </c>
      <c r="K40" s="914" t="s">
        <v>653</v>
      </c>
      <c r="L40" s="957">
        <v>30</v>
      </c>
      <c r="M40" s="957" t="s">
        <v>482</v>
      </c>
      <c r="N40" s="971" t="s">
        <v>1389</v>
      </c>
      <c r="O40" s="653"/>
    </row>
    <row r="41" spans="1:15" hidden="1" x14ac:dyDescent="0.25">
      <c r="A41" s="653"/>
      <c r="B41" s="958">
        <v>1</v>
      </c>
      <c r="C41" s="956">
        <v>15</v>
      </c>
      <c r="D41" s="974">
        <v>369</v>
      </c>
      <c r="E41" s="914"/>
      <c r="F41" s="963"/>
      <c r="G41" s="914"/>
      <c r="H41" s="957" t="s">
        <v>482</v>
      </c>
      <c r="I41" s="914" t="s">
        <v>653</v>
      </c>
      <c r="J41" s="957">
        <v>2.25</v>
      </c>
      <c r="K41" s="914" t="s">
        <v>653</v>
      </c>
      <c r="L41" s="957">
        <v>30</v>
      </c>
      <c r="M41" s="957" t="s">
        <v>482</v>
      </c>
      <c r="N41" s="971" t="s">
        <v>1389</v>
      </c>
      <c r="O41" s="653"/>
    </row>
    <row r="42" spans="1:15" hidden="1" x14ac:dyDescent="0.25">
      <c r="A42" s="653"/>
      <c r="B42" s="958">
        <v>1</v>
      </c>
      <c r="C42" s="956">
        <v>15</v>
      </c>
      <c r="D42" s="974">
        <v>384</v>
      </c>
      <c r="E42" s="914"/>
      <c r="F42" s="963"/>
      <c r="G42" s="914"/>
      <c r="H42" s="957" t="s">
        <v>482</v>
      </c>
      <c r="I42" s="914" t="s">
        <v>653</v>
      </c>
      <c r="J42" s="957">
        <v>2.25</v>
      </c>
      <c r="K42" s="914" t="s">
        <v>653</v>
      </c>
      <c r="L42" s="957">
        <v>30</v>
      </c>
      <c r="M42" s="957" t="s">
        <v>482</v>
      </c>
      <c r="N42" s="971" t="s">
        <v>1389</v>
      </c>
      <c r="O42" s="653"/>
    </row>
    <row r="43" spans="1:15" hidden="1" x14ac:dyDescent="0.25">
      <c r="A43" s="653"/>
      <c r="B43" s="958">
        <v>1</v>
      </c>
      <c r="C43" s="956">
        <v>15</v>
      </c>
      <c r="D43" s="974">
        <v>381</v>
      </c>
      <c r="E43" s="914"/>
      <c r="F43" s="963"/>
      <c r="G43" s="914"/>
      <c r="H43" s="957" t="s">
        <v>482</v>
      </c>
      <c r="I43" s="914" t="s">
        <v>653</v>
      </c>
      <c r="J43" s="957">
        <v>2.25</v>
      </c>
      <c r="K43" s="914" t="s">
        <v>653</v>
      </c>
      <c r="L43" s="957">
        <v>30</v>
      </c>
      <c r="M43" s="957" t="s">
        <v>482</v>
      </c>
      <c r="N43" s="971" t="s">
        <v>1389</v>
      </c>
      <c r="O43" s="653"/>
    </row>
    <row r="44" spans="1:15" hidden="1" x14ac:dyDescent="0.25">
      <c r="A44" s="653"/>
      <c r="B44" s="958">
        <v>1</v>
      </c>
      <c r="C44" s="956">
        <v>15</v>
      </c>
      <c r="D44" s="974">
        <v>377</v>
      </c>
      <c r="E44" s="914"/>
      <c r="F44" s="963"/>
      <c r="G44" s="914"/>
      <c r="H44" s="957" t="s">
        <v>482</v>
      </c>
      <c r="I44" s="914" t="s">
        <v>653</v>
      </c>
      <c r="J44" s="957">
        <v>2.25</v>
      </c>
      <c r="K44" s="914" t="s">
        <v>653</v>
      </c>
      <c r="L44" s="957">
        <v>30</v>
      </c>
      <c r="M44" s="957" t="s">
        <v>482</v>
      </c>
      <c r="N44" s="971" t="s">
        <v>1389</v>
      </c>
      <c r="O44" s="653"/>
    </row>
    <row r="45" spans="1:15" hidden="1" x14ac:dyDescent="0.25">
      <c r="A45" s="653"/>
      <c r="B45" s="958">
        <v>1</v>
      </c>
      <c r="C45" s="956">
        <v>15</v>
      </c>
      <c r="D45" s="974">
        <v>388</v>
      </c>
      <c r="E45" s="914"/>
      <c r="F45" s="963"/>
      <c r="G45" s="914"/>
      <c r="H45" s="957" t="s">
        <v>482</v>
      </c>
      <c r="I45" s="914" t="s">
        <v>653</v>
      </c>
      <c r="J45" s="957">
        <v>2.25</v>
      </c>
      <c r="K45" s="914" t="s">
        <v>653</v>
      </c>
      <c r="L45" s="957">
        <v>30</v>
      </c>
      <c r="M45" s="957" t="s">
        <v>482</v>
      </c>
      <c r="N45" s="971" t="s">
        <v>1389</v>
      </c>
      <c r="O45" s="653"/>
    </row>
    <row r="46" spans="1:15" hidden="1" x14ac:dyDescent="0.25">
      <c r="A46" s="653"/>
      <c r="B46" s="958">
        <v>1</v>
      </c>
      <c r="C46" s="956">
        <v>16</v>
      </c>
      <c r="D46" s="959"/>
      <c r="E46" s="914"/>
      <c r="F46" s="963"/>
      <c r="G46" s="914"/>
      <c r="H46" s="957" t="s">
        <v>482</v>
      </c>
      <c r="I46" s="914" t="s">
        <v>653</v>
      </c>
      <c r="J46" s="957">
        <v>2.25</v>
      </c>
      <c r="K46" s="914" t="s">
        <v>653</v>
      </c>
      <c r="L46" s="957">
        <v>30</v>
      </c>
      <c r="M46" s="957" t="s">
        <v>482</v>
      </c>
      <c r="N46" s="972" t="s">
        <v>102</v>
      </c>
      <c r="O46" s="653"/>
    </row>
    <row r="47" spans="1:15" ht="26.25" hidden="1" x14ac:dyDescent="0.25">
      <c r="A47" s="653"/>
      <c r="B47" s="955">
        <v>1</v>
      </c>
      <c r="C47" s="956">
        <v>17</v>
      </c>
      <c r="D47" s="957"/>
      <c r="E47" s="914"/>
      <c r="F47" s="963"/>
      <c r="G47" s="914"/>
      <c r="H47" s="957" t="s">
        <v>482</v>
      </c>
      <c r="I47" s="914" t="s">
        <v>653</v>
      </c>
      <c r="J47" s="957">
        <v>2.25</v>
      </c>
      <c r="K47" s="914" t="s">
        <v>653</v>
      </c>
      <c r="L47" s="957">
        <v>30</v>
      </c>
      <c r="M47" s="957" t="s">
        <v>482</v>
      </c>
      <c r="N47" s="972" t="s">
        <v>101</v>
      </c>
      <c r="O47" s="653"/>
    </row>
    <row r="48" spans="1:15" hidden="1" x14ac:dyDescent="0.25">
      <c r="A48" s="653"/>
      <c r="B48" s="955">
        <v>1</v>
      </c>
      <c r="C48" s="956">
        <v>18</v>
      </c>
      <c r="D48" s="960"/>
      <c r="E48" s="914"/>
      <c r="F48" s="963"/>
      <c r="G48" s="951"/>
      <c r="H48" s="957" t="s">
        <v>482</v>
      </c>
      <c r="I48" s="914" t="s">
        <v>653</v>
      </c>
      <c r="J48" s="957">
        <v>2.25</v>
      </c>
      <c r="K48" s="914" t="s">
        <v>653</v>
      </c>
      <c r="L48" s="957">
        <v>30</v>
      </c>
      <c r="M48" s="957" t="s">
        <v>482</v>
      </c>
      <c r="N48" s="972" t="s">
        <v>100</v>
      </c>
      <c r="O48" s="653"/>
    </row>
    <row r="49" spans="1:15" ht="26.25" hidden="1" x14ac:dyDescent="0.25">
      <c r="A49" s="653"/>
      <c r="B49" s="955">
        <v>1</v>
      </c>
      <c r="C49" s="956">
        <v>19</v>
      </c>
      <c r="D49" s="960"/>
      <c r="E49" s="914"/>
      <c r="F49" s="963"/>
      <c r="G49" s="951"/>
      <c r="H49" s="957" t="s">
        <v>482</v>
      </c>
      <c r="I49" s="914" t="s">
        <v>653</v>
      </c>
      <c r="J49" s="957">
        <v>2.25</v>
      </c>
      <c r="K49" s="914" t="s">
        <v>653</v>
      </c>
      <c r="L49" s="957">
        <v>30</v>
      </c>
      <c r="M49" s="957" t="s">
        <v>482</v>
      </c>
      <c r="N49" s="972" t="s">
        <v>104</v>
      </c>
      <c r="O49" s="653"/>
    </row>
    <row r="50" spans="1:15" ht="26.25" hidden="1" x14ac:dyDescent="0.25">
      <c r="A50" s="653"/>
      <c r="B50" s="955">
        <v>1</v>
      </c>
      <c r="C50" s="956">
        <v>20</v>
      </c>
      <c r="D50" s="960"/>
      <c r="E50" s="914"/>
      <c r="F50" s="963"/>
      <c r="G50" s="951"/>
      <c r="H50" s="957" t="s">
        <v>482</v>
      </c>
      <c r="I50" s="914" t="s">
        <v>653</v>
      </c>
      <c r="J50" s="957">
        <v>2.25</v>
      </c>
      <c r="K50" s="914" t="s">
        <v>653</v>
      </c>
      <c r="L50" s="957">
        <v>30</v>
      </c>
      <c r="M50" s="957" t="s">
        <v>482</v>
      </c>
      <c r="N50" s="972" t="s">
        <v>99</v>
      </c>
      <c r="O50" s="653"/>
    </row>
    <row r="51" spans="1:15" hidden="1" x14ac:dyDescent="0.25">
      <c r="A51" s="653"/>
      <c r="B51" s="955">
        <v>1</v>
      </c>
      <c r="C51" s="956">
        <v>21</v>
      </c>
      <c r="D51" s="960"/>
      <c r="E51" s="914"/>
      <c r="F51" s="963"/>
      <c r="G51" s="951"/>
      <c r="H51" s="957" t="s">
        <v>482</v>
      </c>
      <c r="I51" s="914" t="s">
        <v>653</v>
      </c>
      <c r="J51" s="957">
        <v>2.25</v>
      </c>
      <c r="K51" s="914" t="s">
        <v>653</v>
      </c>
      <c r="L51" s="957">
        <v>30</v>
      </c>
      <c r="M51" s="957" t="s">
        <v>482</v>
      </c>
      <c r="N51" s="972" t="s">
        <v>98</v>
      </c>
      <c r="O51" s="653"/>
    </row>
    <row r="52" spans="1:15" hidden="1" x14ac:dyDescent="0.25">
      <c r="A52" s="653"/>
      <c r="B52" s="955">
        <v>1</v>
      </c>
      <c r="C52" s="956">
        <v>22</v>
      </c>
      <c r="D52" s="960"/>
      <c r="E52" s="914"/>
      <c r="F52" s="963"/>
      <c r="G52" s="951"/>
      <c r="H52" s="957" t="s">
        <v>482</v>
      </c>
      <c r="I52" s="914" t="s">
        <v>653</v>
      </c>
      <c r="J52" s="957">
        <v>2.25</v>
      </c>
      <c r="K52" s="914" t="s">
        <v>653</v>
      </c>
      <c r="L52" s="957">
        <v>30</v>
      </c>
      <c r="M52" s="957" t="s">
        <v>482</v>
      </c>
      <c r="N52" s="972" t="s">
        <v>97</v>
      </c>
      <c r="O52" s="653"/>
    </row>
    <row r="53" spans="1:15" hidden="1" x14ac:dyDescent="0.25">
      <c r="A53" s="653"/>
      <c r="B53" s="955">
        <v>1</v>
      </c>
      <c r="C53" s="956">
        <v>23</v>
      </c>
      <c r="D53" s="960"/>
      <c r="E53" s="914"/>
      <c r="F53" s="963"/>
      <c r="G53" s="951"/>
      <c r="H53" s="957" t="s">
        <v>482</v>
      </c>
      <c r="I53" s="914" t="s">
        <v>653</v>
      </c>
      <c r="J53" s="957">
        <v>2.25</v>
      </c>
      <c r="K53" s="914" t="s">
        <v>653</v>
      </c>
      <c r="L53" s="957">
        <v>30</v>
      </c>
      <c r="M53" s="957" t="s">
        <v>482</v>
      </c>
      <c r="N53" s="972" t="s">
        <v>96</v>
      </c>
      <c r="O53" s="653"/>
    </row>
    <row r="54" spans="1:15" hidden="1" x14ac:dyDescent="0.25">
      <c r="A54" s="653"/>
      <c r="B54" s="955">
        <v>1</v>
      </c>
      <c r="C54" s="956">
        <v>24</v>
      </c>
      <c r="D54" s="960"/>
      <c r="E54" s="914"/>
      <c r="F54" s="963"/>
      <c r="G54" s="951"/>
      <c r="H54" s="957" t="s">
        <v>482</v>
      </c>
      <c r="I54" s="914" t="s">
        <v>653</v>
      </c>
      <c r="J54" s="957">
        <v>2.25</v>
      </c>
      <c r="K54" s="914" t="s">
        <v>653</v>
      </c>
      <c r="L54" s="957">
        <v>30</v>
      </c>
      <c r="M54" s="957" t="s">
        <v>482</v>
      </c>
      <c r="N54" s="972" t="s">
        <v>95</v>
      </c>
      <c r="O54" s="653"/>
    </row>
    <row r="55" spans="1:15" hidden="1" x14ac:dyDescent="0.25">
      <c r="A55" s="653"/>
      <c r="B55" s="955">
        <v>1</v>
      </c>
      <c r="C55" s="956">
        <v>25</v>
      </c>
      <c r="D55" s="960"/>
      <c r="E55" s="914" t="s">
        <v>1383</v>
      </c>
      <c r="F55" s="963"/>
      <c r="G55" s="951"/>
      <c r="H55" s="957" t="s">
        <v>482</v>
      </c>
      <c r="I55" s="914" t="s">
        <v>651</v>
      </c>
      <c r="J55" s="979">
        <v>2.25</v>
      </c>
      <c r="K55" s="914" t="s">
        <v>653</v>
      </c>
      <c r="L55" s="957">
        <v>30</v>
      </c>
      <c r="M55" s="957" t="s">
        <v>482</v>
      </c>
      <c r="N55" s="972" t="s">
        <v>94</v>
      </c>
      <c r="O55" s="653"/>
    </row>
    <row r="56" spans="1:15" hidden="1" x14ac:dyDescent="0.25">
      <c r="A56" s="653"/>
      <c r="B56" s="955">
        <v>1</v>
      </c>
      <c r="C56" s="956">
        <v>26</v>
      </c>
      <c r="D56" s="960"/>
      <c r="E56" s="914"/>
      <c r="F56" s="963"/>
      <c r="G56" s="951"/>
      <c r="H56" s="957" t="s">
        <v>482</v>
      </c>
      <c r="I56" s="914" t="s">
        <v>653</v>
      </c>
      <c r="J56" s="957">
        <v>2.25</v>
      </c>
      <c r="K56" s="914" t="s">
        <v>653</v>
      </c>
      <c r="L56" s="957">
        <v>30</v>
      </c>
      <c r="M56" s="957" t="s">
        <v>482</v>
      </c>
      <c r="N56" s="972" t="s">
        <v>93</v>
      </c>
      <c r="O56" s="653"/>
    </row>
    <row r="57" spans="1:15" hidden="1" x14ac:dyDescent="0.25">
      <c r="A57" s="653"/>
      <c r="B57" s="955">
        <v>1</v>
      </c>
      <c r="C57" s="956">
        <v>29</v>
      </c>
      <c r="D57" s="960"/>
      <c r="E57" s="914"/>
      <c r="F57" s="963"/>
      <c r="G57" s="951"/>
      <c r="H57" s="957" t="s">
        <v>482</v>
      </c>
      <c r="I57" s="914" t="s">
        <v>653</v>
      </c>
      <c r="J57" s="957">
        <v>2.25</v>
      </c>
      <c r="K57" s="914" t="s">
        <v>653</v>
      </c>
      <c r="L57" s="957">
        <v>30</v>
      </c>
      <c r="M57" s="957" t="s">
        <v>482</v>
      </c>
      <c r="N57" s="972" t="s">
        <v>92</v>
      </c>
      <c r="O57" s="653"/>
    </row>
    <row r="58" spans="1:15" hidden="1" x14ac:dyDescent="0.25">
      <c r="A58" s="653"/>
      <c r="B58" s="955">
        <v>1</v>
      </c>
      <c r="C58" s="956">
        <v>30</v>
      </c>
      <c r="D58" s="960"/>
      <c r="E58" s="914"/>
      <c r="F58" s="963"/>
      <c r="G58" s="951"/>
      <c r="H58" s="957" t="s">
        <v>482</v>
      </c>
      <c r="I58" s="914" t="s">
        <v>653</v>
      </c>
      <c r="J58" s="957">
        <v>2.25</v>
      </c>
      <c r="K58" s="914" t="s">
        <v>653</v>
      </c>
      <c r="L58" s="957">
        <v>30</v>
      </c>
      <c r="M58" s="957" t="s">
        <v>482</v>
      </c>
      <c r="N58" s="972" t="s">
        <v>91</v>
      </c>
      <c r="O58" s="653"/>
    </row>
    <row r="59" spans="1:15" hidden="1" x14ac:dyDescent="0.25">
      <c r="A59" s="653"/>
      <c r="B59" s="955">
        <v>1</v>
      </c>
      <c r="C59" s="956">
        <v>31</v>
      </c>
      <c r="D59" s="960"/>
      <c r="E59" s="914"/>
      <c r="F59" s="963"/>
      <c r="G59" s="951"/>
      <c r="H59" s="957" t="s">
        <v>482</v>
      </c>
      <c r="I59" s="914" t="s">
        <v>653</v>
      </c>
      <c r="J59" s="957">
        <v>2.25</v>
      </c>
      <c r="K59" s="914" t="s">
        <v>653</v>
      </c>
      <c r="L59" s="957">
        <v>30</v>
      </c>
      <c r="M59" s="957" t="s">
        <v>482</v>
      </c>
      <c r="N59" s="972" t="s">
        <v>90</v>
      </c>
      <c r="O59" s="653"/>
    </row>
    <row r="60" spans="1:15" hidden="1" x14ac:dyDescent="0.25">
      <c r="A60" s="653"/>
      <c r="B60" s="955">
        <v>1</v>
      </c>
      <c r="C60" s="956">
        <v>32</v>
      </c>
      <c r="D60" s="960"/>
      <c r="E60" s="914"/>
      <c r="F60" s="963"/>
      <c r="G60" s="951"/>
      <c r="H60" s="957" t="s">
        <v>482</v>
      </c>
      <c r="I60" s="914" t="s">
        <v>653</v>
      </c>
      <c r="J60" s="957">
        <v>2.25</v>
      </c>
      <c r="K60" s="914" t="s">
        <v>653</v>
      </c>
      <c r="L60" s="957">
        <v>30</v>
      </c>
      <c r="M60" s="957" t="s">
        <v>482</v>
      </c>
      <c r="N60" s="972" t="s">
        <v>89</v>
      </c>
      <c r="O60" s="653"/>
    </row>
    <row r="61" spans="1:15" hidden="1" x14ac:dyDescent="0.25">
      <c r="A61" s="653"/>
      <c r="B61" s="955">
        <v>1</v>
      </c>
      <c r="C61" s="956">
        <v>33</v>
      </c>
      <c r="D61" s="960"/>
      <c r="E61" s="914"/>
      <c r="F61" s="963"/>
      <c r="G61" s="951"/>
      <c r="H61" s="957" t="s">
        <v>482</v>
      </c>
      <c r="I61" s="914" t="s">
        <v>653</v>
      </c>
      <c r="J61" s="957">
        <v>2.25</v>
      </c>
      <c r="K61" s="914" t="s">
        <v>653</v>
      </c>
      <c r="L61" s="957">
        <v>30</v>
      </c>
      <c r="M61" s="957" t="s">
        <v>482</v>
      </c>
      <c r="N61" s="972" t="s">
        <v>88</v>
      </c>
      <c r="O61" s="653"/>
    </row>
    <row r="62" spans="1:15" hidden="1" x14ac:dyDescent="0.25">
      <c r="A62" s="653"/>
      <c r="B62" s="955">
        <v>1</v>
      </c>
      <c r="C62" s="956">
        <v>34</v>
      </c>
      <c r="D62" s="960"/>
      <c r="E62" s="914"/>
      <c r="F62" s="963"/>
      <c r="G62" s="951"/>
      <c r="H62" s="957" t="s">
        <v>482</v>
      </c>
      <c r="I62" s="914" t="s">
        <v>653</v>
      </c>
      <c r="J62" s="957">
        <v>2.25</v>
      </c>
      <c r="K62" s="914" t="s">
        <v>653</v>
      </c>
      <c r="L62" s="957">
        <v>30</v>
      </c>
      <c r="M62" s="957" t="s">
        <v>482</v>
      </c>
      <c r="N62" s="972" t="s">
        <v>87</v>
      </c>
      <c r="O62" s="653"/>
    </row>
    <row r="63" spans="1:15" hidden="1" x14ac:dyDescent="0.25">
      <c r="A63" s="653"/>
      <c r="B63" s="955">
        <v>1</v>
      </c>
      <c r="C63" s="956">
        <v>35</v>
      </c>
      <c r="D63" s="960"/>
      <c r="E63" s="914"/>
      <c r="F63" s="963"/>
      <c r="G63" s="951"/>
      <c r="H63" s="957" t="s">
        <v>482</v>
      </c>
      <c r="I63" s="914" t="s">
        <v>653</v>
      </c>
      <c r="J63" s="957">
        <v>2.25</v>
      </c>
      <c r="K63" s="914" t="s">
        <v>653</v>
      </c>
      <c r="L63" s="957">
        <v>30</v>
      </c>
      <c r="M63" s="957" t="s">
        <v>482</v>
      </c>
      <c r="N63" s="972" t="s">
        <v>86</v>
      </c>
      <c r="O63" s="653"/>
    </row>
    <row r="64" spans="1:15" ht="15.75" hidden="1" thickBot="1" x14ac:dyDescent="0.3">
      <c r="A64" s="653"/>
      <c r="B64" s="908">
        <v>1</v>
      </c>
      <c r="C64" s="961">
        <v>37</v>
      </c>
      <c r="D64" s="962"/>
      <c r="E64" s="900"/>
      <c r="F64" s="964"/>
      <c r="G64" s="952"/>
      <c r="H64" s="911" t="s">
        <v>482</v>
      </c>
      <c r="I64" s="900" t="s">
        <v>653</v>
      </c>
      <c r="J64" s="911">
        <v>2.25</v>
      </c>
      <c r="K64" s="900" t="s">
        <v>653</v>
      </c>
      <c r="L64" s="911">
        <v>30</v>
      </c>
      <c r="M64" s="911" t="s">
        <v>482</v>
      </c>
      <c r="N64" s="973" t="s">
        <v>105</v>
      </c>
      <c r="O64" s="653"/>
    </row>
    <row r="65" spans="1:15" hidden="1" x14ac:dyDescent="0.25">
      <c r="A65" s="653"/>
      <c r="B65" s="944"/>
      <c r="C65" s="944"/>
      <c r="D65" s="944"/>
      <c r="E65" s="944"/>
      <c r="F65" s="944"/>
      <c r="G65" s="944"/>
      <c r="H65" s="944"/>
      <c r="I65" s="944"/>
      <c r="J65" s="944"/>
      <c r="K65" s="944"/>
      <c r="L65" s="944"/>
      <c r="M65" s="944"/>
      <c r="N65" s="944"/>
      <c r="O65" s="653"/>
    </row>
    <row r="66" spans="1:15" x14ac:dyDescent="0.25">
      <c r="A66" s="653"/>
      <c r="B66" s="653"/>
      <c r="C66" s="653"/>
      <c r="D66" s="653"/>
      <c r="E66" s="653"/>
      <c r="F66" s="653"/>
      <c r="G66" s="653"/>
      <c r="H66" s="653"/>
      <c r="I66" s="653"/>
      <c r="J66" s="653"/>
      <c r="K66" s="653"/>
      <c r="L66" s="653"/>
      <c r="M66" s="653"/>
      <c r="N66" s="653"/>
      <c r="O66" s="653"/>
    </row>
    <row r="67" spans="1:15" x14ac:dyDescent="0.25">
      <c r="A67" s="653"/>
      <c r="B67" s="653"/>
      <c r="C67" s="653"/>
      <c r="D67" s="653"/>
      <c r="E67" s="653"/>
      <c r="F67" s="653"/>
      <c r="G67" s="653"/>
      <c r="H67" s="653"/>
      <c r="I67" s="653"/>
      <c r="J67" s="653"/>
      <c r="K67" s="653"/>
      <c r="L67" s="653"/>
      <c r="M67" s="653"/>
      <c r="N67" s="653"/>
      <c r="O67" s="653"/>
    </row>
    <row r="68" spans="1:15" x14ac:dyDescent="0.25">
      <c r="A68" s="653"/>
      <c r="B68" s="653"/>
      <c r="C68" s="653"/>
      <c r="D68" s="653"/>
      <c r="E68" s="653"/>
      <c r="F68" s="653"/>
      <c r="G68" s="653"/>
      <c r="H68" s="653"/>
      <c r="I68" s="653"/>
      <c r="J68" s="653"/>
      <c r="K68" s="653"/>
      <c r="L68" s="653"/>
      <c r="M68" s="653"/>
      <c r="N68" s="653"/>
      <c r="O68" s="653"/>
    </row>
    <row r="69" spans="1:15" x14ac:dyDescent="0.25">
      <c r="A69" s="653"/>
      <c r="B69" s="653"/>
      <c r="C69" s="653"/>
      <c r="D69" s="653"/>
      <c r="E69" s="653"/>
      <c r="F69" s="653"/>
      <c r="G69" s="653"/>
      <c r="H69" s="653"/>
      <c r="I69" s="653"/>
      <c r="J69" s="653"/>
      <c r="K69" s="653"/>
      <c r="L69" s="653"/>
      <c r="M69" s="653"/>
      <c r="N69" s="653"/>
      <c r="O69" s="653"/>
    </row>
    <row r="70" spans="1:15" x14ac:dyDescent="0.25">
      <c r="A70" s="653"/>
      <c r="B70" s="653"/>
      <c r="C70" s="653"/>
      <c r="D70" s="653"/>
      <c r="E70" s="653"/>
      <c r="F70" s="653"/>
      <c r="G70" s="653"/>
      <c r="H70" s="653"/>
      <c r="I70" s="653"/>
      <c r="J70" s="653"/>
      <c r="K70" s="653"/>
      <c r="L70" s="653"/>
      <c r="M70" s="653"/>
      <c r="N70" s="653"/>
      <c r="O70" s="653"/>
    </row>
    <row r="71" spans="1:15" x14ac:dyDescent="0.25">
      <c r="A71" s="653"/>
      <c r="B71" s="653"/>
      <c r="C71" s="653"/>
      <c r="D71" s="653"/>
      <c r="E71" s="653"/>
      <c r="F71" s="653"/>
      <c r="G71" s="653"/>
      <c r="H71" s="653"/>
      <c r="I71" s="653"/>
      <c r="J71" s="653"/>
      <c r="K71" s="653"/>
      <c r="L71" s="653"/>
      <c r="M71" s="653"/>
      <c r="N71" s="653"/>
      <c r="O71" s="653"/>
    </row>
    <row r="72" spans="1:15" x14ac:dyDescent="0.25">
      <c r="A72" s="653"/>
      <c r="B72" s="653"/>
      <c r="C72" s="653"/>
      <c r="D72" s="653"/>
      <c r="E72" s="653"/>
      <c r="F72" s="653"/>
      <c r="G72" s="653"/>
      <c r="H72" s="653"/>
      <c r="I72" s="653"/>
      <c r="J72" s="653"/>
      <c r="K72" s="653"/>
      <c r="L72" s="653"/>
      <c r="M72" s="653"/>
      <c r="N72" s="653"/>
      <c r="O72" s="653"/>
    </row>
    <row r="73" spans="1:15" x14ac:dyDescent="0.25">
      <c r="A73" s="653"/>
      <c r="B73" s="653"/>
      <c r="C73" s="653"/>
      <c r="D73" s="653"/>
      <c r="E73" s="653"/>
      <c r="F73" s="653"/>
      <c r="G73" s="653"/>
      <c r="H73" s="653"/>
      <c r="I73" s="653"/>
      <c r="J73" s="653"/>
      <c r="K73" s="653"/>
      <c r="L73" s="653"/>
      <c r="M73" s="653"/>
      <c r="N73" s="653"/>
      <c r="O73" s="653"/>
    </row>
    <row r="74" spans="1:15" x14ac:dyDescent="0.25">
      <c r="A74" s="653"/>
      <c r="B74" s="653"/>
      <c r="C74" s="653"/>
      <c r="D74" s="653"/>
      <c r="E74" s="653"/>
      <c r="F74" s="653"/>
      <c r="G74" s="653"/>
      <c r="H74" s="653"/>
      <c r="I74" s="653"/>
      <c r="J74" s="653"/>
      <c r="K74" s="653"/>
      <c r="L74" s="653"/>
      <c r="M74" s="653"/>
      <c r="N74" s="653"/>
      <c r="O74" s="653"/>
    </row>
    <row r="75" spans="1:15" x14ac:dyDescent="0.25">
      <c r="A75" s="653"/>
      <c r="B75" s="653"/>
      <c r="C75" s="653"/>
      <c r="D75" s="653"/>
      <c r="E75" s="653"/>
      <c r="F75" s="653"/>
      <c r="G75" s="653"/>
      <c r="H75" s="653"/>
      <c r="I75" s="653"/>
      <c r="J75" s="653"/>
      <c r="K75" s="653"/>
      <c r="L75" s="653"/>
      <c r="M75" s="653"/>
      <c r="N75" s="653"/>
      <c r="O75" s="653"/>
    </row>
    <row r="76" spans="1:15" x14ac:dyDescent="0.25">
      <c r="A76" s="653"/>
      <c r="B76" s="653"/>
      <c r="C76" s="653"/>
      <c r="D76" s="653"/>
      <c r="E76" s="653"/>
      <c r="F76" s="653"/>
      <c r="G76" s="653"/>
      <c r="H76" s="653"/>
      <c r="I76" s="653"/>
      <c r="J76" s="653"/>
      <c r="K76" s="653"/>
      <c r="L76" s="653"/>
      <c r="M76" s="653"/>
      <c r="N76" s="653"/>
      <c r="O76" s="653"/>
    </row>
    <row r="77" spans="1:15" x14ac:dyDescent="0.25">
      <c r="A77" s="653"/>
      <c r="B77" s="653"/>
      <c r="C77" s="653"/>
      <c r="D77" s="653"/>
      <c r="E77" s="653"/>
      <c r="F77" s="653"/>
      <c r="G77" s="653"/>
      <c r="H77" s="653"/>
      <c r="I77" s="653"/>
      <c r="J77" s="653"/>
      <c r="K77" s="653"/>
      <c r="L77" s="653"/>
      <c r="M77" s="653"/>
      <c r="N77" s="653"/>
      <c r="O77" s="653"/>
    </row>
    <row r="78" spans="1:15" x14ac:dyDescent="0.25">
      <c r="A78" s="653"/>
      <c r="B78" s="653"/>
      <c r="C78" s="653"/>
      <c r="D78" s="653"/>
      <c r="E78" s="653"/>
      <c r="F78" s="653"/>
      <c r="G78" s="653"/>
      <c r="H78" s="653"/>
      <c r="I78" s="653"/>
      <c r="J78" s="653"/>
      <c r="K78" s="653"/>
      <c r="L78" s="653"/>
      <c r="M78" s="653"/>
      <c r="N78" s="653"/>
      <c r="O78" s="653"/>
    </row>
    <row r="79" spans="1:15" x14ac:dyDescent="0.25">
      <c r="A79" s="653"/>
      <c r="B79" s="653"/>
      <c r="C79" s="653"/>
      <c r="D79" s="653"/>
      <c r="E79" s="653"/>
      <c r="F79" s="653"/>
      <c r="G79" s="653"/>
      <c r="H79" s="653"/>
      <c r="I79" s="653"/>
      <c r="J79" s="653"/>
      <c r="K79" s="653"/>
      <c r="L79" s="653"/>
      <c r="M79" s="653"/>
      <c r="N79" s="653"/>
      <c r="O79" s="653"/>
    </row>
    <row r="80" spans="1:15" x14ac:dyDescent="0.25">
      <c r="A80" s="653"/>
      <c r="B80" s="653"/>
      <c r="C80" s="653"/>
      <c r="D80" s="653"/>
      <c r="E80" s="653"/>
      <c r="F80" s="653"/>
      <c r="G80" s="653"/>
      <c r="H80" s="653"/>
      <c r="I80" s="653"/>
      <c r="J80" s="653"/>
      <c r="K80" s="653"/>
      <c r="L80" s="653"/>
      <c r="M80" s="653"/>
      <c r="N80" s="653"/>
      <c r="O80" s="653"/>
    </row>
    <row r="81" spans="1:15" x14ac:dyDescent="0.25">
      <c r="A81" s="653"/>
      <c r="B81" s="653"/>
      <c r="C81" s="653"/>
      <c r="D81" s="653"/>
      <c r="E81" s="653"/>
      <c r="F81" s="653"/>
      <c r="G81" s="653"/>
      <c r="H81" s="653"/>
      <c r="I81" s="653"/>
      <c r="J81" s="653"/>
      <c r="K81" s="653"/>
      <c r="L81" s="653"/>
      <c r="M81" s="653"/>
      <c r="N81" s="653"/>
      <c r="O81" s="653"/>
    </row>
    <row r="82" spans="1:15" x14ac:dyDescent="0.25">
      <c r="A82" s="653"/>
      <c r="B82" s="653"/>
      <c r="C82" s="653"/>
      <c r="D82" s="653"/>
      <c r="E82" s="653"/>
      <c r="F82" s="653"/>
      <c r="G82" s="653"/>
      <c r="H82" s="653"/>
      <c r="I82" s="653"/>
      <c r="J82" s="653"/>
      <c r="K82" s="653"/>
      <c r="L82" s="653"/>
      <c r="M82" s="653"/>
      <c r="N82" s="653"/>
      <c r="O82" s="653"/>
    </row>
    <row r="83" spans="1:15" x14ac:dyDescent="0.25">
      <c r="A83" s="653"/>
      <c r="B83" s="653"/>
      <c r="C83" s="653"/>
      <c r="D83" s="653"/>
      <c r="E83" s="653"/>
      <c r="F83" s="653"/>
      <c r="G83" s="653"/>
      <c r="H83" s="653"/>
      <c r="I83" s="653"/>
      <c r="J83" s="653"/>
      <c r="K83" s="653"/>
      <c r="L83" s="653"/>
      <c r="M83" s="653"/>
      <c r="N83" s="653"/>
      <c r="O83" s="653"/>
    </row>
    <row r="84" spans="1:15" x14ac:dyDescent="0.25">
      <c r="A84" s="653"/>
      <c r="B84" s="653"/>
      <c r="C84" s="653"/>
      <c r="D84" s="653"/>
      <c r="E84" s="653"/>
      <c r="F84" s="653"/>
      <c r="G84" s="653"/>
      <c r="H84" s="653"/>
      <c r="I84" s="653"/>
      <c r="J84" s="653"/>
      <c r="K84" s="653"/>
      <c r="L84" s="653"/>
      <c r="M84" s="653"/>
      <c r="N84" s="653"/>
      <c r="O84" s="653"/>
    </row>
    <row r="85" spans="1:15" x14ac:dyDescent="0.25">
      <c r="A85" s="653"/>
      <c r="B85" s="653"/>
      <c r="C85" s="653"/>
      <c r="D85" s="653"/>
      <c r="E85" s="653"/>
      <c r="F85" s="653"/>
      <c r="G85" s="653"/>
      <c r="H85" s="653"/>
      <c r="I85" s="653"/>
      <c r="J85" s="653"/>
      <c r="K85" s="653"/>
      <c r="L85" s="653"/>
      <c r="M85" s="653"/>
      <c r="N85" s="653"/>
      <c r="O85" s="653"/>
    </row>
    <row r="86" spans="1:15" x14ac:dyDescent="0.25">
      <c r="A86" s="653"/>
      <c r="B86" s="653"/>
      <c r="C86" s="653"/>
      <c r="D86" s="653"/>
      <c r="E86" s="653"/>
      <c r="F86" s="653"/>
      <c r="G86" s="653"/>
      <c r="H86" s="653"/>
      <c r="I86" s="653"/>
      <c r="J86" s="653"/>
      <c r="K86" s="653"/>
      <c r="L86" s="653"/>
      <c r="M86" s="653"/>
      <c r="N86" s="653"/>
      <c r="O86" s="653"/>
    </row>
    <row r="87" spans="1:15" x14ac:dyDescent="0.25">
      <c r="A87" s="653"/>
      <c r="B87" s="653"/>
      <c r="C87" s="653"/>
      <c r="D87" s="653"/>
      <c r="E87" s="653"/>
      <c r="F87" s="653"/>
      <c r="G87" s="653"/>
      <c r="H87" s="653"/>
      <c r="I87" s="653"/>
      <c r="J87" s="653"/>
      <c r="K87" s="653"/>
      <c r="L87" s="653"/>
      <c r="M87" s="653"/>
      <c r="N87" s="653"/>
      <c r="O87" s="653"/>
    </row>
    <row r="88" spans="1:15" x14ac:dyDescent="0.25">
      <c r="A88" s="653"/>
      <c r="B88" s="653"/>
      <c r="C88" s="653"/>
      <c r="D88" s="653"/>
      <c r="E88" s="653"/>
      <c r="F88" s="653"/>
      <c r="G88" s="653"/>
      <c r="H88" s="653"/>
      <c r="I88" s="653"/>
      <c r="J88" s="653"/>
      <c r="K88" s="653"/>
      <c r="L88" s="653"/>
      <c r="M88" s="653"/>
      <c r="N88" s="653"/>
      <c r="O88" s="653"/>
    </row>
    <row r="89" spans="1:15" x14ac:dyDescent="0.25">
      <c r="A89" s="653"/>
      <c r="B89" s="653"/>
      <c r="C89" s="653"/>
      <c r="D89" s="653"/>
      <c r="E89" s="653"/>
      <c r="F89" s="653"/>
      <c r="G89" s="653"/>
      <c r="H89" s="653"/>
      <c r="I89" s="653"/>
      <c r="J89" s="653"/>
      <c r="K89" s="653"/>
      <c r="L89" s="653"/>
      <c r="M89" s="653"/>
      <c r="N89" s="653"/>
      <c r="O89" s="653"/>
    </row>
    <row r="90" spans="1:15" x14ac:dyDescent="0.25">
      <c r="A90" s="653"/>
      <c r="B90" s="653"/>
      <c r="C90" s="653"/>
      <c r="D90" s="653"/>
      <c r="E90" s="653"/>
      <c r="F90" s="653"/>
      <c r="G90" s="653"/>
      <c r="H90" s="653"/>
      <c r="I90" s="653"/>
      <c r="J90" s="653"/>
      <c r="K90" s="653"/>
      <c r="L90" s="653"/>
      <c r="M90" s="653"/>
      <c r="N90" s="653"/>
    </row>
    <row r="91" spans="1:15" x14ac:dyDescent="0.25">
      <c r="A91" s="653"/>
      <c r="B91" s="653"/>
      <c r="C91" s="653"/>
      <c r="D91" s="653"/>
      <c r="E91" s="653"/>
      <c r="F91" s="653"/>
      <c r="G91" s="653"/>
      <c r="H91" s="653"/>
      <c r="I91" s="653"/>
      <c r="J91" s="653"/>
      <c r="K91" s="653"/>
      <c r="L91" s="653"/>
      <c r="M91" s="653"/>
      <c r="N91" s="653"/>
    </row>
    <row r="92" spans="1:15" x14ac:dyDescent="0.25">
      <c r="A92" s="653"/>
      <c r="B92" s="653"/>
      <c r="C92" s="653"/>
      <c r="D92" s="653"/>
      <c r="E92" s="653"/>
      <c r="F92" s="653"/>
      <c r="G92" s="653"/>
      <c r="H92" s="653"/>
      <c r="I92" s="653"/>
      <c r="J92" s="653"/>
      <c r="K92" s="653"/>
      <c r="L92" s="653"/>
      <c r="M92" s="653"/>
      <c r="N92" s="653"/>
    </row>
    <row r="93" spans="1:15" x14ac:dyDescent="0.25">
      <c r="A93" s="653"/>
      <c r="B93" s="653"/>
      <c r="C93" s="653"/>
      <c r="D93" s="653"/>
      <c r="E93" s="653"/>
      <c r="F93" s="653"/>
      <c r="G93" s="653"/>
      <c r="H93" s="653"/>
      <c r="I93" s="653"/>
      <c r="J93" s="653"/>
      <c r="K93" s="653"/>
      <c r="L93" s="653"/>
      <c r="M93" s="653"/>
      <c r="N93" s="653"/>
    </row>
    <row r="94" spans="1:15" x14ac:dyDescent="0.25">
      <c r="A94" s="653"/>
      <c r="B94" s="653"/>
      <c r="C94" s="653"/>
      <c r="D94" s="653"/>
      <c r="E94" s="653"/>
      <c r="F94" s="653"/>
      <c r="G94" s="653"/>
      <c r="H94" s="653"/>
      <c r="I94" s="653"/>
      <c r="J94" s="653"/>
      <c r="K94" s="653"/>
      <c r="L94" s="653"/>
      <c r="M94" s="653"/>
      <c r="N94" s="653"/>
    </row>
    <row r="95" spans="1:15" x14ac:dyDescent="0.25">
      <c r="A95" s="653"/>
      <c r="B95" s="653"/>
      <c r="C95" s="653"/>
      <c r="D95" s="653"/>
      <c r="E95" s="653"/>
      <c r="F95" s="653"/>
      <c r="G95" s="653"/>
      <c r="H95" s="653"/>
      <c r="I95" s="653"/>
      <c r="J95" s="653"/>
      <c r="K95" s="653"/>
      <c r="L95" s="653"/>
      <c r="M95" s="653"/>
      <c r="N95" s="653"/>
    </row>
    <row r="96" spans="1:15" x14ac:dyDescent="0.25">
      <c r="A96" s="653"/>
      <c r="B96" s="653"/>
      <c r="C96" s="653"/>
      <c r="D96" s="653"/>
      <c r="E96" s="653"/>
      <c r="F96" s="653"/>
      <c r="G96" s="653"/>
      <c r="H96" s="653"/>
      <c r="I96" s="653"/>
      <c r="J96" s="653"/>
      <c r="K96" s="653"/>
      <c r="L96" s="653"/>
      <c r="M96" s="653"/>
      <c r="N96" s="653"/>
    </row>
    <row r="97" spans="1:14" x14ac:dyDescent="0.25">
      <c r="A97" s="653"/>
      <c r="B97" s="653"/>
      <c r="C97" s="653"/>
      <c r="D97" s="653"/>
      <c r="E97" s="653"/>
      <c r="F97" s="653"/>
      <c r="G97" s="653"/>
      <c r="H97" s="653"/>
      <c r="I97" s="653"/>
      <c r="J97" s="653"/>
      <c r="K97" s="653"/>
      <c r="L97" s="653"/>
      <c r="M97" s="653"/>
      <c r="N97" s="653"/>
    </row>
    <row r="98" spans="1:14" x14ac:dyDescent="0.25">
      <c r="A98" s="653"/>
      <c r="B98" s="653"/>
      <c r="C98" s="653"/>
      <c r="D98" s="653"/>
      <c r="E98" s="653"/>
      <c r="F98" s="653"/>
      <c r="G98" s="653"/>
      <c r="H98" s="653"/>
      <c r="I98" s="653"/>
      <c r="J98" s="653"/>
      <c r="K98" s="653"/>
      <c r="L98" s="653"/>
      <c r="M98" s="653"/>
      <c r="N98" s="653"/>
    </row>
    <row r="99" spans="1:14" x14ac:dyDescent="0.25">
      <c r="A99" s="653"/>
      <c r="B99" s="653"/>
      <c r="C99" s="653"/>
      <c r="D99" s="653"/>
      <c r="E99" s="653"/>
      <c r="F99" s="653"/>
      <c r="G99" s="653"/>
      <c r="H99" s="653"/>
      <c r="I99" s="653"/>
      <c r="J99" s="653"/>
      <c r="K99" s="653"/>
      <c r="L99" s="653"/>
      <c r="M99" s="653"/>
      <c r="N99" s="653"/>
    </row>
    <row r="100" spans="1:14" x14ac:dyDescent="0.25">
      <c r="A100" s="653"/>
      <c r="B100" s="653"/>
      <c r="C100" s="653"/>
      <c r="D100" s="653"/>
      <c r="E100" s="653"/>
      <c r="F100" s="653"/>
      <c r="G100" s="653"/>
      <c r="H100" s="653"/>
      <c r="I100" s="653"/>
      <c r="J100" s="653"/>
      <c r="K100" s="653"/>
      <c r="L100" s="653"/>
      <c r="M100" s="653"/>
      <c r="N100" s="653"/>
    </row>
    <row r="101" spans="1:14" x14ac:dyDescent="0.25">
      <c r="A101" s="653"/>
      <c r="B101" s="653"/>
      <c r="C101" s="653"/>
      <c r="D101" s="653"/>
      <c r="E101" s="653"/>
      <c r="F101" s="653"/>
      <c r="G101" s="653"/>
      <c r="H101" s="653"/>
      <c r="I101" s="653"/>
      <c r="J101" s="653"/>
      <c r="K101" s="653"/>
      <c r="L101" s="653"/>
      <c r="M101" s="653"/>
      <c r="N101" s="653"/>
    </row>
    <row r="102" spans="1:14" x14ac:dyDescent="0.25">
      <c r="A102" s="653"/>
      <c r="B102" s="653"/>
      <c r="C102" s="653"/>
      <c r="D102" s="653"/>
      <c r="E102" s="653"/>
      <c r="F102" s="653"/>
      <c r="G102" s="653"/>
      <c r="H102" s="653"/>
      <c r="I102" s="653"/>
      <c r="J102" s="653"/>
      <c r="K102" s="653"/>
      <c r="L102" s="653"/>
      <c r="M102" s="653"/>
      <c r="N102" s="653"/>
    </row>
    <row r="103" spans="1:14" x14ac:dyDescent="0.25">
      <c r="A103" s="653"/>
      <c r="B103" s="653"/>
      <c r="C103" s="653"/>
      <c r="D103" s="653"/>
      <c r="E103" s="653"/>
      <c r="F103" s="653"/>
      <c r="G103" s="653"/>
      <c r="H103" s="653"/>
      <c r="I103" s="653"/>
      <c r="J103" s="653"/>
      <c r="K103" s="653"/>
      <c r="L103" s="653"/>
      <c r="M103" s="653"/>
      <c r="N103" s="653"/>
    </row>
    <row r="104" spans="1:14" x14ac:dyDescent="0.25">
      <c r="A104" s="653"/>
      <c r="B104" s="653"/>
      <c r="C104" s="653"/>
      <c r="D104" s="653"/>
      <c r="E104" s="653"/>
      <c r="F104" s="653"/>
      <c r="G104" s="653"/>
      <c r="H104" s="653"/>
      <c r="I104" s="653"/>
      <c r="J104" s="653"/>
      <c r="K104" s="653"/>
      <c r="L104" s="653"/>
      <c r="M104" s="653"/>
      <c r="N104" s="653"/>
    </row>
    <row r="105" spans="1:14" x14ac:dyDescent="0.25">
      <c r="A105" s="653"/>
      <c r="B105" s="653"/>
      <c r="C105" s="653"/>
      <c r="D105" s="653"/>
      <c r="E105" s="653"/>
      <c r="F105" s="653"/>
      <c r="G105" s="653"/>
      <c r="H105" s="653"/>
      <c r="I105" s="653"/>
      <c r="J105" s="653"/>
      <c r="K105" s="653"/>
      <c r="L105" s="653"/>
      <c r="M105" s="653"/>
      <c r="N105" s="653"/>
    </row>
    <row r="106" spans="1:14" x14ac:dyDescent="0.25">
      <c r="A106" s="653"/>
      <c r="B106" s="653"/>
      <c r="C106" s="653"/>
      <c r="D106" s="653"/>
      <c r="E106" s="653"/>
      <c r="F106" s="653"/>
      <c r="G106" s="653"/>
      <c r="H106" s="653"/>
      <c r="I106" s="653"/>
      <c r="J106" s="653"/>
      <c r="K106" s="653"/>
      <c r="L106" s="653"/>
      <c r="M106" s="653"/>
      <c r="N106" s="653"/>
    </row>
    <row r="107" spans="1:14" x14ac:dyDescent="0.25">
      <c r="A107" s="653"/>
      <c r="B107" s="653"/>
      <c r="C107" s="653"/>
      <c r="D107" s="653"/>
      <c r="E107" s="653"/>
      <c r="F107" s="653"/>
      <c r="G107" s="653"/>
      <c r="H107" s="653"/>
      <c r="I107" s="653"/>
      <c r="J107" s="653"/>
      <c r="K107" s="653"/>
      <c r="L107" s="653"/>
      <c r="M107" s="653"/>
      <c r="N107" s="653"/>
    </row>
    <row r="108" spans="1:14" x14ac:dyDescent="0.25">
      <c r="A108" s="653"/>
      <c r="B108" s="653"/>
      <c r="C108" s="653"/>
      <c r="D108" s="653"/>
      <c r="E108" s="653"/>
      <c r="F108" s="653"/>
      <c r="G108" s="653"/>
      <c r="H108" s="653"/>
      <c r="I108" s="653"/>
      <c r="J108" s="653"/>
      <c r="K108" s="653"/>
      <c r="L108" s="653"/>
      <c r="M108" s="653"/>
      <c r="N108" s="653"/>
    </row>
    <row r="109" spans="1:14" x14ac:dyDescent="0.25">
      <c r="A109" s="653"/>
      <c r="B109" s="653"/>
      <c r="C109" s="653"/>
      <c r="D109" s="653"/>
      <c r="E109" s="653"/>
      <c r="F109" s="653"/>
      <c r="G109" s="653"/>
      <c r="H109" s="653"/>
      <c r="I109" s="653"/>
      <c r="J109" s="653"/>
      <c r="K109" s="653"/>
      <c r="L109" s="653"/>
      <c r="M109" s="653"/>
      <c r="N109" s="653"/>
    </row>
    <row r="110" spans="1:14" x14ac:dyDescent="0.25">
      <c r="A110" s="653"/>
      <c r="B110" s="653"/>
      <c r="C110" s="653"/>
      <c r="D110" s="653"/>
      <c r="E110" s="653"/>
      <c r="F110" s="653"/>
      <c r="G110" s="653"/>
      <c r="H110" s="653"/>
      <c r="I110" s="653"/>
      <c r="J110" s="653"/>
      <c r="K110" s="653"/>
      <c r="L110" s="653"/>
      <c r="M110" s="653"/>
      <c r="N110" s="653"/>
    </row>
    <row r="111" spans="1:14" x14ac:dyDescent="0.25">
      <c r="A111" s="653"/>
      <c r="B111" s="653"/>
      <c r="C111" s="653"/>
      <c r="D111" s="653"/>
      <c r="E111" s="653"/>
      <c r="F111" s="653"/>
      <c r="G111" s="653"/>
      <c r="H111" s="653"/>
      <c r="I111" s="653"/>
      <c r="J111" s="653"/>
      <c r="K111" s="653"/>
      <c r="L111" s="653"/>
      <c r="M111" s="653"/>
      <c r="N111" s="653"/>
    </row>
    <row r="112" spans="1:14" x14ac:dyDescent="0.25">
      <c r="A112" s="653"/>
      <c r="B112" s="653"/>
      <c r="C112" s="653"/>
      <c r="D112" s="653"/>
      <c r="E112" s="653"/>
      <c r="F112" s="653"/>
      <c r="G112" s="653"/>
      <c r="H112" s="653"/>
      <c r="I112" s="653"/>
      <c r="J112" s="653"/>
      <c r="K112" s="653"/>
      <c r="L112" s="653"/>
      <c r="M112" s="653"/>
      <c r="N112" s="653"/>
    </row>
    <row r="113" spans="1:14" x14ac:dyDescent="0.25">
      <c r="A113" s="653"/>
      <c r="B113" s="653"/>
      <c r="C113" s="653"/>
      <c r="D113" s="653"/>
      <c r="E113" s="653"/>
      <c r="F113" s="653"/>
      <c r="G113" s="653"/>
      <c r="H113" s="653"/>
      <c r="I113" s="653"/>
      <c r="J113" s="653"/>
      <c r="K113" s="653"/>
      <c r="L113" s="653"/>
      <c r="M113" s="653"/>
      <c r="N113" s="653"/>
    </row>
    <row r="114" spans="1:14" x14ac:dyDescent="0.25">
      <c r="A114" s="653"/>
      <c r="B114" s="653"/>
      <c r="C114" s="653"/>
      <c r="D114" s="653"/>
      <c r="E114" s="653"/>
      <c r="F114" s="653"/>
      <c r="G114" s="653"/>
      <c r="H114" s="653"/>
      <c r="I114" s="653"/>
      <c r="J114" s="653"/>
      <c r="K114" s="653"/>
      <c r="L114" s="653"/>
      <c r="M114" s="653"/>
      <c r="N114" s="653"/>
    </row>
    <row r="115" spans="1:14" x14ac:dyDescent="0.25">
      <c r="A115" s="653"/>
      <c r="B115" s="653"/>
      <c r="C115" s="653"/>
      <c r="D115" s="653"/>
      <c r="E115" s="653"/>
      <c r="F115" s="653"/>
      <c r="G115" s="653"/>
      <c r="H115" s="653"/>
      <c r="I115" s="653"/>
      <c r="J115" s="653"/>
      <c r="K115" s="653"/>
      <c r="L115" s="653"/>
      <c r="M115" s="653"/>
      <c r="N115" s="653"/>
    </row>
    <row r="116" spans="1:14" x14ac:dyDescent="0.25">
      <c r="A116" s="653"/>
      <c r="B116" s="653"/>
      <c r="C116" s="653"/>
      <c r="D116" s="653"/>
      <c r="E116" s="653"/>
      <c r="F116" s="653"/>
      <c r="G116" s="653"/>
      <c r="H116" s="653"/>
      <c r="I116" s="653"/>
      <c r="J116" s="653"/>
      <c r="K116" s="653"/>
      <c r="L116" s="653"/>
      <c r="M116" s="653"/>
      <c r="N116" s="653"/>
    </row>
    <row r="117" spans="1:14" x14ac:dyDescent="0.25">
      <c r="A117" s="653"/>
      <c r="B117" s="653"/>
      <c r="C117" s="653"/>
      <c r="D117" s="653"/>
      <c r="E117" s="653"/>
      <c r="F117" s="653"/>
      <c r="G117" s="653"/>
      <c r="H117" s="653"/>
      <c r="I117" s="653"/>
      <c r="J117" s="653"/>
      <c r="K117" s="653"/>
      <c r="L117" s="653"/>
      <c r="M117" s="653"/>
      <c r="N117" s="653"/>
    </row>
    <row r="118" spans="1:14" x14ac:dyDescent="0.25">
      <c r="A118" s="653"/>
      <c r="B118" s="653"/>
      <c r="C118" s="653"/>
      <c r="D118" s="653"/>
      <c r="E118" s="653"/>
      <c r="F118" s="653"/>
      <c r="G118" s="653"/>
      <c r="H118" s="653"/>
      <c r="I118" s="653"/>
      <c r="J118" s="653"/>
      <c r="K118" s="653"/>
      <c r="L118" s="653"/>
      <c r="M118" s="653"/>
      <c r="N118" s="653"/>
    </row>
    <row r="119" spans="1:14" x14ac:dyDescent="0.25">
      <c r="A119" s="653"/>
      <c r="B119" s="653"/>
      <c r="C119" s="653"/>
      <c r="D119" s="653"/>
      <c r="E119" s="653"/>
      <c r="F119" s="653"/>
      <c r="G119" s="653"/>
      <c r="H119" s="653"/>
      <c r="I119" s="653"/>
      <c r="J119" s="653"/>
      <c r="K119" s="653"/>
      <c r="L119" s="653"/>
      <c r="M119" s="653"/>
      <c r="N119" s="653"/>
    </row>
    <row r="120" spans="1:14" x14ac:dyDescent="0.25">
      <c r="A120" s="653"/>
      <c r="B120" s="653"/>
      <c r="C120" s="653"/>
      <c r="D120" s="653"/>
      <c r="E120" s="653"/>
      <c r="F120" s="653"/>
      <c r="G120" s="653"/>
      <c r="H120" s="653"/>
      <c r="I120" s="653"/>
      <c r="J120" s="653"/>
      <c r="K120" s="653"/>
      <c r="L120" s="653"/>
      <c r="M120" s="653"/>
      <c r="N120" s="653"/>
    </row>
    <row r="121" spans="1:14" x14ac:dyDescent="0.25">
      <c r="A121" s="653"/>
      <c r="B121" s="653"/>
      <c r="C121" s="653"/>
      <c r="D121" s="653"/>
      <c r="E121" s="653"/>
      <c r="F121" s="653"/>
      <c r="G121" s="653"/>
      <c r="H121" s="653"/>
      <c r="I121" s="653"/>
      <c r="J121" s="653"/>
      <c r="K121" s="653"/>
      <c r="L121" s="653"/>
      <c r="M121" s="653"/>
      <c r="N121" s="653"/>
    </row>
    <row r="122" spans="1:14" x14ac:dyDescent="0.25">
      <c r="A122" s="653"/>
      <c r="B122" s="653"/>
      <c r="C122" s="653"/>
      <c r="D122" s="653"/>
      <c r="E122" s="653"/>
      <c r="F122" s="653"/>
      <c r="G122" s="653"/>
      <c r="H122" s="653"/>
      <c r="I122" s="653"/>
      <c r="J122" s="653"/>
      <c r="K122" s="653"/>
      <c r="L122" s="653"/>
      <c r="M122" s="653"/>
      <c r="N122" s="653"/>
    </row>
    <row r="123" spans="1:14" x14ac:dyDescent="0.25">
      <c r="A123" s="653"/>
      <c r="B123" s="653"/>
      <c r="C123" s="653"/>
      <c r="D123" s="653"/>
      <c r="E123" s="653"/>
      <c r="F123" s="653"/>
      <c r="G123" s="653"/>
      <c r="H123" s="653"/>
      <c r="I123" s="653"/>
      <c r="J123" s="653"/>
      <c r="K123" s="653"/>
      <c r="L123" s="653"/>
      <c r="M123" s="653"/>
      <c r="N123" s="653"/>
    </row>
    <row r="124" spans="1:14" x14ac:dyDescent="0.25">
      <c r="A124" s="653"/>
      <c r="B124" s="653"/>
      <c r="C124" s="653"/>
      <c r="D124" s="653"/>
      <c r="E124" s="653"/>
      <c r="F124" s="653"/>
      <c r="G124" s="653"/>
      <c r="H124" s="653"/>
      <c r="I124" s="653"/>
      <c r="J124" s="653"/>
      <c r="K124" s="653"/>
      <c r="L124" s="653"/>
      <c r="M124" s="653"/>
      <c r="N124" s="653"/>
    </row>
    <row r="125" spans="1:14" x14ac:dyDescent="0.25">
      <c r="A125" s="653"/>
      <c r="B125" s="653"/>
      <c r="C125" s="653"/>
      <c r="D125" s="653"/>
      <c r="E125" s="653"/>
      <c r="F125" s="653"/>
      <c r="G125" s="653"/>
      <c r="H125" s="653"/>
      <c r="I125" s="653"/>
      <c r="J125" s="653"/>
      <c r="K125" s="653"/>
      <c r="L125" s="653"/>
      <c r="M125" s="653"/>
      <c r="N125" s="653"/>
    </row>
    <row r="126" spans="1:14" x14ac:dyDescent="0.25">
      <c r="A126" s="653"/>
      <c r="B126" s="653"/>
      <c r="C126" s="653"/>
      <c r="D126" s="653"/>
      <c r="E126" s="653"/>
      <c r="F126" s="653"/>
      <c r="G126" s="653"/>
      <c r="H126" s="653"/>
      <c r="I126" s="653"/>
      <c r="J126" s="653"/>
      <c r="K126" s="653"/>
      <c r="L126" s="653"/>
      <c r="M126" s="653"/>
      <c r="N126" s="653"/>
    </row>
    <row r="127" spans="1:14" x14ac:dyDescent="0.25">
      <c r="A127" s="653"/>
      <c r="B127" s="653"/>
      <c r="C127" s="653"/>
      <c r="D127" s="653"/>
      <c r="E127" s="653"/>
      <c r="F127" s="653"/>
      <c r="G127" s="653"/>
      <c r="H127" s="653"/>
      <c r="I127" s="653"/>
      <c r="J127" s="653"/>
      <c r="K127" s="653"/>
      <c r="L127" s="653"/>
      <c r="M127" s="653"/>
      <c r="N127" s="653"/>
    </row>
    <row r="128" spans="1:14" x14ac:dyDescent="0.25">
      <c r="A128" s="653"/>
      <c r="B128" s="653"/>
      <c r="C128" s="653"/>
      <c r="D128" s="653"/>
      <c r="E128" s="653"/>
      <c r="F128" s="653"/>
      <c r="G128" s="653"/>
      <c r="H128" s="653"/>
      <c r="I128" s="653"/>
      <c r="J128" s="653"/>
      <c r="K128" s="653"/>
      <c r="L128" s="653"/>
      <c r="M128" s="653"/>
      <c r="N128" s="653"/>
    </row>
    <row r="129" spans="1:14" x14ac:dyDescent="0.25">
      <c r="A129" s="653"/>
      <c r="B129" s="653"/>
      <c r="C129" s="653"/>
      <c r="D129" s="653"/>
      <c r="E129" s="653"/>
      <c r="F129" s="653"/>
      <c r="G129" s="653"/>
      <c r="H129" s="653"/>
      <c r="I129" s="653"/>
      <c r="J129" s="653"/>
      <c r="K129" s="653"/>
      <c r="L129" s="653"/>
      <c r="M129" s="653"/>
      <c r="N129" s="653"/>
    </row>
    <row r="130" spans="1:14" x14ac:dyDescent="0.25">
      <c r="A130" s="653"/>
      <c r="B130" s="653"/>
      <c r="C130" s="653"/>
      <c r="D130" s="653"/>
      <c r="E130" s="653"/>
      <c r="F130" s="653"/>
      <c r="G130" s="653"/>
      <c r="H130" s="653"/>
      <c r="I130" s="653"/>
      <c r="J130" s="653"/>
      <c r="K130" s="653"/>
      <c r="L130" s="653"/>
      <c r="M130" s="653"/>
      <c r="N130" s="653"/>
    </row>
    <row r="131" spans="1:14" x14ac:dyDescent="0.25">
      <c r="A131" s="653"/>
      <c r="B131" s="653"/>
      <c r="C131" s="653"/>
      <c r="D131" s="653"/>
      <c r="E131" s="653"/>
      <c r="F131" s="653"/>
      <c r="G131" s="653"/>
      <c r="H131" s="653"/>
      <c r="I131" s="653"/>
      <c r="J131" s="653"/>
      <c r="K131" s="653"/>
      <c r="L131" s="653"/>
      <c r="M131" s="653"/>
      <c r="N131" s="653"/>
    </row>
    <row r="132" spans="1:14" x14ac:dyDescent="0.25">
      <c r="A132" s="653"/>
      <c r="B132" s="653"/>
      <c r="C132" s="653"/>
      <c r="D132" s="653"/>
      <c r="E132" s="653"/>
      <c r="F132" s="653"/>
      <c r="G132" s="653"/>
      <c r="H132" s="653"/>
      <c r="I132" s="653"/>
      <c r="J132" s="653"/>
      <c r="K132" s="653"/>
      <c r="L132" s="653"/>
      <c r="M132" s="653"/>
      <c r="N132" s="653"/>
    </row>
    <row r="133" spans="1:14" x14ac:dyDescent="0.25">
      <c r="A133" s="653"/>
      <c r="B133" s="653"/>
      <c r="C133" s="653"/>
      <c r="D133" s="653"/>
      <c r="E133" s="653"/>
      <c r="F133" s="653"/>
      <c r="G133" s="653"/>
      <c r="H133" s="653"/>
      <c r="I133" s="653"/>
      <c r="J133" s="653"/>
      <c r="K133" s="653"/>
      <c r="L133" s="653"/>
      <c r="M133" s="653"/>
      <c r="N133" s="653"/>
    </row>
    <row r="134" spans="1:14" x14ac:dyDescent="0.25">
      <c r="A134" s="653"/>
      <c r="B134" s="653"/>
      <c r="C134" s="653"/>
      <c r="D134" s="653"/>
      <c r="E134" s="653"/>
      <c r="F134" s="653"/>
      <c r="G134" s="653"/>
      <c r="H134" s="653"/>
      <c r="I134" s="653"/>
      <c r="J134" s="653"/>
      <c r="K134" s="653"/>
      <c r="L134" s="653"/>
      <c r="M134" s="653"/>
      <c r="N134" s="653"/>
    </row>
    <row r="135" spans="1:14" x14ac:dyDescent="0.25">
      <c r="A135" s="653"/>
      <c r="B135" s="653"/>
      <c r="C135" s="653"/>
      <c r="D135" s="653"/>
      <c r="E135" s="653"/>
      <c r="F135" s="653"/>
      <c r="G135" s="653"/>
      <c r="H135" s="653"/>
      <c r="I135" s="653"/>
      <c r="J135" s="653"/>
      <c r="K135" s="653"/>
      <c r="L135" s="653"/>
      <c r="M135" s="653"/>
      <c r="N135" s="653"/>
    </row>
    <row r="136" spans="1:14" x14ac:dyDescent="0.25">
      <c r="A136" s="653"/>
      <c r="B136" s="653"/>
      <c r="C136" s="653"/>
      <c r="D136" s="653"/>
      <c r="E136" s="653"/>
      <c r="F136" s="653"/>
      <c r="G136" s="653"/>
      <c r="H136" s="653"/>
      <c r="I136" s="653"/>
      <c r="J136" s="653"/>
      <c r="K136" s="653"/>
      <c r="L136" s="653"/>
      <c r="M136" s="653"/>
      <c r="N136" s="653"/>
    </row>
    <row r="137" spans="1:14" x14ac:dyDescent="0.25">
      <c r="A137" s="653"/>
      <c r="B137" s="653"/>
      <c r="C137" s="653"/>
      <c r="D137" s="653"/>
      <c r="E137" s="653"/>
      <c r="F137" s="653"/>
      <c r="G137" s="653"/>
      <c r="H137" s="653"/>
      <c r="I137" s="653"/>
      <c r="J137" s="653"/>
      <c r="K137" s="653"/>
      <c r="L137" s="653"/>
      <c r="M137" s="653"/>
      <c r="N137" s="653"/>
    </row>
    <row r="138" spans="1:14" x14ac:dyDescent="0.25">
      <c r="A138" s="653"/>
      <c r="B138" s="653"/>
      <c r="C138" s="653"/>
      <c r="D138" s="653"/>
      <c r="E138" s="653"/>
      <c r="F138" s="653"/>
      <c r="G138" s="653"/>
      <c r="H138" s="653"/>
      <c r="I138" s="653"/>
      <c r="J138" s="653"/>
      <c r="K138" s="653"/>
      <c r="L138" s="653"/>
      <c r="M138" s="653"/>
      <c r="N138" s="653"/>
    </row>
    <row r="139" spans="1:14" x14ac:dyDescent="0.25">
      <c r="A139" s="653"/>
      <c r="B139" s="653"/>
      <c r="C139" s="653"/>
      <c r="D139" s="653"/>
      <c r="E139" s="653"/>
      <c r="F139" s="653"/>
      <c r="G139" s="653"/>
      <c r="H139" s="653"/>
      <c r="I139" s="653"/>
      <c r="J139" s="653"/>
      <c r="K139" s="653"/>
      <c r="L139" s="653"/>
      <c r="M139" s="653"/>
      <c r="N139" s="653"/>
    </row>
    <row r="140" spans="1:14" x14ac:dyDescent="0.25">
      <c r="A140" s="653"/>
      <c r="B140" s="653"/>
      <c r="C140" s="653"/>
      <c r="D140" s="653"/>
      <c r="E140" s="653"/>
      <c r="F140" s="653"/>
      <c r="G140" s="653"/>
      <c r="H140" s="653"/>
      <c r="I140" s="653"/>
      <c r="J140" s="653"/>
      <c r="K140" s="653"/>
      <c r="L140" s="653"/>
      <c r="M140" s="653"/>
      <c r="N140" s="653"/>
    </row>
    <row r="141" spans="1:14" x14ac:dyDescent="0.25">
      <c r="A141" s="653"/>
      <c r="B141" s="653"/>
      <c r="C141" s="653"/>
      <c r="D141" s="653"/>
      <c r="E141" s="653"/>
      <c r="F141" s="653"/>
      <c r="G141" s="653"/>
      <c r="H141" s="653"/>
      <c r="I141" s="653"/>
      <c r="J141" s="653"/>
      <c r="K141" s="653"/>
      <c r="L141" s="653"/>
      <c r="M141" s="653"/>
      <c r="N141" s="653"/>
    </row>
    <row r="142" spans="1:14" x14ac:dyDescent="0.25">
      <c r="A142" s="653"/>
      <c r="B142" s="653"/>
      <c r="C142" s="653"/>
      <c r="D142" s="653"/>
      <c r="E142" s="653"/>
      <c r="F142" s="653"/>
      <c r="G142" s="653"/>
      <c r="H142" s="653"/>
      <c r="I142" s="653"/>
      <c r="J142" s="653"/>
      <c r="K142" s="653"/>
      <c r="L142" s="653"/>
      <c r="M142" s="653"/>
      <c r="N142" s="653"/>
    </row>
    <row r="143" spans="1:14" x14ac:dyDescent="0.25">
      <c r="A143" s="653"/>
      <c r="B143" s="653"/>
      <c r="C143" s="653"/>
      <c r="D143" s="653"/>
      <c r="E143" s="653"/>
      <c r="F143" s="653"/>
      <c r="G143" s="653"/>
      <c r="H143" s="653"/>
      <c r="I143" s="653"/>
      <c r="J143" s="653"/>
      <c r="K143" s="653"/>
      <c r="L143" s="653"/>
      <c r="M143" s="653"/>
      <c r="N143" s="653"/>
    </row>
    <row r="144" spans="1:14" x14ac:dyDescent="0.25">
      <c r="A144" s="653"/>
      <c r="B144" s="653"/>
      <c r="C144" s="653"/>
      <c r="D144" s="653"/>
      <c r="E144" s="653"/>
      <c r="F144" s="653"/>
      <c r="G144" s="653"/>
      <c r="H144" s="653"/>
      <c r="I144" s="653"/>
      <c r="J144" s="653"/>
      <c r="K144" s="653"/>
      <c r="L144" s="653"/>
      <c r="M144" s="653"/>
      <c r="N144" s="653"/>
    </row>
    <row r="145" spans="1:14" x14ac:dyDescent="0.25">
      <c r="A145" s="653"/>
      <c r="B145" s="653"/>
      <c r="C145" s="653"/>
      <c r="D145" s="653"/>
      <c r="E145" s="653"/>
      <c r="F145" s="653"/>
      <c r="G145" s="653"/>
      <c r="H145" s="653"/>
      <c r="I145" s="653"/>
      <c r="J145" s="653"/>
      <c r="K145" s="653"/>
      <c r="L145" s="653"/>
      <c r="M145" s="653"/>
      <c r="N145" s="653"/>
    </row>
    <row r="146" spans="1:14" x14ac:dyDescent="0.25">
      <c r="A146" s="653"/>
      <c r="B146" s="653"/>
      <c r="C146" s="653"/>
      <c r="D146" s="653"/>
      <c r="E146" s="653"/>
      <c r="F146" s="653"/>
      <c r="G146" s="653"/>
      <c r="H146" s="653"/>
      <c r="I146" s="653"/>
      <c r="J146" s="653"/>
      <c r="K146" s="653"/>
      <c r="L146" s="653"/>
      <c r="M146" s="653"/>
      <c r="N146" s="653"/>
    </row>
    <row r="147" spans="1:14" x14ac:dyDescent="0.25">
      <c r="A147" s="653"/>
      <c r="B147" s="653"/>
      <c r="C147" s="653"/>
      <c r="D147" s="653"/>
      <c r="E147" s="653"/>
      <c r="F147" s="653"/>
      <c r="G147" s="653"/>
      <c r="H147" s="653"/>
      <c r="I147" s="653"/>
      <c r="J147" s="653"/>
      <c r="K147" s="653"/>
      <c r="L147" s="653"/>
      <c r="M147" s="653"/>
      <c r="N147" s="653"/>
    </row>
    <row r="148" spans="1:14" x14ac:dyDescent="0.25">
      <c r="A148" s="653"/>
      <c r="B148" s="653"/>
      <c r="C148" s="653"/>
      <c r="D148" s="653"/>
      <c r="E148" s="653"/>
      <c r="F148" s="653"/>
      <c r="G148" s="653"/>
      <c r="H148" s="653"/>
      <c r="I148" s="653"/>
      <c r="J148" s="653"/>
      <c r="K148" s="653"/>
      <c r="L148" s="653"/>
      <c r="M148" s="653"/>
      <c r="N148" s="653"/>
    </row>
    <row r="149" spans="1:14" x14ac:dyDescent="0.25">
      <c r="A149" s="653"/>
      <c r="B149" s="653"/>
      <c r="C149" s="653"/>
      <c r="D149" s="653"/>
      <c r="E149" s="653"/>
      <c r="F149" s="653"/>
      <c r="G149" s="653"/>
      <c r="H149" s="653"/>
      <c r="I149" s="653"/>
      <c r="J149" s="653"/>
      <c r="K149" s="653"/>
      <c r="L149" s="653"/>
      <c r="M149" s="653"/>
      <c r="N149" s="653"/>
    </row>
    <row r="150" spans="1:14" x14ac:dyDescent="0.25">
      <c r="A150" s="653"/>
      <c r="B150" s="653"/>
      <c r="C150" s="653"/>
      <c r="D150" s="653"/>
      <c r="E150" s="653"/>
      <c r="F150" s="653"/>
      <c r="G150" s="653"/>
      <c r="H150" s="653"/>
      <c r="I150" s="653"/>
      <c r="J150" s="653"/>
      <c r="K150" s="653"/>
      <c r="L150" s="653"/>
      <c r="M150" s="653"/>
      <c r="N150" s="653"/>
    </row>
    <row r="151" spans="1:14" x14ac:dyDescent="0.25">
      <c r="A151" s="653"/>
      <c r="B151" s="653"/>
      <c r="C151" s="653"/>
      <c r="D151" s="653"/>
      <c r="E151" s="653"/>
      <c r="F151" s="653"/>
      <c r="G151" s="653"/>
      <c r="H151" s="653"/>
      <c r="I151" s="653"/>
      <c r="J151" s="653"/>
      <c r="K151" s="653"/>
      <c r="L151" s="653"/>
      <c r="M151" s="653"/>
      <c r="N151" s="653"/>
    </row>
  </sheetData>
  <mergeCells count="3">
    <mergeCell ref="B2:N2"/>
    <mergeCell ref="B8:N8"/>
    <mergeCell ref="B32:N32"/>
  </mergeCells>
  <conditionalFormatting sqref="N16">
    <cfRule type="expression" dxfId="179" priority="14">
      <formula>$E11="EXCLUDE"</formula>
    </cfRule>
  </conditionalFormatting>
  <conditionalFormatting sqref="N24:N26">
    <cfRule type="expression" dxfId="178" priority="15">
      <formula>$E25="EXCLUDE"</formula>
    </cfRule>
  </conditionalFormatting>
  <conditionalFormatting sqref="N11 N14:N15 N23">
    <cfRule type="expression" dxfId="177" priority="16">
      <formula>$E12="EXCLUDE"</formula>
    </cfRule>
  </conditionalFormatting>
  <conditionalFormatting sqref="N12">
    <cfRule type="expression" dxfId="176" priority="17">
      <formula>$E14="EXCLUDE"</formula>
    </cfRule>
  </conditionalFormatting>
  <conditionalFormatting sqref="N13 N21">
    <cfRule type="expression" dxfId="175" priority="18">
      <formula>$E20="EXCLUDE"</formula>
    </cfRule>
  </conditionalFormatting>
  <conditionalFormatting sqref="N27:N28 N18">
    <cfRule type="expression" dxfId="174" priority="19">
      <formula>$E21="EXCLUDE"</formula>
    </cfRule>
  </conditionalFormatting>
  <conditionalFormatting sqref="N30">
    <cfRule type="expression" dxfId="173" priority="20">
      <formula>$E23="EXCLUDE"</formula>
    </cfRule>
  </conditionalFormatting>
  <conditionalFormatting sqref="N17 N29 N19 N22">
    <cfRule type="expression" dxfId="172" priority="21">
      <formula>$E17="EXCLUDE"</formula>
    </cfRule>
  </conditionalFormatting>
  <conditionalFormatting sqref="N20">
    <cfRule type="expression" dxfId="171" priority="22">
      <formula>$E18="EXCLUDE"</formula>
    </cfRule>
  </conditionalFormatting>
  <conditionalFormatting sqref="N50">
    <cfRule type="expression" dxfId="170" priority="5">
      <formula>$E45="EXCLUDE"</formula>
    </cfRule>
  </conditionalFormatting>
  <conditionalFormatting sqref="N58:N60">
    <cfRule type="expression" dxfId="169" priority="6">
      <formula>$E59="EXCLUDE"</formula>
    </cfRule>
  </conditionalFormatting>
  <conditionalFormatting sqref="N48:N49 N57">
    <cfRule type="expression" dxfId="168" priority="7">
      <formula>$E49="EXCLUDE"</formula>
    </cfRule>
  </conditionalFormatting>
  <conditionalFormatting sqref="N46">
    <cfRule type="expression" dxfId="167" priority="8">
      <formula>$E48="EXCLUDE"</formula>
    </cfRule>
  </conditionalFormatting>
  <conditionalFormatting sqref="N47 N55">
    <cfRule type="expression" dxfId="166" priority="9">
      <formula>$E54="EXCLUDE"</formula>
    </cfRule>
  </conditionalFormatting>
  <conditionalFormatting sqref="N61:N62 N52">
    <cfRule type="expression" dxfId="165" priority="10">
      <formula>$E55="EXCLUDE"</formula>
    </cfRule>
  </conditionalFormatting>
  <conditionalFormatting sqref="N64">
    <cfRule type="expression" dxfId="164" priority="11">
      <formula>$E57="EXCLUDE"</formula>
    </cfRule>
  </conditionalFormatting>
  <conditionalFormatting sqref="N51 N63 N53 N56">
    <cfRule type="expression" dxfId="163" priority="12">
      <formula>$E51="EXCLUDE"</formula>
    </cfRule>
  </conditionalFormatting>
  <conditionalFormatting sqref="N54">
    <cfRule type="expression" dxfId="162" priority="13">
      <formula>$E52="EXCLUDE"</formula>
    </cfRule>
  </conditionalFormatting>
  <conditionalFormatting sqref="N36:N45">
    <cfRule type="expression" dxfId="161"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C1058"/>
  <sheetViews>
    <sheetView showGridLines="0" topLeftCell="C235" zoomScale="80" zoomScaleNormal="80" workbookViewId="0">
      <selection activeCell="T242" sqref="T242"/>
    </sheetView>
  </sheetViews>
  <sheetFormatPr defaultRowHeight="15" x14ac:dyDescent="0.25"/>
  <cols>
    <col min="1" max="1" width="1.7109375" customWidth="1"/>
    <col min="2" max="2" width="3.7109375" style="1151" customWidth="1"/>
    <col min="3" max="3" width="25.7109375" style="1151" customWidth="1"/>
    <col min="4" max="4" width="15.7109375" style="1151" customWidth="1"/>
    <col min="5" max="5" width="9.7109375" style="1151" customWidth="1"/>
    <col min="6" max="6" width="1.5703125" style="1151" hidden="1" customWidth="1"/>
    <col min="7" max="7" width="11" style="1244" customWidth="1"/>
    <col min="8" max="8" width="21.5703125" style="1151" customWidth="1"/>
    <col min="9" max="9" width="3.28515625" style="1151" customWidth="1"/>
    <col min="10" max="10" width="20.7109375" style="1151" customWidth="1"/>
    <col min="11" max="11" width="3.42578125" style="1151" customWidth="1"/>
    <col min="12" max="12" width="20.7109375" style="1151" customWidth="1"/>
    <col min="13" max="13" width="3.28515625" style="1151" customWidth="1"/>
    <col min="14" max="14" width="21.85546875" style="1151" customWidth="1"/>
    <col min="15" max="15" width="3.28515625" style="1151" customWidth="1"/>
    <col min="16" max="16" width="23.85546875" style="1151" customWidth="1"/>
    <col min="17" max="17" width="3.28515625" style="1151" customWidth="1"/>
    <col min="18" max="18" width="20.5703125" style="1151" customWidth="1"/>
    <col min="19" max="19" width="3.28515625" style="1151" customWidth="1"/>
    <col min="20" max="20" width="20.7109375" style="1151" customWidth="1"/>
    <col min="21" max="21" width="3.85546875" style="1151" customWidth="1"/>
    <col min="22" max="22" width="0"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0" hidden="1" customWidth="1"/>
  </cols>
  <sheetData>
    <row r="1" spans="1:29" s="1140" customFormat="1" ht="24" customHeight="1" thickBot="1" x14ac:dyDescent="0.4">
      <c r="A1" s="653"/>
      <c r="B1" s="653"/>
      <c r="C1" s="653"/>
      <c r="D1" s="653"/>
      <c r="E1" s="653"/>
      <c r="F1" s="653"/>
      <c r="G1" s="1243"/>
      <c r="H1" s="653"/>
      <c r="I1" s="653"/>
      <c r="J1" s="1616"/>
      <c r="K1" s="1616"/>
      <c r="L1" s="1616"/>
      <c r="M1" s="1616"/>
      <c r="N1" s="1616"/>
      <c r="O1" s="653"/>
      <c r="P1" s="1185"/>
      <c r="Q1" s="653"/>
      <c r="R1" s="1185"/>
      <c r="S1" s="653"/>
      <c r="T1" s="653"/>
      <c r="U1" s="653"/>
      <c r="W1" s="1214" t="s">
        <v>1643</v>
      </c>
      <c r="X1" s="1215" t="s">
        <v>1619</v>
      </c>
      <c r="Y1" s="1216" t="s">
        <v>1620</v>
      </c>
      <c r="Z1" s="1217" t="s">
        <v>1621</v>
      </c>
      <c r="AA1" s="1280" t="s">
        <v>793</v>
      </c>
      <c r="AB1" s="1281" t="s">
        <v>1271</v>
      </c>
      <c r="AC1" s="1216" t="s">
        <v>1447</v>
      </c>
    </row>
    <row r="2" spans="1:29" s="1140" customFormat="1" ht="6" customHeight="1" thickBot="1" x14ac:dyDescent="0.3">
      <c r="A2" s="653"/>
      <c r="B2" s="653"/>
      <c r="C2" s="653"/>
      <c r="D2" s="653"/>
      <c r="E2" s="653"/>
      <c r="F2" s="653"/>
      <c r="G2" s="1243"/>
      <c r="H2" s="653"/>
      <c r="I2" s="653"/>
      <c r="J2" s="653"/>
      <c r="K2" s="653"/>
      <c r="L2" s="653"/>
      <c r="M2" s="653"/>
      <c r="N2" s="653"/>
      <c r="O2" s="653"/>
      <c r="P2" s="653"/>
      <c r="Q2" s="653"/>
      <c r="R2" s="653"/>
      <c r="S2" s="653"/>
      <c r="T2" s="653"/>
      <c r="U2" s="653"/>
    </row>
    <row r="3" spans="1:29" s="1140" customFormat="1" ht="21" customHeight="1" thickBot="1" x14ac:dyDescent="0.3">
      <c r="A3" s="653"/>
      <c r="B3" s="1607" t="s">
        <v>1586</v>
      </c>
      <c r="C3" s="1617"/>
      <c r="D3" s="1617"/>
      <c r="E3" s="1617"/>
      <c r="F3" s="1617"/>
      <c r="G3" s="1617"/>
      <c r="H3" s="1617"/>
      <c r="I3" s="1617"/>
      <c r="J3" s="1617"/>
      <c r="K3" s="1617"/>
      <c r="L3" s="1617"/>
      <c r="M3" s="1617"/>
      <c r="N3" s="1617"/>
      <c r="O3" s="1617"/>
      <c r="P3" s="1617"/>
      <c r="Q3" s="1617"/>
      <c r="R3" s="1617"/>
      <c r="S3" s="1617"/>
      <c r="T3" s="1617"/>
      <c r="U3" s="1618"/>
      <c r="W3" s="1212">
        <v>1201</v>
      </c>
      <c r="X3" s="1146" t="s">
        <v>1587</v>
      </c>
      <c r="Y3" s="1212">
        <v>1</v>
      </c>
      <c r="Z3" s="1144" t="str">
        <f>IF(Incentives!$E$13="Yes",IF(Incentives!$E$14=X3,14,IF(Incentives!$E$27="Yes",IF(Incentives!$E$28=X3,28,IF(Incentives!$E$41="Yes",IF(Incentives!$E$42=X3,42,""),"")),"")),"")</f>
        <v/>
      </c>
      <c r="AA3" s="1282" t="str">
        <f>IF(Z3&lt;&gt;"",IF(Z3=14,Incentives!E$16,IF(Z3=28,Incentives!E$30,IF(Z3=42,Incentives!E$44,""))),"")</f>
        <v/>
      </c>
      <c r="AB3" s="1282" t="str">
        <f>IF(Z3&lt;&gt;"",IF(Z3=14,Incentives!E$17,IF(Z3=28,Incentives!E$31,IF(Z3=42,Incentives!E$45,""))),"")</f>
        <v/>
      </c>
      <c r="AC3" s="1293">
        <v>3</v>
      </c>
    </row>
    <row r="4" spans="1:29" s="1140" customFormat="1" ht="20.25" customHeight="1" thickBot="1" x14ac:dyDescent="0.3">
      <c r="A4" s="653"/>
      <c r="B4" s="1186"/>
      <c r="C4" s="1186"/>
      <c r="D4" s="1186"/>
      <c r="E4" s="1186"/>
      <c r="F4" s="1186"/>
      <c r="G4" s="1238"/>
      <c r="H4" s="1186"/>
      <c r="I4" s="1186"/>
      <c r="J4" s="1186"/>
      <c r="K4" s="1186"/>
      <c r="L4" s="1186"/>
      <c r="M4" s="1186"/>
      <c r="N4" s="1186"/>
      <c r="O4" s="1186"/>
      <c r="P4" s="1186"/>
      <c r="Q4" s="1186"/>
      <c r="R4" s="1186"/>
      <c r="S4" s="1186"/>
      <c r="T4" s="1186"/>
      <c r="U4" s="1186"/>
      <c r="W4" s="1207">
        <v>1202</v>
      </c>
      <c r="X4" s="1209"/>
      <c r="Y4" s="1208">
        <v>2</v>
      </c>
      <c r="Z4" s="1145" t="str">
        <f>IF(AND(Incentives!$E$13="Yes",Incentives!$E$14=X3),IF(Incentives!$E$27="Yes",IF(Incentives!$E$28=X3,28,IF(Incentives!$E$41="Yes",IF(Incentives!$E$42=X3,42,""),"")),""),IF(Incentives!$E$27="Yes",IF(Incentives!$E$28=X3,IF(Incentives!$E$41="Yes",IF(Incentives!$E$42=X3,42,""),""),""),""))</f>
        <v/>
      </c>
      <c r="AA4" s="1282" t="str">
        <f>IF(Z4&lt;&gt;"",IF(Z4=14,Incentives!E$16,IF(Z4=28,Incentives!E$30,IF(Z4=42,Incentives!E$44,""))),"")</f>
        <v/>
      </c>
      <c r="AB4" s="1282" t="str">
        <f>IF(Z4&lt;&gt;"",IF(Z4=14,Incentives!E$17,IF(Z4=28,Incentives!E$31,IF(Z4=42,Incentives!E$45,""))),"")</f>
        <v/>
      </c>
      <c r="AC4" s="1293">
        <v>17</v>
      </c>
    </row>
    <row r="5" spans="1:29" s="1140" customFormat="1" ht="30" customHeight="1" thickBot="1" x14ac:dyDescent="0.3">
      <c r="A5" s="494"/>
      <c r="B5" s="1186"/>
      <c r="C5" s="1198" t="s">
        <v>1482</v>
      </c>
      <c r="D5" s="1601" t="s">
        <v>1587</v>
      </c>
      <c r="E5" s="1602"/>
      <c r="F5" s="1186"/>
      <c r="G5" s="1238"/>
      <c r="H5" s="1201" t="s">
        <v>1479</v>
      </c>
      <c r="I5" s="1186"/>
      <c r="J5" s="1201" t="s">
        <v>1480</v>
      </c>
      <c r="K5" s="1186"/>
      <c r="L5" s="1201" t="s">
        <v>1496</v>
      </c>
      <c r="M5" s="1186"/>
      <c r="N5" s="1202" t="s">
        <v>1481</v>
      </c>
      <c r="O5" s="1186"/>
      <c r="P5" s="1201" t="s">
        <v>1588</v>
      </c>
      <c r="Q5" s="1186"/>
      <c r="R5" s="1201" t="s">
        <v>1589</v>
      </c>
      <c r="S5" s="1186"/>
      <c r="T5" s="1203" t="s">
        <v>1590</v>
      </c>
      <c r="U5" s="1186"/>
      <c r="W5" s="1207">
        <v>1401</v>
      </c>
      <c r="X5" s="1209" t="s">
        <v>1602</v>
      </c>
      <c r="Y5" s="1208">
        <v>1</v>
      </c>
      <c r="Z5" s="1144" t="str">
        <f>IF(Incentives!$E$13="Yes",IF(Incentives!$E$14=X5,14,IF(Incentives!$E$27="Yes",IF(Incentives!$E$28=X5,28,IF(Incentives!$E$41="Yes",IF(Incentives!$E$42=X5,42,""),"")),"")),"")</f>
        <v/>
      </c>
      <c r="AA5" s="1282" t="str">
        <f>IF(Z5&lt;&gt;"",IF(Z5=14,Incentives!E$16,IF(Z5=28,Incentives!E$30,IF(Z5=42,Incentives!E$44,""))),"")</f>
        <v/>
      </c>
      <c r="AB5" s="1282" t="str">
        <f>IF(Z5&lt;&gt;"",IF(Z5=14,Incentives!E$17,IF(Z5=28,Incentives!E$31,IF(Z5=42,Incentives!E$45,""))),"")</f>
        <v/>
      </c>
      <c r="AC5" s="1293">
        <v>31</v>
      </c>
    </row>
    <row r="6" spans="1:29" s="1140" customFormat="1" ht="18" customHeight="1" thickBot="1" x14ac:dyDescent="0.3">
      <c r="A6" s="653"/>
      <c r="B6" s="1186"/>
      <c r="C6" s="1186"/>
      <c r="D6" s="1186"/>
      <c r="E6" s="1186"/>
      <c r="F6" s="1186"/>
      <c r="G6" s="1238"/>
      <c r="H6" s="1142"/>
      <c r="I6" s="1186"/>
      <c r="J6" s="1191"/>
      <c r="K6" s="1193"/>
      <c r="L6" s="1191"/>
      <c r="M6" s="1193"/>
      <c r="N6" s="1237"/>
      <c r="O6" s="1186"/>
      <c r="P6" s="1143" t="s">
        <v>1591</v>
      </c>
      <c r="Q6" s="1186"/>
      <c r="R6" s="1143" t="s">
        <v>1592</v>
      </c>
      <c r="S6" s="1186"/>
      <c r="T6" s="1187" t="s">
        <v>653</v>
      </c>
      <c r="U6" s="1186"/>
      <c r="W6" s="1207">
        <v>1402</v>
      </c>
      <c r="X6" s="1209"/>
      <c r="Y6" s="1208">
        <v>2</v>
      </c>
      <c r="Z6" s="1145" t="str">
        <f>IF(AND(Incentives!$E$13="Yes",Incentives!$E$14=X5),IF(Incentives!$E$27="Yes",IF(Incentives!$E$28=X5,28,IF(Incentives!$E$41="Yes",IF(Incentives!$E$42=X5,42,""),"")),""),IF(Incentives!$E$27="Yes",IF(Incentives!$E$28=X5,IF(Incentives!$E$41="Yes",IF(Incentives!$E$42=X5,42,""),""),""),""))</f>
        <v/>
      </c>
      <c r="AA6" s="1282" t="str">
        <f>IF(Z6&lt;&gt;"",IF(Z6=14,Incentives!E$16,IF(Z6=28,Incentives!E$30,IF(Z6=42,Incentives!E$44,""))),"")</f>
        <v/>
      </c>
      <c r="AB6" s="1282" t="str">
        <f>IF(Z6&lt;&gt;"",IF(Z6=14,Incentives!E$17,IF(Z6=28,Incentives!E$31,IF(Z6=42,Incentives!E$45,""))),"")</f>
        <v/>
      </c>
      <c r="AC6" s="1293">
        <v>45</v>
      </c>
    </row>
    <row r="7" spans="1:29" s="1140" customFormat="1" ht="30" customHeight="1" thickBot="1" x14ac:dyDescent="0.3">
      <c r="A7" s="653"/>
      <c r="B7" s="1186"/>
      <c r="C7" s="1198" t="s">
        <v>1593</v>
      </c>
      <c r="D7" s="1603">
        <v>1201</v>
      </c>
      <c r="E7" s="1604"/>
      <c r="F7" s="1186"/>
      <c r="G7" s="1238"/>
      <c r="H7" s="1186"/>
      <c r="I7" s="1186"/>
      <c r="J7" s="1186"/>
      <c r="K7" s="1186"/>
      <c r="L7" s="1186"/>
      <c r="M7" s="1186"/>
      <c r="N7" s="1186"/>
      <c r="O7" s="1186"/>
      <c r="P7" s="1186"/>
      <c r="Q7" s="1186"/>
      <c r="R7" s="1186"/>
      <c r="S7" s="1186"/>
      <c r="T7" s="1186"/>
      <c r="U7" s="1186"/>
      <c r="W7" s="1207">
        <v>1501</v>
      </c>
      <c r="X7" s="1209" t="s">
        <v>1615</v>
      </c>
      <c r="Y7" s="1208">
        <v>1</v>
      </c>
      <c r="Z7" s="1144" t="str">
        <f>IF(Incentives!$E$13="Yes",IF(Incentives!$E$14=X7,14,IF(Incentives!$E$27="Yes",IF(Incentives!$E$28=X7,28,IF(Incentives!$E$41="Yes",IF(Incentives!$E$42=X7,42,""),"")),"")),"")</f>
        <v/>
      </c>
      <c r="AA7" s="1282" t="str">
        <f>IF(Z7&lt;&gt;"",IF(Z7=14,Incentives!E$16,IF(Z7=28,Incentives!E$30,IF(Z7=42,Incentives!E$44,""))),"")</f>
        <v/>
      </c>
      <c r="AB7" s="1282" t="str">
        <f>IF(Z7&lt;&gt;"",IF(Z7=14,Incentives!E$17,IF(Z7=28,Incentives!E$31,IF(Z7=42,Incentives!E$45,""))),"")</f>
        <v/>
      </c>
      <c r="AC7" s="1293">
        <v>59</v>
      </c>
    </row>
    <row r="8" spans="1:29" s="1140" customFormat="1" ht="17.25" customHeight="1" thickBot="1" x14ac:dyDescent="0.3">
      <c r="A8" s="653"/>
      <c r="B8" s="1186"/>
      <c r="C8" s="1186"/>
      <c r="D8" s="1186"/>
      <c r="E8" s="1186"/>
      <c r="F8" s="1186"/>
      <c r="G8" s="1238"/>
      <c r="H8" s="1186"/>
      <c r="I8" s="1186"/>
      <c r="J8" s="1186"/>
      <c r="K8" s="1186"/>
      <c r="L8" s="1201" t="s">
        <v>1488</v>
      </c>
      <c r="M8" s="1186"/>
      <c r="N8" s="1186"/>
      <c r="O8" s="1186"/>
      <c r="P8" s="1186"/>
      <c r="Q8" s="1186"/>
      <c r="R8" s="1186"/>
      <c r="S8" s="1186"/>
      <c r="T8" s="1186"/>
      <c r="U8" s="1186"/>
      <c r="W8" s="1207">
        <v>1502</v>
      </c>
      <c r="X8" s="1209"/>
      <c r="Y8" s="1208">
        <v>2</v>
      </c>
      <c r="Z8" s="1145" t="str">
        <f>IF(AND(Incentives!$E$13="Yes",Incentives!$E$14=X7),IF(Incentives!$E$27="Yes",IF(Incentives!$E$28=X7,28,IF(Incentives!$E$41="Yes",IF(Incentives!$E$42=X7,42,""),"")),""),IF(Incentives!$E$27="Yes",IF(Incentives!$E$28=X7,IF(Incentives!$E$41="Yes",IF(Incentives!$E$42=X7,42,""),""),""),""))</f>
        <v/>
      </c>
      <c r="AA8" s="1282" t="str">
        <f>IF(Z8&lt;&gt;"",IF(Z8=14,Incentives!E$16,IF(Z8=28,Incentives!E$30,IF(Z8=42,Incentives!E$44,""))),"")</f>
        <v/>
      </c>
      <c r="AB8" s="1282" t="str">
        <f>IF(Z8&lt;&gt;"",IF(Z8=14,Incentives!E$17,IF(Z8=28,Incentives!E$31,IF(Z8=42,Incentives!E$45,""))),"")</f>
        <v/>
      </c>
      <c r="AC8" s="1293">
        <v>75</v>
      </c>
    </row>
    <row r="9" spans="1:29" s="1140" customFormat="1" ht="18" customHeight="1" thickBot="1" x14ac:dyDescent="0.3">
      <c r="A9" s="653"/>
      <c r="B9" s="1186"/>
      <c r="C9" s="1198" t="s">
        <v>1484</v>
      </c>
      <c r="D9" s="1605" t="str">
        <f>AA3</f>
        <v/>
      </c>
      <c r="E9" s="1606"/>
      <c r="F9" s="1186"/>
      <c r="G9" s="1238"/>
      <c r="H9" s="1186"/>
      <c r="I9" s="1186"/>
      <c r="J9" s="1186"/>
      <c r="K9" s="1186"/>
      <c r="L9" s="1191"/>
      <c r="M9" s="1186"/>
      <c r="N9" s="1186"/>
      <c r="O9" s="1186"/>
      <c r="P9" s="1186"/>
      <c r="Q9" s="1186"/>
      <c r="R9" s="1186"/>
      <c r="S9" s="1186"/>
      <c r="T9" s="1186"/>
      <c r="U9" s="1186"/>
      <c r="W9" s="1207">
        <v>5501</v>
      </c>
      <c r="X9" s="1213" t="s">
        <v>1624</v>
      </c>
      <c r="Y9" s="1210">
        <v>1</v>
      </c>
      <c r="Z9" s="1144" t="str">
        <f>IF(Incentives!$E$55="Yes",IF(Incentives!$E$56=X9,56,IF(Incentives!$E$69="Yes",IF(Incentives!$E$70=X9,70,""),"")),"")</f>
        <v/>
      </c>
      <c r="AA9" s="1282" t="str">
        <f>IF(Z9&lt;&gt;"",IF(Z9=56,Incentives!E$58,IF(Z9=70,Incentives!E$72,"")),"")</f>
        <v/>
      </c>
      <c r="AB9" s="1282" t="str">
        <f>IF(Z9&lt;&gt;"",IF(Z9=56,Incentives!E$59,IF(Z9=70,Incentives!E$73,"")),"")</f>
        <v/>
      </c>
      <c r="AC9" s="1293">
        <v>91</v>
      </c>
    </row>
    <row r="10" spans="1:29" s="1140" customFormat="1" ht="18" customHeight="1" thickBot="1" x14ac:dyDescent="0.3">
      <c r="A10" s="653"/>
      <c r="B10" s="1186"/>
      <c r="C10" s="1186"/>
      <c r="D10" s="1186"/>
      <c r="E10" s="1186"/>
      <c r="F10" s="1186"/>
      <c r="G10" s="1238"/>
      <c r="H10" s="1186"/>
      <c r="I10" s="1186"/>
      <c r="J10" s="1186"/>
      <c r="K10" s="1186"/>
      <c r="L10" s="1186"/>
      <c r="M10" s="1186"/>
      <c r="N10" s="1186"/>
      <c r="O10" s="1186"/>
      <c r="P10" s="1186"/>
      <c r="Q10" s="1186"/>
      <c r="R10" s="1186"/>
      <c r="S10" s="1186"/>
      <c r="T10" s="1186"/>
      <c r="U10" s="1186"/>
      <c r="W10" s="1207">
        <v>5502</v>
      </c>
      <c r="X10" s="1213"/>
      <c r="Y10" s="1208">
        <v>2</v>
      </c>
      <c r="Z10" s="1145" t="str">
        <f>IF(AND(Incentives!$E$55="Yes",Incentives!$E$56=X9),IF(Incentives!$E$69="Yes",IF(Incentives!$E$70=X9,70,""),""),"")</f>
        <v/>
      </c>
      <c r="AA10" s="1282" t="str">
        <f>IF(Z10&lt;&gt;"",IF(Z10=56,Incentives!E$58,IF(Z10=70,Incentives!E$72,"")),"")</f>
        <v/>
      </c>
      <c r="AB10" s="1282" t="str">
        <f>IF(Z10&lt;&gt;"",IF(Z10=56,Incentives!E$59,IF(Z10=70,Incentives!E$73,"")),"")</f>
        <v/>
      </c>
      <c r="AC10" s="1293">
        <v>105</v>
      </c>
    </row>
    <row r="11" spans="1:29" s="1140" customFormat="1" ht="30" customHeight="1" thickBot="1" x14ac:dyDescent="0.3">
      <c r="A11" s="653"/>
      <c r="B11" s="1186"/>
      <c r="C11" s="1198" t="s">
        <v>1485</v>
      </c>
      <c r="D11" s="1605" t="str">
        <f>AB3</f>
        <v/>
      </c>
      <c r="E11" s="1606"/>
      <c r="F11" s="1186"/>
      <c r="G11" s="1238"/>
      <c r="H11" s="1200" t="s">
        <v>1594</v>
      </c>
      <c r="I11" s="1186"/>
      <c r="J11" s="1186"/>
      <c r="K11" s="1186"/>
      <c r="L11" s="1201" t="s">
        <v>1595</v>
      </c>
      <c r="M11" s="1186"/>
      <c r="N11" s="1186"/>
      <c r="O11" s="1186"/>
      <c r="P11" s="1186"/>
      <c r="Q11" s="1186"/>
      <c r="R11" s="1186"/>
      <c r="S11" s="1186"/>
      <c r="T11" s="1283" t="s">
        <v>1701</v>
      </c>
      <c r="U11" s="1186"/>
      <c r="W11" s="1207">
        <v>2801</v>
      </c>
      <c r="X11" s="1213" t="s">
        <v>1625</v>
      </c>
      <c r="Y11" s="1208">
        <v>1</v>
      </c>
      <c r="Z11" s="1144" t="str">
        <f>IF(Incentives!$E$55="Yes",IF(Incentives!$E$56=X11,56,IF(Incentives!$E$69="Yes",IF(Incentives!$E$70=X11,70,""),"")),"")</f>
        <v/>
      </c>
      <c r="AA11" s="1282" t="str">
        <f>IF(Z11&lt;&gt;"",IF(Z11=56,Incentives!E$58,IF(Z11=70,Incentives!E$72,"")),"")</f>
        <v/>
      </c>
      <c r="AB11" s="1282" t="str">
        <f>IF(Z11&lt;&gt;"",IF(Z11=56,Incentives!E$59,IF(Z11=70,Incentives!E$73,"")),"")</f>
        <v/>
      </c>
      <c r="AC11" s="1293">
        <v>119</v>
      </c>
    </row>
    <row r="12" spans="1:29" s="1140" customFormat="1" ht="18" customHeight="1" thickBot="1" x14ac:dyDescent="0.3">
      <c r="A12" s="653"/>
      <c r="B12" s="1186"/>
      <c r="C12" s="1186"/>
      <c r="D12" s="1186"/>
      <c r="E12" s="1186"/>
      <c r="F12" s="1186"/>
      <c r="G12" s="1238"/>
      <c r="H12" s="1187" t="s">
        <v>651</v>
      </c>
      <c r="I12" s="1186"/>
      <c r="J12" s="1186"/>
      <c r="K12" s="1186"/>
      <c r="L12" s="1159" t="s">
        <v>1596</v>
      </c>
      <c r="M12" s="1186"/>
      <c r="N12" s="1186"/>
      <c r="O12" s="1186"/>
      <c r="P12" s="1186"/>
      <c r="Q12" s="1186"/>
      <c r="R12" s="1186"/>
      <c r="S12" s="1186"/>
      <c r="T12" s="1284" t="s">
        <v>651</v>
      </c>
      <c r="U12" s="1186"/>
      <c r="W12" s="1207">
        <v>2802</v>
      </c>
      <c r="X12" s="1213"/>
      <c r="Y12" s="1211"/>
      <c r="Z12" s="1145" t="str">
        <f>IF(AND(Incentives!$E$55="Yes",Incentives!$E$56=X11),IF(Incentives!$E$69="Yes",IF(Incentives!$E$70=X11,70,""),""),"")</f>
        <v/>
      </c>
      <c r="AA12" s="1282" t="str">
        <f>IF(Z12&lt;&gt;"",IF(Z12=56,Incentives!E$58,IF(Z12=70,Incentives!E$72,"")),"")</f>
        <v/>
      </c>
      <c r="AB12" s="1282" t="str">
        <f>IF(Z12&lt;&gt;"",IF(Z12=56,Incentives!E$59,IF(Z12=70,Incentives!E$73,"")),"")</f>
        <v/>
      </c>
      <c r="AC12" s="1293">
        <v>135</v>
      </c>
    </row>
    <row r="13" spans="1:29" s="1140" customFormat="1" ht="30" customHeight="1" thickBot="1" x14ac:dyDescent="0.3">
      <c r="A13" s="653"/>
      <c r="B13" s="1186"/>
      <c r="C13" s="1199" t="s">
        <v>1597</v>
      </c>
      <c r="D13" s="1593" t="s">
        <v>651</v>
      </c>
      <c r="E13" s="1594"/>
      <c r="F13" s="1186"/>
      <c r="G13" s="1238"/>
      <c r="H13" s="1186"/>
      <c r="I13" s="1186"/>
      <c r="J13" s="1186"/>
      <c r="K13" s="1186"/>
      <c r="L13" s="1186"/>
      <c r="M13" s="1186"/>
      <c r="N13" s="1186"/>
      <c r="O13" s="1186"/>
      <c r="P13" s="1186"/>
      <c r="Q13" s="1186"/>
      <c r="R13" s="1186"/>
      <c r="S13" s="1186"/>
      <c r="T13" s="1186"/>
      <c r="U13" s="1186"/>
      <c r="W13" s="1207">
        <v>3401</v>
      </c>
      <c r="X13" s="1213" t="s">
        <v>1632</v>
      </c>
      <c r="Y13" s="1212">
        <v>1</v>
      </c>
      <c r="Z13" s="1144" t="str">
        <f>IF(Incentives!$E$83="Yes",IF(Incentives!$E$84=X13,84,IF(Incentives!$E$97="Yes",IF(Incentives!$E$98=X13,98,""),"")),"")</f>
        <v/>
      </c>
      <c r="AA13" s="1282" t="str">
        <f>IF(Z13&lt;&gt;"",IF(Z13=84,Incentives!E$86,IF(Z13=98,Incentives!E$100,"")),"")</f>
        <v/>
      </c>
      <c r="AB13" s="1282" t="str">
        <f>IF(Z13&lt;&gt;"",IF(Z13=84,Incentives!E$87,IF(Z13=98,Incentives!E$101,"")),"")</f>
        <v/>
      </c>
      <c r="AC13" s="1293">
        <v>151</v>
      </c>
    </row>
    <row r="14" spans="1:29" s="1140" customFormat="1" ht="18" customHeight="1" thickBot="1" x14ac:dyDescent="0.3">
      <c r="A14" s="653"/>
      <c r="B14" s="1186"/>
      <c r="C14" s="1186"/>
      <c r="D14" s="1186"/>
      <c r="E14" s="1186"/>
      <c r="F14" s="1186"/>
      <c r="G14" s="1238"/>
      <c r="H14" s="1186"/>
      <c r="I14" s="1186"/>
      <c r="J14" s="1186"/>
      <c r="K14" s="1186"/>
      <c r="L14" s="1186"/>
      <c r="M14" s="1186"/>
      <c r="N14" s="1186"/>
      <c r="O14" s="1186"/>
      <c r="P14" s="1186"/>
      <c r="Q14" s="1186"/>
      <c r="R14" s="1186"/>
      <c r="S14" s="1186"/>
      <c r="T14" s="1201" t="s">
        <v>528</v>
      </c>
      <c r="U14" s="1186"/>
      <c r="W14" s="1207">
        <v>3402</v>
      </c>
      <c r="X14" s="1213"/>
      <c r="Y14" s="1212">
        <v>2</v>
      </c>
      <c r="Z14" s="1145" t="str">
        <f>IF(AND(Incentives!$E$83="Yes",Incentives!$E$84=X13),IF(Incentives!$E$97="Yes",IF(Incentives!$E$98=X13,98,""),""),"")</f>
        <v/>
      </c>
      <c r="AA14" s="1282" t="str">
        <f>IF(Z14&lt;&gt;"",IF(Z14=84,Incentives!E$86,IF(Z14=98,Incentives!E$100,"")),"")</f>
        <v/>
      </c>
      <c r="AB14" s="1282" t="str">
        <f>IF(Z14&lt;&gt;"",IF(Z14=84,Incentives!E$87,IF(Z14=98,Incentives!E$101,"")),"")</f>
        <v/>
      </c>
      <c r="AC14" s="1293">
        <v>165</v>
      </c>
    </row>
    <row r="15" spans="1:29" s="1140" customFormat="1" ht="18" customHeight="1" thickBot="1" x14ac:dyDescent="0.3">
      <c r="A15" s="653"/>
      <c r="B15" s="1186"/>
      <c r="C15" s="1198" t="s">
        <v>1598</v>
      </c>
      <c r="D15" s="1603" t="s">
        <v>1599</v>
      </c>
      <c r="E15" s="1604"/>
      <c r="F15" s="1186"/>
      <c r="G15" s="1238"/>
      <c r="H15" s="1186"/>
      <c r="I15" s="1186"/>
      <c r="J15" s="1186"/>
      <c r="K15" s="1186"/>
      <c r="L15" s="1186"/>
      <c r="M15" s="1186"/>
      <c r="N15" s="1186"/>
      <c r="O15" s="1186"/>
      <c r="P15" s="1186"/>
      <c r="Q15" s="1186"/>
      <c r="R15" s="1186"/>
      <c r="S15" s="1186"/>
      <c r="T15" s="1233" t="str">
        <f>IF(Z3&lt;&gt;"","Yes","No")</f>
        <v>No</v>
      </c>
      <c r="U15" s="1186"/>
      <c r="W15" s="1207">
        <v>3501</v>
      </c>
      <c r="X15" s="1213" t="s">
        <v>1636</v>
      </c>
      <c r="Y15" s="1212">
        <v>1</v>
      </c>
      <c r="Z15" s="1144" t="str">
        <f>IF(Incentives!$E$83="Yes",IF(Incentives!$E$84=X15,84,IF(Incentives!$E$97="Yes",IF(Incentives!$E$98=X15,98,""),"")),"")</f>
        <v/>
      </c>
      <c r="AA15" s="1282" t="str">
        <f>IF(Z15&lt;&gt;"",IF(Z15=84,Incentives!E$86,IF(Z15=98,Incentives!E$100,"")),"")</f>
        <v/>
      </c>
      <c r="AB15" s="1282" t="str">
        <f>IF(Z15&lt;&gt;"",IF(Z15=84,Incentives!E$87,IF(Z15=98,Incentives!E$101,"")),"")</f>
        <v/>
      </c>
      <c r="AC15" s="1293">
        <v>179</v>
      </c>
    </row>
    <row r="16" spans="1:29" s="1140" customFormat="1" ht="21" customHeight="1" thickBot="1" x14ac:dyDescent="0.3">
      <c r="A16" s="653"/>
      <c r="B16" s="1186"/>
      <c r="C16" s="1186"/>
      <c r="D16" s="1186"/>
      <c r="E16" s="1186"/>
      <c r="F16" s="1186"/>
      <c r="G16" s="1238"/>
      <c r="H16" s="1186"/>
      <c r="I16" s="1186"/>
      <c r="J16" s="1186"/>
      <c r="K16" s="1186"/>
      <c r="L16" s="1186"/>
      <c r="M16" s="1186"/>
      <c r="N16" s="1186"/>
      <c r="O16" s="1186"/>
      <c r="P16" s="1186"/>
      <c r="Q16" s="1186"/>
      <c r="R16" s="1186"/>
      <c r="S16" s="1186"/>
      <c r="T16" s="1186"/>
      <c r="U16" s="1186"/>
      <c r="W16" s="1207">
        <v>3502</v>
      </c>
      <c r="X16" s="1213"/>
      <c r="Y16" s="1212">
        <v>2</v>
      </c>
      <c r="Z16" s="1145" t="str">
        <f>IF(AND(Incentives!$E$83="Yes",Incentives!$E$84=X15),IF(Incentives!$E$97="Yes",IF(Incentives!$E$98=X15,98,""),""),"")</f>
        <v/>
      </c>
      <c r="AA16" s="1282" t="str">
        <f>IF(Z16&lt;&gt;"",IF(Z16=84,Incentives!E$86,IF(Z16=98,Incentives!E$100,"")),"")</f>
        <v/>
      </c>
      <c r="AB16" s="1282" t="str">
        <f>IF(Z16&lt;&gt;"",IF(Z16=84,Incentives!E$87,IF(Z16=98,Incentives!E$101,"")),"")</f>
        <v/>
      </c>
      <c r="AC16" s="1293">
        <v>193</v>
      </c>
    </row>
    <row r="17" spans="1:29" s="1140" customFormat="1" ht="21" customHeight="1" thickBot="1" x14ac:dyDescent="0.3">
      <c r="A17" s="653"/>
      <c r="B17" s="1607" t="s">
        <v>1600</v>
      </c>
      <c r="C17" s="1617"/>
      <c r="D17" s="1617"/>
      <c r="E17" s="1617"/>
      <c r="F17" s="1617"/>
      <c r="G17" s="1617"/>
      <c r="H17" s="1617"/>
      <c r="I17" s="1617"/>
      <c r="J17" s="1617"/>
      <c r="K17" s="1617"/>
      <c r="L17" s="1617"/>
      <c r="M17" s="1617"/>
      <c r="N17" s="1617"/>
      <c r="O17" s="1617"/>
      <c r="P17" s="1617"/>
      <c r="Q17" s="1617"/>
      <c r="R17" s="1617"/>
      <c r="S17" s="1617"/>
      <c r="T17" s="1617"/>
      <c r="U17" s="1618"/>
      <c r="W17" s="1207">
        <v>3601</v>
      </c>
      <c r="X17" s="1213" t="s">
        <v>1639</v>
      </c>
      <c r="Y17" s="1212">
        <v>1</v>
      </c>
      <c r="Z17" s="1144" t="str">
        <f>IF(Incentives!$E$83="Yes",IF(Incentives!$E$84=X17,84,IF(Incentives!$E$97="Yes",IF(Incentives!$E$98=X17,98,""),"")),"")</f>
        <v/>
      </c>
      <c r="AA17" s="1282" t="str">
        <f>IF(Z17&lt;&gt;"",IF(Z17=84,Incentives!E$86,IF(Z17=98,Incentives!E$100,"")),"")</f>
        <v/>
      </c>
      <c r="AB17" s="1282" t="str">
        <f>IF(Z17&lt;&gt;"",IF(Z17=84,Incentives!E$87,IF(Z17=98,Incentives!E$101,"")),"")</f>
        <v/>
      </c>
      <c r="AC17" s="1293">
        <v>207</v>
      </c>
    </row>
    <row r="18" spans="1:29" s="1140" customFormat="1" ht="21" customHeight="1" thickBot="1" x14ac:dyDescent="0.3">
      <c r="A18" s="653"/>
      <c r="B18" s="1186"/>
      <c r="C18" s="1186"/>
      <c r="D18" s="1186"/>
      <c r="E18" s="1186"/>
      <c r="F18" s="1186"/>
      <c r="G18" s="1238"/>
      <c r="H18" s="1186"/>
      <c r="I18" s="1186"/>
      <c r="J18" s="1186"/>
      <c r="K18" s="1186"/>
      <c r="L18" s="1186"/>
      <c r="M18" s="1186"/>
      <c r="N18" s="1186"/>
      <c r="O18" s="1186"/>
      <c r="P18" s="1186"/>
      <c r="Q18" s="1186"/>
      <c r="R18" s="1186"/>
      <c r="S18" s="1186"/>
      <c r="T18" s="1186"/>
      <c r="U18" s="1186"/>
      <c r="W18" s="1207">
        <v>3602</v>
      </c>
      <c r="X18" s="1213"/>
      <c r="Y18" s="1212">
        <v>2</v>
      </c>
      <c r="Z18" s="1145" t="str">
        <f>IF(AND(Incentives!$E$83="Yes",Incentives!$E$84=X17),IF(Incentives!$E$97="Yes",IF(Incentives!$E$98=X17,98,""),""),"")</f>
        <v/>
      </c>
      <c r="AA18" s="1282" t="str">
        <f>IF(Z18&lt;&gt;"",IF(Z18=84,Incentives!E$86,IF(Z18=98,Incentives!E$100,"")),"")</f>
        <v/>
      </c>
      <c r="AB18" s="1282" t="str">
        <f>IF(Z18&lt;&gt;"",IF(Z18=84,Incentives!E$87,IF(Z18=98,Incentives!E$101,"")),"")</f>
        <v/>
      </c>
      <c r="AC18" s="1293">
        <v>223</v>
      </c>
    </row>
    <row r="19" spans="1:29" s="1140" customFormat="1" ht="30" customHeight="1" thickBot="1" x14ac:dyDescent="0.3">
      <c r="A19" s="494"/>
      <c r="B19" s="1186"/>
      <c r="C19" s="1198" t="s">
        <v>1482</v>
      </c>
      <c r="D19" s="1601" t="s">
        <v>1587</v>
      </c>
      <c r="E19" s="1602"/>
      <c r="F19" s="1186"/>
      <c r="G19" s="1238"/>
      <c r="H19" s="1201" t="s">
        <v>1479</v>
      </c>
      <c r="I19" s="1186"/>
      <c r="J19" s="1201" t="s">
        <v>1480</v>
      </c>
      <c r="K19" s="1186"/>
      <c r="L19" s="1201" t="s">
        <v>1496</v>
      </c>
      <c r="M19" s="1186"/>
      <c r="N19" s="1201" t="s">
        <v>1481</v>
      </c>
      <c r="O19" s="1186"/>
      <c r="P19" s="1201" t="s">
        <v>1588</v>
      </c>
      <c r="Q19" s="1186"/>
      <c r="R19" s="1201" t="s">
        <v>1589</v>
      </c>
      <c r="S19" s="1186"/>
      <c r="T19" s="1201" t="s">
        <v>1590</v>
      </c>
      <c r="U19" s="1186"/>
      <c r="W19" s="1207">
        <v>1301</v>
      </c>
      <c r="X19" s="1213" t="s">
        <v>1641</v>
      </c>
      <c r="Y19" s="1212">
        <v>1</v>
      </c>
      <c r="Z19" s="1144" t="str">
        <f>IF(Incentives!$E$111="Yes",IF(Incentives!$E$112=X19,112,""),"")</f>
        <v/>
      </c>
      <c r="AA19" s="1282" t="str">
        <f>IF(Z19&lt;&gt;"",IF(Z19=112,Incentives!E$114,""),"")</f>
        <v/>
      </c>
      <c r="AB19" s="1282" t="str">
        <f>IF(Z19&lt;&gt;"",IF(Z19=112,Incentives!E$115,""),"")</f>
        <v/>
      </c>
      <c r="AC19" s="1295">
        <v>239</v>
      </c>
    </row>
    <row r="20" spans="1:29" s="1140" customFormat="1" ht="18" customHeight="1" thickBot="1" x14ac:dyDescent="0.3">
      <c r="A20" s="653"/>
      <c r="B20" s="1186"/>
      <c r="C20" s="1186"/>
      <c r="D20" s="1186"/>
      <c r="E20" s="1186"/>
      <c r="F20" s="1186"/>
      <c r="G20" s="1238"/>
      <c r="H20" s="1142"/>
      <c r="I20" s="1186"/>
      <c r="J20" s="1191"/>
      <c r="K20" s="1186"/>
      <c r="L20" s="1191"/>
      <c r="M20" s="1186"/>
      <c r="N20" s="1237"/>
      <c r="O20" s="1186"/>
      <c r="P20" s="1143" t="s">
        <v>1591</v>
      </c>
      <c r="Q20" s="1186"/>
      <c r="R20" s="1143" t="s">
        <v>1592</v>
      </c>
      <c r="S20" s="1186"/>
      <c r="T20" s="1187" t="s">
        <v>653</v>
      </c>
      <c r="U20" s="1186"/>
      <c r="W20" s="1207">
        <v>1302</v>
      </c>
      <c r="X20" s="1213" t="s">
        <v>1641</v>
      </c>
      <c r="Y20" s="1211">
        <v>2</v>
      </c>
      <c r="Z20" s="1144" t="str">
        <f>IF(Incentives!$E$119="Yes",IF(Incentives!$E$120=X20,120,""),"")</f>
        <v/>
      </c>
      <c r="AA20" s="1282" t="str">
        <f>IF(Z20&lt;&gt;"",IF(Z20=120,Incentives!E$122,""),"")</f>
        <v/>
      </c>
      <c r="AB20" s="1282" t="str">
        <f>IF(Z20&lt;&gt;"",IF(Z20=120,Incentives!E$123,""),"")</f>
        <v/>
      </c>
      <c r="AC20" s="1295">
        <v>253</v>
      </c>
    </row>
    <row r="21" spans="1:29" s="1140" customFormat="1" ht="30.75" customHeight="1" thickBot="1" x14ac:dyDescent="0.3">
      <c r="A21" s="653"/>
      <c r="B21" s="1186"/>
      <c r="C21" s="1198" t="s">
        <v>1593</v>
      </c>
      <c r="D21" s="1603">
        <v>1202</v>
      </c>
      <c r="E21" s="1604"/>
      <c r="F21" s="1186"/>
      <c r="G21" s="1238"/>
      <c r="H21" s="1186"/>
      <c r="I21" s="1186"/>
      <c r="J21" s="1186"/>
      <c r="K21" s="1186"/>
      <c r="L21" s="1186"/>
      <c r="M21" s="1186"/>
      <c r="N21" s="1186"/>
      <c r="O21" s="1186"/>
      <c r="P21" s="1186"/>
      <c r="Q21" s="1186"/>
      <c r="R21" s="1186"/>
      <c r="S21" s="1186"/>
      <c r="T21" s="1186"/>
      <c r="U21" s="1186"/>
      <c r="W21" s="1207">
        <v>1303</v>
      </c>
      <c r="X21" s="1213" t="s">
        <v>1641</v>
      </c>
      <c r="Y21" s="1258">
        <v>3</v>
      </c>
      <c r="Z21" s="1144" t="str">
        <f>IF(Incentives!$E$127="Yes",IF(Incentives!$E$128=X21,128,""),"")</f>
        <v/>
      </c>
      <c r="AA21" s="1282" t="str">
        <f>IF(Z21&lt;&gt;"",IF(Z21=128,Incentives!E$130,""),"")</f>
        <v/>
      </c>
      <c r="AB21" s="1282" t="str">
        <f>IF(Z21&lt;&gt;"",IF(Z21=128,Incentives!E$131,""),"")</f>
        <v/>
      </c>
      <c r="AC21" s="1295">
        <v>267</v>
      </c>
    </row>
    <row r="22" spans="1:29" s="1140" customFormat="1" ht="18" customHeight="1" thickBot="1" x14ac:dyDescent="0.3">
      <c r="A22" s="653"/>
      <c r="B22" s="1186"/>
      <c r="C22" s="1186"/>
      <c r="D22" s="1186"/>
      <c r="E22" s="1186"/>
      <c r="F22" s="1186"/>
      <c r="G22" s="1238"/>
      <c r="H22" s="1186"/>
      <c r="I22" s="1186"/>
      <c r="J22" s="1186"/>
      <c r="K22" s="1186"/>
      <c r="L22" s="1201" t="s">
        <v>1488</v>
      </c>
      <c r="M22" s="1186"/>
      <c r="N22" s="1186"/>
      <c r="O22" s="1186"/>
      <c r="P22" s="1186"/>
      <c r="Q22" s="1186"/>
      <c r="R22" s="1186"/>
      <c r="S22" s="1186"/>
      <c r="T22" s="1186"/>
      <c r="U22" s="1186"/>
      <c r="W22" s="1207">
        <v>1304</v>
      </c>
      <c r="X22" s="1213" t="s">
        <v>1641</v>
      </c>
      <c r="Y22" s="1258">
        <v>4</v>
      </c>
      <c r="Z22" s="1144" t="str">
        <f>IF(Incentives!$E$135="Yes",IF(Incentives!$E$136=X22,136,""),"")</f>
        <v/>
      </c>
      <c r="AA22" s="1282" t="str">
        <f>IF(Z22&lt;&gt;"",IF(Z22=136,Incentives!E$138,""),"")</f>
        <v/>
      </c>
      <c r="AB22" s="1282" t="str">
        <f>IF(Z22&lt;&gt;"",IF(Z22=136,Incentives!E$139,""),"")</f>
        <v/>
      </c>
      <c r="AC22" s="1295">
        <v>281</v>
      </c>
    </row>
    <row r="23" spans="1:29" s="1140" customFormat="1" ht="18" customHeight="1" thickBot="1" x14ac:dyDescent="0.3">
      <c r="A23" s="653"/>
      <c r="B23" s="1186"/>
      <c r="C23" s="1198" t="s">
        <v>1484</v>
      </c>
      <c r="D23" s="1605" t="str">
        <f>AA4</f>
        <v/>
      </c>
      <c r="E23" s="1606"/>
      <c r="F23" s="1186"/>
      <c r="G23" s="1238"/>
      <c r="H23" s="1186"/>
      <c r="I23" s="1186"/>
      <c r="J23" s="1186"/>
      <c r="K23" s="1186"/>
      <c r="L23" s="1192"/>
      <c r="M23" s="1186"/>
      <c r="N23" s="1186"/>
      <c r="O23" s="1186"/>
      <c r="P23" s="1186"/>
      <c r="Q23" s="1186"/>
      <c r="R23" s="1186"/>
      <c r="S23" s="1186"/>
      <c r="T23" s="1186"/>
      <c r="U23" s="1186"/>
      <c r="W23" s="1207">
        <v>1305</v>
      </c>
      <c r="X23" s="1213" t="s">
        <v>1641</v>
      </c>
      <c r="Y23" s="1258">
        <v>5</v>
      </c>
      <c r="Z23" s="1144" t="str">
        <f>IF(Incentives!$E$143="Yes",IF(Incentives!$E$144=X23,144,""),"")</f>
        <v/>
      </c>
      <c r="AA23" s="1282" t="str">
        <f>IF(Z23&lt;&gt;"",IF(Z23=144,Incentives!E$146,""),"")</f>
        <v/>
      </c>
      <c r="AB23" s="1282" t="str">
        <f>IF(Z23&lt;&gt;"",IF(Z23=144,Incentives!E$147,""),"")</f>
        <v/>
      </c>
      <c r="AC23" s="1295">
        <v>295</v>
      </c>
    </row>
    <row r="24" spans="1:29" s="1140" customFormat="1" ht="15.75" thickBot="1" x14ac:dyDescent="0.3">
      <c r="A24" s="653"/>
      <c r="B24" s="1186"/>
      <c r="C24" s="1186"/>
      <c r="D24" s="1186"/>
      <c r="E24" s="1186"/>
      <c r="F24" s="1186"/>
      <c r="G24" s="1238"/>
      <c r="H24" s="1186"/>
      <c r="I24" s="1186"/>
      <c r="J24" s="1186"/>
      <c r="K24" s="1186"/>
      <c r="L24" s="1186"/>
      <c r="M24" s="1186"/>
      <c r="N24" s="1186"/>
      <c r="O24" s="1186"/>
      <c r="P24" s="1186"/>
      <c r="Q24" s="1186"/>
      <c r="R24" s="1186"/>
      <c r="S24" s="1186"/>
      <c r="T24" s="1186"/>
      <c r="U24" s="1186"/>
      <c r="W24" s="1207">
        <v>4001</v>
      </c>
      <c r="X24" s="1213" t="s">
        <v>1642</v>
      </c>
      <c r="Y24" s="1211">
        <v>1</v>
      </c>
      <c r="Z24" s="1144" t="str">
        <f>IF(Incentives!$E$151="Yes",IF(Incentives!$E$152=X24,152,""),"")</f>
        <v/>
      </c>
      <c r="AA24" s="1282" t="str">
        <f>IF(Z24&lt;&gt;"",IF(Z24=152,Incentives!E$154,""),"")</f>
        <v/>
      </c>
      <c r="AB24" s="1282" t="str">
        <f>IF(Z24&lt;&gt;"",IF(Z24=152,Incentives!E$155,""),"")</f>
        <v/>
      </c>
      <c r="AC24" s="1295">
        <v>309</v>
      </c>
    </row>
    <row r="25" spans="1:29" s="1140" customFormat="1" ht="30" customHeight="1" thickBot="1" x14ac:dyDescent="0.3">
      <c r="A25" s="653"/>
      <c r="B25" s="1186"/>
      <c r="C25" s="1198" t="s">
        <v>1485</v>
      </c>
      <c r="D25" s="1605" t="str">
        <f>AB4</f>
        <v/>
      </c>
      <c r="E25" s="1606"/>
      <c r="F25" s="1186"/>
      <c r="G25" s="1238"/>
      <c r="H25" s="1200" t="s">
        <v>1594</v>
      </c>
      <c r="I25" s="1186"/>
      <c r="J25" s="1186"/>
      <c r="K25" s="1186"/>
      <c r="L25" s="1201" t="s">
        <v>1595</v>
      </c>
      <c r="M25" s="1186"/>
      <c r="N25" s="1186"/>
      <c r="O25" s="1186"/>
      <c r="P25" s="1186"/>
      <c r="Q25" s="1186"/>
      <c r="R25" s="1186"/>
      <c r="S25" s="1186"/>
      <c r="T25" s="1283" t="s">
        <v>1701</v>
      </c>
      <c r="U25" s="1186"/>
      <c r="W25" s="1257">
        <v>4601</v>
      </c>
      <c r="X25" s="1259" t="s">
        <v>1702</v>
      </c>
      <c r="Y25" s="1258">
        <v>1</v>
      </c>
      <c r="Z25" s="1292" t="str">
        <f>IF(Incentives!$E$159="Yes",IF(Incentives!$E$160=X25,160,IF(Incentives!$E$167="Yes",IF(Incentives!$E$168=X25,168,""),"")),"")</f>
        <v/>
      </c>
      <c r="AA25" s="1282" t="str">
        <f>IF(Z25&lt;&gt;"",IF(Z25=160,Incentives!E$162,IF(Z25=168,Incentives!E$170,"")),"")</f>
        <v/>
      </c>
      <c r="AB25" s="1282" t="str">
        <f>IF(Z25&lt;&gt;"",IF(Z25=160,Incentives!E$163,IF(Z25=168,Incentives!E$171,"")),"")</f>
        <v/>
      </c>
      <c r="AC25" s="1295">
        <v>323</v>
      </c>
    </row>
    <row r="26" spans="1:29" s="1140" customFormat="1" ht="18" customHeight="1" thickBot="1" x14ac:dyDescent="0.3">
      <c r="A26" s="653"/>
      <c r="B26" s="1186"/>
      <c r="C26" s="1186"/>
      <c r="D26" s="1186"/>
      <c r="E26" s="1186"/>
      <c r="F26" s="1186"/>
      <c r="G26" s="1238"/>
      <c r="H26" s="1187" t="s">
        <v>651</v>
      </c>
      <c r="I26" s="1186"/>
      <c r="J26" s="1186"/>
      <c r="K26" s="1186"/>
      <c r="L26" s="1159" t="s">
        <v>1596</v>
      </c>
      <c r="M26" s="1186"/>
      <c r="N26" s="1186"/>
      <c r="O26" s="1186"/>
      <c r="P26" s="1186"/>
      <c r="Q26" s="1186"/>
      <c r="R26" s="1186"/>
      <c r="S26" s="1186"/>
      <c r="T26" s="1284" t="s">
        <v>651</v>
      </c>
      <c r="U26" s="1186"/>
      <c r="W26" s="1257">
        <v>4602</v>
      </c>
      <c r="X26" s="1259"/>
      <c r="Y26" s="1258">
        <v>2</v>
      </c>
      <c r="Z26" s="1292" t="str">
        <f>IF(AND(Incentives!$E$159="Yes",Incentives!$E$160=X25),IF(Incentives!$E$167="Yes",IF(Incentives!$E$168=X25,168,""),""),"")</f>
        <v/>
      </c>
      <c r="AA26" s="1282" t="str">
        <f>IF(Z26&lt;&gt;"",IF(Z26=160,Incentives!E$162,IF(Z26=168,Incentives!E$170,"")),"")</f>
        <v/>
      </c>
      <c r="AB26" s="1282" t="str">
        <f>IF(Z26&lt;&gt;"",IF(Z26=160,Incentives!E$163,IF(Z26=168,Incentives!E$171,"")),"")</f>
        <v/>
      </c>
      <c r="AC26" s="1295">
        <v>337</v>
      </c>
    </row>
    <row r="27" spans="1:29" s="1140" customFormat="1" ht="30" customHeight="1" thickBot="1" x14ac:dyDescent="0.3">
      <c r="A27" s="653"/>
      <c r="B27" s="1186"/>
      <c r="C27" s="1204" t="s">
        <v>1597</v>
      </c>
      <c r="D27" s="1593" t="s">
        <v>651</v>
      </c>
      <c r="E27" s="1594"/>
      <c r="F27" s="1186"/>
      <c r="G27" s="1238"/>
      <c r="H27" s="1186"/>
      <c r="I27" s="1186"/>
      <c r="J27" s="1186"/>
      <c r="K27" s="1186"/>
      <c r="L27" s="1186"/>
      <c r="M27" s="1186"/>
      <c r="N27" s="1186"/>
      <c r="O27" s="1186"/>
      <c r="P27" s="1186"/>
      <c r="Q27" s="1186"/>
      <c r="R27" s="1186"/>
      <c r="S27" s="1186"/>
      <c r="T27" s="1186"/>
      <c r="U27" s="1186"/>
      <c r="W27" s="1257">
        <v>4901</v>
      </c>
      <c r="X27" s="1259" t="s">
        <v>1734</v>
      </c>
      <c r="Y27" s="1258">
        <v>1</v>
      </c>
      <c r="Z27" s="1292" t="str">
        <f>IF(Incentives!$E$159="Yes",IF(Incentives!$E$160=X27,160,IF(Incentives!$E$167="Yes",IF(Incentives!$E$168=X27,168,""),"")),"")</f>
        <v/>
      </c>
      <c r="AA27" s="1282" t="str">
        <f>IF(Z27&lt;&gt;"",IF(Z27=160,Incentives!E$162,IF(Z27=168,Incentives!E$170,"")),"")</f>
        <v/>
      </c>
      <c r="AB27" s="1282" t="str">
        <f>IF(Z27&lt;&gt;"",IF(Z27=160,Incentives!E$163,IF(Z27=168,Incentives!E$171,"")),"")</f>
        <v/>
      </c>
      <c r="AC27" s="1295">
        <v>351</v>
      </c>
    </row>
    <row r="28" spans="1:29" s="1140" customFormat="1" ht="18" customHeight="1" thickBot="1" x14ac:dyDescent="0.3">
      <c r="A28" s="653"/>
      <c r="B28" s="1186"/>
      <c r="C28" s="1186"/>
      <c r="D28" s="1186"/>
      <c r="E28" s="1186"/>
      <c r="F28" s="1186"/>
      <c r="G28" s="1238"/>
      <c r="H28" s="1186"/>
      <c r="I28" s="1186"/>
      <c r="J28" s="1186"/>
      <c r="K28" s="1186"/>
      <c r="L28" s="1186"/>
      <c r="M28" s="1186"/>
      <c r="N28" s="1186"/>
      <c r="O28" s="1186"/>
      <c r="P28" s="1186"/>
      <c r="Q28" s="1186"/>
      <c r="R28" s="1186"/>
      <c r="S28" s="1186"/>
      <c r="T28" s="194" t="s">
        <v>528</v>
      </c>
      <c r="U28" s="1186"/>
      <c r="W28" s="1257">
        <v>5001</v>
      </c>
      <c r="X28" s="1259" t="s">
        <v>1712</v>
      </c>
      <c r="Y28" s="1258">
        <v>1</v>
      </c>
      <c r="Z28" s="1292" t="str">
        <f>IF(Incentives!$E$175="Yes",IF(Incentives!$E$176=X28,176,""),"")</f>
        <v/>
      </c>
      <c r="AA28" s="1282" t="str">
        <f>IF(Z28&lt;&gt;"",IF(Z28=176,Incentives!E$178,""),"")</f>
        <v/>
      </c>
      <c r="AB28" s="1282" t="str">
        <f>IF(Z28&lt;&gt;"",IF(Z28=176,Incentives!E$179,""),"")</f>
        <v/>
      </c>
      <c r="AC28" s="1295">
        <v>365</v>
      </c>
    </row>
    <row r="29" spans="1:29" s="1140" customFormat="1" ht="18" customHeight="1" thickBot="1" x14ac:dyDescent="0.3">
      <c r="A29" s="653"/>
      <c r="B29" s="1186"/>
      <c r="C29" s="1198" t="s">
        <v>1598</v>
      </c>
      <c r="D29" s="1603" t="s">
        <v>1599</v>
      </c>
      <c r="E29" s="1604"/>
      <c r="F29" s="1186"/>
      <c r="G29" s="1238"/>
      <c r="H29" s="1186"/>
      <c r="I29" s="1186"/>
      <c r="J29" s="1186"/>
      <c r="K29" s="1186"/>
      <c r="L29" s="1186"/>
      <c r="M29" s="1186"/>
      <c r="N29" s="1186"/>
      <c r="O29" s="1186"/>
      <c r="P29" s="1186"/>
      <c r="Q29" s="1186"/>
      <c r="R29" s="1186"/>
      <c r="S29" s="1186"/>
      <c r="T29" s="1233" t="str">
        <f>IF(Z4&lt;&gt;"","Yes","No")</f>
        <v>No</v>
      </c>
      <c r="U29" s="1186"/>
      <c r="W29" s="1257">
        <v>801</v>
      </c>
      <c r="X29" s="1259" t="s">
        <v>1210</v>
      </c>
      <c r="Y29" s="1258">
        <v>1</v>
      </c>
      <c r="Z29" s="1144" t="str">
        <f>IF(Incentives!$E$183="Yes",IF(Incentives!$E$184=X29,184,""),"")</f>
        <v/>
      </c>
      <c r="AA29" s="1282" t="str">
        <f>IF(Z29&lt;&gt;"",IF(Z29=184,Incentives!E$186,""),"")</f>
        <v/>
      </c>
      <c r="AB29" s="1282" t="str">
        <f>IF(Z29&lt;&gt;"",IF(Z29=184,Incentives!E$187,""),"")</f>
        <v/>
      </c>
      <c r="AC29" s="1293">
        <v>379</v>
      </c>
    </row>
    <row r="30" spans="1:29" s="1140" customFormat="1" ht="20.25" customHeight="1" thickBot="1" x14ac:dyDescent="0.3">
      <c r="A30" s="653"/>
      <c r="B30" s="1186"/>
      <c r="C30" s="1186"/>
      <c r="D30" s="1186"/>
      <c r="E30" s="1186"/>
      <c r="F30" s="1186"/>
      <c r="G30" s="1238"/>
      <c r="H30" s="1186"/>
      <c r="I30" s="1186"/>
      <c r="J30" s="1186"/>
      <c r="K30" s="1186"/>
      <c r="L30" s="1186"/>
      <c r="M30" s="1186"/>
      <c r="N30" s="1186"/>
      <c r="O30" s="1186"/>
      <c r="P30" s="1186"/>
      <c r="Q30" s="1186"/>
      <c r="R30" s="1186"/>
      <c r="S30" s="1186"/>
      <c r="T30" s="1186"/>
      <c r="U30" s="1186"/>
      <c r="W30" s="1257">
        <v>901</v>
      </c>
      <c r="X30" s="1259" t="s">
        <v>1716</v>
      </c>
      <c r="Y30" s="1258">
        <v>1</v>
      </c>
      <c r="Z30" s="1144" t="str">
        <f>IF(Incentives!$E$183="Yes",IF(Incentives!$E$184=X30,184,""),"")</f>
        <v/>
      </c>
      <c r="AA30" s="1282" t="str">
        <f>IF(Z30&lt;&gt;"",IF(Z30=184,Incentives!E$186,""),"")</f>
        <v/>
      </c>
      <c r="AB30" s="1282" t="str">
        <f>IF(Z30&lt;&gt;"",IF(Z30=184,Incentives!E$187,""),"")</f>
        <v/>
      </c>
      <c r="AC30" s="1293">
        <v>393</v>
      </c>
    </row>
    <row r="31" spans="1:29" s="1140" customFormat="1" ht="20.25" customHeight="1" thickBot="1" x14ac:dyDescent="0.3">
      <c r="A31" s="653"/>
      <c r="B31" s="1607" t="s">
        <v>1601</v>
      </c>
      <c r="C31" s="1617"/>
      <c r="D31" s="1617"/>
      <c r="E31" s="1617"/>
      <c r="F31" s="1617"/>
      <c r="G31" s="1617"/>
      <c r="H31" s="1617"/>
      <c r="I31" s="1617"/>
      <c r="J31" s="1617"/>
      <c r="K31" s="1617"/>
      <c r="L31" s="1617"/>
      <c r="M31" s="1617"/>
      <c r="N31" s="1617"/>
      <c r="O31" s="1617"/>
      <c r="P31" s="1617"/>
      <c r="Q31" s="1617"/>
      <c r="R31" s="1617"/>
      <c r="S31" s="1617"/>
      <c r="T31" s="1617"/>
      <c r="U31" s="1618"/>
      <c r="W31" s="1257">
        <v>501</v>
      </c>
      <c r="X31" s="1259" t="s">
        <v>1718</v>
      </c>
      <c r="Y31" s="1258">
        <v>1</v>
      </c>
      <c r="Z31" s="1144" t="str">
        <f>IF(Incentives!$E$194="Yes",IF(Incentives!$E$195=X31,195,IF(Incentives!$E$206="Yes",IF(Incentives!$E$207=X31,207,""),"")),"")</f>
        <v/>
      </c>
      <c r="AA31" s="1282" t="str">
        <f>IF(Z31&lt;&gt;"",IF(Z31=195,Incentives!E$197,IF(Z31=207,Incentives!E$209,"")),"")</f>
        <v/>
      </c>
      <c r="AB31" s="1282" t="str">
        <f>IF(Z31&lt;&gt;"",IF(Z31=195,Incentives!E$198,IF(Z31=207,Incentives!E$210,"")),"")</f>
        <v/>
      </c>
      <c r="AC31" s="1293">
        <v>407</v>
      </c>
    </row>
    <row r="32" spans="1:29" s="1140" customFormat="1" ht="20.25" customHeight="1" thickBot="1" x14ac:dyDescent="0.3">
      <c r="A32" s="653"/>
      <c r="B32" s="1186"/>
      <c r="C32" s="1186"/>
      <c r="D32" s="1186"/>
      <c r="E32" s="1186"/>
      <c r="F32" s="1186"/>
      <c r="G32" s="1238"/>
      <c r="H32" s="1186"/>
      <c r="I32" s="1186"/>
      <c r="J32" s="1186"/>
      <c r="K32" s="1186"/>
      <c r="L32" s="1186"/>
      <c r="M32" s="1186"/>
      <c r="N32" s="1186"/>
      <c r="O32" s="1186"/>
      <c r="P32" s="1186"/>
      <c r="Q32" s="1186"/>
      <c r="R32" s="1186"/>
      <c r="S32" s="1186"/>
      <c r="T32" s="1186"/>
      <c r="U32" s="1186"/>
      <c r="W32" s="1257">
        <v>502</v>
      </c>
      <c r="X32" s="1259"/>
      <c r="Y32" s="1258">
        <v>2</v>
      </c>
      <c r="Z32" s="1145" t="str">
        <f>IF(AND(Incentives!$E$194="Yes",Incentives!$E$195=X31),IF(Incentives!$E$206="Yes",IF(Incentives!$E$207=X31,207,""),""),"")</f>
        <v/>
      </c>
      <c r="AA32" s="1282" t="str">
        <f>IF(Z32&lt;&gt;"",IF(Z32=195,Incentives!E$197,IF(Z32=207,Incentives!E$209,"")),"")</f>
        <v/>
      </c>
      <c r="AB32" s="1282" t="str">
        <f>IF(Z32&lt;&gt;"",IF(Z32=195,Incentives!E$198,IF(Z32=207,Incentives!E$210,"")),"")</f>
        <v/>
      </c>
      <c r="AC32" s="1293">
        <v>421</v>
      </c>
    </row>
    <row r="33" spans="1:29" s="1140" customFormat="1" ht="30" customHeight="1" thickBot="1" x14ac:dyDescent="0.3">
      <c r="A33" s="494"/>
      <c r="B33" s="1186"/>
      <c r="C33" s="1198" t="s">
        <v>1482</v>
      </c>
      <c r="D33" s="1601" t="s">
        <v>1602</v>
      </c>
      <c r="E33" s="1602"/>
      <c r="F33" s="1186"/>
      <c r="G33" s="1238"/>
      <c r="H33" s="1201" t="s">
        <v>1479</v>
      </c>
      <c r="I33" s="1186"/>
      <c r="J33" s="1201" t="s">
        <v>1480</v>
      </c>
      <c r="K33" s="1186"/>
      <c r="L33" s="1201" t="s">
        <v>1496</v>
      </c>
      <c r="M33" s="1186"/>
      <c r="N33" s="1201" t="s">
        <v>1481</v>
      </c>
      <c r="O33" s="1186"/>
      <c r="P33" s="1201" t="s">
        <v>1588</v>
      </c>
      <c r="Q33" s="1186"/>
      <c r="R33" s="1201" t="s">
        <v>1589</v>
      </c>
      <c r="S33" s="1186"/>
      <c r="T33" s="1201" t="s">
        <v>1590</v>
      </c>
      <c r="U33" s="1186"/>
      <c r="W33" s="1257">
        <v>5401</v>
      </c>
      <c r="X33" s="1259" t="s">
        <v>1721</v>
      </c>
      <c r="Y33" s="1258">
        <v>1</v>
      </c>
      <c r="Z33" s="1144" t="str">
        <f>IF(Incentives!$E$194="Yes",IF(Incentives!$E$195=X33,195,IF(Incentives!$E$206="Yes",IF(Incentives!$E$207=X33,207,""),"")),"")</f>
        <v/>
      </c>
      <c r="AA33" s="1282" t="str">
        <f>IF(Z33&lt;&gt;"",IF(Z33=195,Incentives!E$197,IF(Z33=207,Incentives!E$209,"")),"")</f>
        <v/>
      </c>
      <c r="AB33" s="1282" t="str">
        <f>IF(Z33&lt;&gt;"",IF(Z33=195,Incentives!E$198,IF(Z33=207,Incentives!E$210,"")),"")</f>
        <v/>
      </c>
      <c r="AC33" s="1293">
        <v>435</v>
      </c>
    </row>
    <row r="34" spans="1:29" s="1140" customFormat="1" ht="18" customHeight="1" thickBot="1" x14ac:dyDescent="0.3">
      <c r="A34" s="653"/>
      <c r="B34" s="1186"/>
      <c r="C34" s="1188"/>
      <c r="D34" s="1186"/>
      <c r="E34" s="1186"/>
      <c r="F34" s="1186"/>
      <c r="G34" s="1238"/>
      <c r="H34" s="1142"/>
      <c r="I34" s="1186"/>
      <c r="J34" s="1191"/>
      <c r="K34" s="1186"/>
      <c r="L34" s="1191"/>
      <c r="M34" s="1186"/>
      <c r="N34" s="1237"/>
      <c r="O34" s="1186"/>
      <c r="P34" s="1143" t="s">
        <v>1591</v>
      </c>
      <c r="Q34" s="1186"/>
      <c r="R34" s="1143" t="s">
        <v>1592</v>
      </c>
      <c r="S34" s="1186"/>
      <c r="T34" s="1187" t="s">
        <v>653</v>
      </c>
      <c r="U34" s="1186"/>
      <c r="W34" s="1257">
        <v>5402</v>
      </c>
      <c r="X34" s="1259"/>
      <c r="Y34" s="1258">
        <v>2</v>
      </c>
      <c r="Z34" s="1145" t="str">
        <f>IF(AND(Incentives!$E$194="Yes",Incentives!$E$195=X33),IF(Incentives!$E$206="Yes",IF(Incentives!$E$207=X33,207,""),""),"")</f>
        <v/>
      </c>
      <c r="AA34" s="1282" t="str">
        <f>IF(Z34&lt;&gt;"",IF(Z34=195,Incentives!E$197,IF(Z34=207,Incentives!E$209,"")),"")</f>
        <v/>
      </c>
      <c r="AB34" s="1282" t="str">
        <f>IF(Z34&lt;&gt;"",IF(Z34=195,Incentives!E$198,IF(Z34=207,Incentives!E$210,"")),"")</f>
        <v/>
      </c>
      <c r="AC34" s="1293">
        <v>449</v>
      </c>
    </row>
    <row r="35" spans="1:29" s="1140" customFormat="1" ht="30.75" customHeight="1" thickBot="1" x14ac:dyDescent="0.3">
      <c r="A35" s="653"/>
      <c r="B35" s="1186"/>
      <c r="C35" s="1198" t="s">
        <v>1593</v>
      </c>
      <c r="D35" s="1603">
        <v>1401</v>
      </c>
      <c r="E35" s="1604"/>
      <c r="F35" s="1186"/>
      <c r="G35" s="1238"/>
      <c r="H35" s="1186"/>
      <c r="I35" s="1186"/>
      <c r="J35" s="1186"/>
      <c r="K35" s="1186"/>
      <c r="L35" s="1186"/>
      <c r="M35" s="1186"/>
      <c r="N35" s="1186"/>
      <c r="O35" s="1186"/>
      <c r="P35" s="1186"/>
      <c r="Q35" s="1186"/>
      <c r="R35" s="1186"/>
      <c r="S35" s="1186"/>
      <c r="T35" s="1186"/>
      <c r="U35" s="1186"/>
      <c r="W35" s="1257">
        <v>601</v>
      </c>
      <c r="X35" s="1259" t="s">
        <v>1724</v>
      </c>
      <c r="Y35" s="1258">
        <v>1</v>
      </c>
      <c r="Z35" s="1144" t="str">
        <f>IF(Incentives!$E$194="Yes",IF(Incentives!$E$195=X35,195,IF(Incentives!$E$206="Yes",IF(Incentives!$E$207=X35,207,""),"")),"")</f>
        <v/>
      </c>
      <c r="AA35" s="1282" t="str">
        <f>IF(Z35&lt;&gt;"",IF(Z35=195,Incentives!E$197,IF(Z35=207,Incentives!E$209,"")),"")</f>
        <v/>
      </c>
      <c r="AB35" s="1282" t="str">
        <f>IF(Z35&lt;&gt;"",IF(Z35=195,Incentives!E$198,IF(Z35=207,Incentives!E$210,"")),"")</f>
        <v/>
      </c>
      <c r="AC35" s="1293">
        <v>463</v>
      </c>
    </row>
    <row r="36" spans="1:29" s="1140" customFormat="1" ht="30" customHeight="1" thickBot="1" x14ac:dyDescent="0.3">
      <c r="A36" s="653"/>
      <c r="B36" s="1186"/>
      <c r="C36" s="1188"/>
      <c r="D36" s="1186"/>
      <c r="E36" s="1186"/>
      <c r="F36" s="1186"/>
      <c r="G36" s="1238"/>
      <c r="H36" s="1202" t="s">
        <v>1486</v>
      </c>
      <c r="I36" s="1186"/>
      <c r="J36" s="1201" t="s">
        <v>1487</v>
      </c>
      <c r="K36" s="1186"/>
      <c r="L36" s="1201" t="s">
        <v>1488</v>
      </c>
      <c r="M36" s="1186"/>
      <c r="N36" s="1201" t="s">
        <v>1603</v>
      </c>
      <c r="O36" s="1186"/>
      <c r="P36" s="1201" t="s">
        <v>1604</v>
      </c>
      <c r="Q36" s="1186"/>
      <c r="R36" s="1201" t="s">
        <v>1605</v>
      </c>
      <c r="S36" s="1186"/>
      <c r="T36" s="1186"/>
      <c r="U36" s="1186"/>
      <c r="W36" s="1257">
        <v>602</v>
      </c>
      <c r="X36" s="1259"/>
      <c r="Y36" s="1258">
        <v>2</v>
      </c>
      <c r="Z36" s="1145" t="str">
        <f>IF(AND(Incentives!$E$194="Yes",Incentives!$E$195=X35),IF(Incentives!$E$206="Yes",IF(Incentives!$E$207=X35,207,""),""),"")</f>
        <v/>
      </c>
      <c r="AA36" s="1282" t="str">
        <f>IF(Z36&lt;&gt;"",IF(Z36=195,Incentives!E$197,IF(Z36=207,Incentives!E$209,"")),"")</f>
        <v/>
      </c>
      <c r="AB36" s="1282" t="str">
        <f>IF(Z36&lt;&gt;"",IF(Z36=195,Incentives!E$198,IF(Z36=207,Incentives!E$210,"")),"")</f>
        <v/>
      </c>
      <c r="AC36" s="1293">
        <v>477</v>
      </c>
    </row>
    <row r="37" spans="1:29" s="1140" customFormat="1" ht="18" customHeight="1" thickBot="1" x14ac:dyDescent="0.3">
      <c r="A37" s="653"/>
      <c r="B37" s="1186"/>
      <c r="C37" s="1198" t="s">
        <v>1484</v>
      </c>
      <c r="D37" s="1605" t="str">
        <f>AA5</f>
        <v/>
      </c>
      <c r="E37" s="1606"/>
      <c r="F37" s="1186"/>
      <c r="G37" s="1238" t="s">
        <v>1048</v>
      </c>
      <c r="H37" s="1192"/>
      <c r="I37" s="1186"/>
      <c r="J37" s="1192">
        <v>999999999.99000001</v>
      </c>
      <c r="K37" s="1186"/>
      <c r="L37" s="1192"/>
      <c r="M37" s="1186"/>
      <c r="N37" s="1159" t="s">
        <v>482</v>
      </c>
      <c r="O37" s="1186"/>
      <c r="P37" s="1159" t="s">
        <v>1606</v>
      </c>
      <c r="Q37" s="1186"/>
      <c r="R37" s="1159" t="s">
        <v>1607</v>
      </c>
      <c r="S37" s="1186"/>
      <c r="T37" s="1186"/>
      <c r="U37" s="1186"/>
      <c r="W37" s="1257">
        <v>1001</v>
      </c>
      <c r="X37" s="1259" t="s">
        <v>1733</v>
      </c>
      <c r="Y37" s="1258">
        <v>1</v>
      </c>
      <c r="Z37" s="1144" t="str">
        <f>IF(Incentives!$E$218="Yes",IF(Incentives!$E$219=X37,219,""),"")</f>
        <v/>
      </c>
      <c r="AA37" s="1282" t="str">
        <f>IF(Z37&lt;&gt;"",IF(Z37=219,Incentives!E$221,""),"")</f>
        <v/>
      </c>
      <c r="AB37" s="1282" t="str">
        <f>IF(Z37&lt;&gt;"",IF(Z37=219,Incentives!E$222,""),"")</f>
        <v/>
      </c>
      <c r="AC37" s="1293">
        <v>491</v>
      </c>
    </row>
    <row r="38" spans="1:29" s="1140" customFormat="1" ht="15.75" thickBot="1" x14ac:dyDescent="0.3">
      <c r="A38" s="653"/>
      <c r="B38" s="1186"/>
      <c r="C38" s="1188"/>
      <c r="D38" s="1186"/>
      <c r="E38" s="1186"/>
      <c r="F38" s="1186"/>
      <c r="G38" s="1238"/>
      <c r="H38" s="1186"/>
      <c r="I38" s="1186"/>
      <c r="J38" s="1186"/>
      <c r="K38" s="1186"/>
      <c r="L38" s="1186"/>
      <c r="M38" s="1186"/>
      <c r="N38" s="1186"/>
      <c r="O38" s="1186"/>
      <c r="P38" s="1186"/>
      <c r="Q38" s="1186"/>
      <c r="R38" s="1186"/>
      <c r="S38" s="1186"/>
      <c r="T38" s="1186"/>
      <c r="U38" s="1186"/>
    </row>
    <row r="39" spans="1:29" s="1140" customFormat="1" ht="30" customHeight="1" thickBot="1" x14ac:dyDescent="0.3">
      <c r="A39" s="653"/>
      <c r="B39" s="1186"/>
      <c r="C39" s="1198" t="s">
        <v>1485</v>
      </c>
      <c r="D39" s="1605" t="str">
        <f>AB5</f>
        <v/>
      </c>
      <c r="E39" s="1606"/>
      <c r="F39" s="1186"/>
      <c r="G39" s="1238"/>
      <c r="H39" s="1200" t="s">
        <v>1594</v>
      </c>
      <c r="I39" s="1186"/>
      <c r="J39" s="1201" t="s">
        <v>1608</v>
      </c>
      <c r="K39" s="1186"/>
      <c r="L39" s="1201" t="s">
        <v>1595</v>
      </c>
      <c r="M39" s="1186"/>
      <c r="N39" s="1201" t="s">
        <v>1609</v>
      </c>
      <c r="O39" s="1186"/>
      <c r="P39" s="1201" t="s">
        <v>1610</v>
      </c>
      <c r="Q39" s="1186"/>
      <c r="R39" s="1201" t="s">
        <v>1611</v>
      </c>
      <c r="S39" s="1186"/>
      <c r="T39" s="1283" t="s">
        <v>1701</v>
      </c>
      <c r="U39" s="1186"/>
    </row>
    <row r="40" spans="1:29" s="1140" customFormat="1" ht="18" customHeight="1" thickBot="1" x14ac:dyDescent="0.3">
      <c r="A40" s="653"/>
      <c r="B40" s="1186"/>
      <c r="C40" s="1188"/>
      <c r="D40" s="1186"/>
      <c r="E40" s="1186"/>
      <c r="F40" s="1186"/>
      <c r="G40" s="1238"/>
      <c r="H40" s="1187" t="s">
        <v>651</v>
      </c>
      <c r="I40" s="1186"/>
      <c r="J40" s="1143" t="s">
        <v>1596</v>
      </c>
      <c r="K40" s="1186"/>
      <c r="L40" s="1159" t="s">
        <v>1596</v>
      </c>
      <c r="M40" s="1186"/>
      <c r="N40" s="1159" t="s">
        <v>651</v>
      </c>
      <c r="O40" s="1186"/>
      <c r="P40" s="1187" t="s">
        <v>651</v>
      </c>
      <c r="Q40" s="1186"/>
      <c r="R40" s="1159" t="s">
        <v>861</v>
      </c>
      <c r="S40" s="1186"/>
      <c r="T40" s="1284" t="s">
        <v>651</v>
      </c>
      <c r="U40" s="1186"/>
    </row>
    <row r="41" spans="1:29" s="1140" customFormat="1" ht="30" customHeight="1" thickBot="1" x14ac:dyDescent="0.3">
      <c r="A41" s="653"/>
      <c r="B41" s="1186"/>
      <c r="C41" s="1204" t="s">
        <v>1597</v>
      </c>
      <c r="D41" s="1593" t="s">
        <v>651</v>
      </c>
      <c r="E41" s="1594"/>
      <c r="F41" s="1186"/>
      <c r="G41" s="1238"/>
      <c r="H41" s="1186"/>
      <c r="I41" s="1186"/>
      <c r="J41" s="1186"/>
      <c r="K41" s="1186"/>
      <c r="L41" s="1186"/>
      <c r="M41" s="1186"/>
      <c r="N41" s="1186"/>
      <c r="O41" s="1186"/>
      <c r="P41" s="1186"/>
      <c r="Q41" s="1186"/>
      <c r="R41" s="1186"/>
      <c r="S41" s="1186"/>
      <c r="T41" s="1186"/>
      <c r="U41" s="1186"/>
    </row>
    <row r="42" spans="1:29" s="1140" customFormat="1" ht="18" customHeight="1" thickBot="1" x14ac:dyDescent="0.3">
      <c r="A42" s="653"/>
      <c r="B42" s="1186"/>
      <c r="C42" s="1188"/>
      <c r="D42" s="1186"/>
      <c r="E42" s="1186"/>
      <c r="F42" s="1186"/>
      <c r="G42" s="1238"/>
      <c r="H42" s="1186"/>
      <c r="I42" s="1186"/>
      <c r="J42" s="1186"/>
      <c r="K42" s="1186"/>
      <c r="L42" s="1186"/>
      <c r="M42" s="1186"/>
      <c r="N42" s="1186"/>
      <c r="O42" s="1186"/>
      <c r="P42" s="1186"/>
      <c r="Q42" s="1186"/>
      <c r="R42" s="1186"/>
      <c r="S42" s="1186"/>
      <c r="T42" s="1201" t="s">
        <v>528</v>
      </c>
      <c r="U42" s="1186"/>
    </row>
    <row r="43" spans="1:29" s="1140" customFormat="1" ht="18" customHeight="1" thickBot="1" x14ac:dyDescent="0.3">
      <c r="A43" s="653"/>
      <c r="B43" s="1186"/>
      <c r="C43" s="1198" t="s">
        <v>1598</v>
      </c>
      <c r="D43" s="1603" t="s">
        <v>1599</v>
      </c>
      <c r="E43" s="1604"/>
      <c r="F43" s="1186"/>
      <c r="G43" s="1238"/>
      <c r="H43" s="1186"/>
      <c r="I43" s="1186"/>
      <c r="J43" s="1186"/>
      <c r="K43" s="1186"/>
      <c r="L43" s="1186"/>
      <c r="M43" s="1186"/>
      <c r="N43" s="1186"/>
      <c r="O43" s="1186"/>
      <c r="P43" s="1186"/>
      <c r="Q43" s="1186"/>
      <c r="R43" s="1186"/>
      <c r="S43" s="1186"/>
      <c r="T43" s="1233" t="str">
        <f>IF(Z5&lt;&gt;"","Yes","No")</f>
        <v>No</v>
      </c>
      <c r="U43" s="1186"/>
    </row>
    <row r="44" spans="1:29" s="1140" customFormat="1" ht="19.5" customHeight="1" thickBot="1" x14ac:dyDescent="0.3">
      <c r="A44" s="653"/>
      <c r="B44" s="1186"/>
      <c r="C44" s="1186"/>
      <c r="D44" s="1186"/>
      <c r="E44" s="1186"/>
      <c r="F44" s="1186"/>
      <c r="G44" s="1238"/>
      <c r="H44" s="1186"/>
      <c r="I44" s="1186"/>
      <c r="J44" s="1186"/>
      <c r="K44" s="1186"/>
      <c r="L44" s="1186"/>
      <c r="M44" s="1186"/>
      <c r="N44" s="1186"/>
      <c r="O44" s="1186"/>
      <c r="P44" s="1186"/>
      <c r="Q44" s="1186"/>
      <c r="R44" s="1186"/>
      <c r="S44" s="1186"/>
      <c r="T44" s="1186"/>
      <c r="U44" s="1186"/>
    </row>
    <row r="45" spans="1:29" s="1140" customFormat="1" ht="15.75" customHeight="1" thickBot="1" x14ac:dyDescent="0.3">
      <c r="A45" s="653"/>
      <c r="B45" s="1607" t="s">
        <v>1613</v>
      </c>
      <c r="C45" s="1617"/>
      <c r="D45" s="1617"/>
      <c r="E45" s="1617"/>
      <c r="F45" s="1617"/>
      <c r="G45" s="1617"/>
      <c r="H45" s="1617"/>
      <c r="I45" s="1617"/>
      <c r="J45" s="1617"/>
      <c r="K45" s="1617"/>
      <c r="L45" s="1617"/>
      <c r="M45" s="1617"/>
      <c r="N45" s="1617"/>
      <c r="O45" s="1617"/>
      <c r="P45" s="1617"/>
      <c r="Q45" s="1617"/>
      <c r="R45" s="1617"/>
      <c r="S45" s="1617"/>
      <c r="T45" s="1617"/>
      <c r="U45" s="1618"/>
    </row>
    <row r="46" spans="1:29" s="1140" customFormat="1" ht="20.25" customHeight="1" thickBot="1" x14ac:dyDescent="0.3">
      <c r="A46" s="653"/>
      <c r="B46" s="1186"/>
      <c r="C46" s="1186"/>
      <c r="D46" s="1186"/>
      <c r="E46" s="1186"/>
      <c r="F46" s="1186"/>
      <c r="G46" s="1238"/>
      <c r="H46" s="1186"/>
      <c r="I46" s="1186"/>
      <c r="J46" s="1186"/>
      <c r="K46" s="1186"/>
      <c r="L46" s="1186"/>
      <c r="M46" s="1186"/>
      <c r="N46" s="1186"/>
      <c r="O46" s="1186"/>
      <c r="P46" s="1186"/>
      <c r="Q46" s="1186"/>
      <c r="R46" s="1186"/>
      <c r="S46" s="1186"/>
      <c r="T46" s="1186"/>
      <c r="U46" s="1186"/>
    </row>
    <row r="47" spans="1:29" s="1140" customFormat="1" ht="30.75" customHeight="1" thickBot="1" x14ac:dyDescent="0.3">
      <c r="A47" s="494"/>
      <c r="B47" s="1186"/>
      <c r="C47" s="1198" t="s">
        <v>1482</v>
      </c>
      <c r="D47" s="1601" t="s">
        <v>1602</v>
      </c>
      <c r="E47" s="1602"/>
      <c r="F47" s="1186"/>
      <c r="G47" s="1238"/>
      <c r="H47" s="1201" t="s">
        <v>1479</v>
      </c>
      <c r="I47" s="1186"/>
      <c r="J47" s="1201" t="s">
        <v>1480</v>
      </c>
      <c r="K47" s="1186"/>
      <c r="L47" s="1201" t="s">
        <v>1496</v>
      </c>
      <c r="M47" s="1186"/>
      <c r="N47" s="1201" t="s">
        <v>1481</v>
      </c>
      <c r="O47" s="1186"/>
      <c r="P47" s="1201" t="s">
        <v>1588</v>
      </c>
      <c r="Q47" s="1186"/>
      <c r="R47" s="1201" t="s">
        <v>1589</v>
      </c>
      <c r="S47" s="1186"/>
      <c r="T47" s="1201" t="s">
        <v>1590</v>
      </c>
      <c r="U47" s="1186"/>
    </row>
    <row r="48" spans="1:29" s="1140" customFormat="1" ht="18" customHeight="1" thickBot="1" x14ac:dyDescent="0.3">
      <c r="A48" s="653"/>
      <c r="B48" s="1186"/>
      <c r="C48" s="1186"/>
      <c r="D48" s="1186"/>
      <c r="E48" s="1186"/>
      <c r="F48" s="1186"/>
      <c r="G48" s="1238"/>
      <c r="H48" s="1142"/>
      <c r="I48" s="1186"/>
      <c r="J48" s="1191"/>
      <c r="K48" s="1186"/>
      <c r="L48" s="1191"/>
      <c r="M48" s="1186"/>
      <c r="N48" s="1237"/>
      <c r="O48" s="1186"/>
      <c r="P48" s="1143" t="s">
        <v>1591</v>
      </c>
      <c r="Q48" s="1186"/>
      <c r="R48" s="1143" t="s">
        <v>1592</v>
      </c>
      <c r="S48" s="1186"/>
      <c r="T48" s="1187" t="s">
        <v>653</v>
      </c>
      <c r="U48" s="1186"/>
    </row>
    <row r="49" spans="1:21" s="1140" customFormat="1" ht="30.75" customHeight="1" thickBot="1" x14ac:dyDescent="0.3">
      <c r="A49" s="653"/>
      <c r="B49" s="1186"/>
      <c r="C49" s="1198" t="s">
        <v>1593</v>
      </c>
      <c r="D49" s="1603">
        <v>1402</v>
      </c>
      <c r="E49" s="1604"/>
      <c r="F49" s="1186"/>
      <c r="G49" s="1238"/>
      <c r="H49" s="1186"/>
      <c r="I49" s="1186"/>
      <c r="J49" s="1193"/>
      <c r="K49" s="1186"/>
      <c r="L49" s="1186"/>
      <c r="M49" s="1186"/>
      <c r="N49" s="1186"/>
      <c r="O49" s="1186"/>
      <c r="P49" s="1186"/>
      <c r="Q49" s="1186"/>
      <c r="R49" s="1186"/>
      <c r="S49" s="1186"/>
      <c r="T49" s="1186"/>
      <c r="U49" s="1186"/>
    </row>
    <row r="50" spans="1:21" s="1140" customFormat="1" ht="30" customHeight="1" thickBot="1" x14ac:dyDescent="0.3">
      <c r="A50" s="653"/>
      <c r="B50" s="1186"/>
      <c r="C50" s="1186"/>
      <c r="D50" s="1186"/>
      <c r="E50" s="1186"/>
      <c r="F50" s="1186"/>
      <c r="G50" s="1238"/>
      <c r="H50" s="1202" t="s">
        <v>1486</v>
      </c>
      <c r="I50" s="1186"/>
      <c r="J50" s="1201" t="s">
        <v>1487</v>
      </c>
      <c r="K50" s="1186"/>
      <c r="L50" s="1201" t="s">
        <v>1488</v>
      </c>
      <c r="M50" s="1186"/>
      <c r="N50" s="1201" t="s">
        <v>1603</v>
      </c>
      <c r="O50" s="1186"/>
      <c r="P50" s="1201" t="s">
        <v>1604</v>
      </c>
      <c r="Q50" s="1186"/>
      <c r="R50" s="1201" t="s">
        <v>1605</v>
      </c>
      <c r="S50" s="1186"/>
      <c r="T50" s="1186"/>
      <c r="U50" s="1186"/>
    </row>
    <row r="51" spans="1:21" s="1140" customFormat="1" ht="18" customHeight="1" thickBot="1" x14ac:dyDescent="0.3">
      <c r="A51" s="653"/>
      <c r="B51" s="1186"/>
      <c r="C51" s="1198" t="s">
        <v>1484</v>
      </c>
      <c r="D51" s="1605" t="str">
        <f>AA6</f>
        <v/>
      </c>
      <c r="E51" s="1606"/>
      <c r="F51" s="1186"/>
      <c r="G51" s="1238" t="s">
        <v>1048</v>
      </c>
      <c r="H51" s="1192"/>
      <c r="I51" s="1186"/>
      <c r="J51" s="1192">
        <v>999999999.99000001</v>
      </c>
      <c r="K51" s="1186"/>
      <c r="L51" s="1192"/>
      <c r="M51" s="1186"/>
      <c r="N51" s="1159" t="s">
        <v>482</v>
      </c>
      <c r="O51" s="1186"/>
      <c r="P51" s="1159" t="s">
        <v>1606</v>
      </c>
      <c r="Q51" s="1186"/>
      <c r="R51" s="1159" t="s">
        <v>1607</v>
      </c>
      <c r="S51" s="1186"/>
      <c r="T51" s="1186"/>
      <c r="U51" s="1186"/>
    </row>
    <row r="52" spans="1:21" s="1140" customFormat="1" ht="18" customHeight="1" thickBot="1" x14ac:dyDescent="0.3">
      <c r="A52" s="653"/>
      <c r="B52" s="1186"/>
      <c r="C52" s="1186"/>
      <c r="D52" s="1186"/>
      <c r="E52" s="1186"/>
      <c r="F52" s="1186"/>
      <c r="G52" s="1238"/>
      <c r="H52" s="1186"/>
      <c r="I52" s="1186"/>
      <c r="J52" s="1186"/>
      <c r="K52" s="1186"/>
      <c r="L52" s="1186"/>
      <c r="M52" s="1186"/>
      <c r="N52" s="1186"/>
      <c r="O52" s="1186"/>
      <c r="P52" s="1186"/>
      <c r="Q52" s="1186"/>
      <c r="R52" s="1186"/>
      <c r="S52" s="1186"/>
      <c r="T52" s="1186"/>
      <c r="U52" s="1186"/>
    </row>
    <row r="53" spans="1:21" s="1140" customFormat="1" ht="30" customHeight="1" thickBot="1" x14ac:dyDescent="0.3">
      <c r="A53" s="653"/>
      <c r="B53" s="1186"/>
      <c r="C53" s="1198" t="s">
        <v>1485</v>
      </c>
      <c r="D53" s="1605" t="str">
        <f>AB6</f>
        <v/>
      </c>
      <c r="E53" s="1606"/>
      <c r="F53" s="1186"/>
      <c r="G53" s="1238"/>
      <c r="H53" s="1200" t="s">
        <v>1594</v>
      </c>
      <c r="I53" s="1186"/>
      <c r="J53" s="1201" t="s">
        <v>1608</v>
      </c>
      <c r="K53" s="1186"/>
      <c r="L53" s="1201" t="s">
        <v>1595</v>
      </c>
      <c r="M53" s="1186"/>
      <c r="N53" s="1201" t="s">
        <v>1609</v>
      </c>
      <c r="O53" s="1186"/>
      <c r="P53" s="1201" t="s">
        <v>1610</v>
      </c>
      <c r="Q53" s="1186"/>
      <c r="R53" s="1201" t="s">
        <v>1611</v>
      </c>
      <c r="S53" s="1186"/>
      <c r="T53" s="1283" t="s">
        <v>1701</v>
      </c>
      <c r="U53" s="1186"/>
    </row>
    <row r="54" spans="1:21" s="1140" customFormat="1" ht="18" customHeight="1" thickBot="1" x14ac:dyDescent="0.3">
      <c r="A54" s="653"/>
      <c r="B54" s="1186"/>
      <c r="C54" s="1186"/>
      <c r="D54" s="1186"/>
      <c r="E54" s="1186"/>
      <c r="F54" s="1186"/>
      <c r="G54" s="1238"/>
      <c r="H54" s="1187" t="s">
        <v>651</v>
      </c>
      <c r="I54" s="1186"/>
      <c r="J54" s="1143" t="s">
        <v>1596</v>
      </c>
      <c r="K54" s="1186"/>
      <c r="L54" s="1159" t="s">
        <v>1596</v>
      </c>
      <c r="M54" s="1186"/>
      <c r="N54" s="1159" t="s">
        <v>651</v>
      </c>
      <c r="O54" s="1186"/>
      <c r="P54" s="1187" t="s">
        <v>651</v>
      </c>
      <c r="Q54" s="1186"/>
      <c r="R54" s="1159"/>
      <c r="S54" s="1186"/>
      <c r="T54" s="1284" t="s">
        <v>651</v>
      </c>
      <c r="U54" s="1186"/>
    </row>
    <row r="55" spans="1:21" s="1140" customFormat="1" ht="30" customHeight="1" thickBot="1" x14ac:dyDescent="0.3">
      <c r="A55" s="653"/>
      <c r="B55" s="1186"/>
      <c r="C55" s="1204" t="s">
        <v>1597</v>
      </c>
      <c r="D55" s="1593" t="s">
        <v>651</v>
      </c>
      <c r="E55" s="1594"/>
      <c r="F55" s="1186"/>
      <c r="G55" s="1238"/>
      <c r="H55" s="1186"/>
      <c r="I55" s="1186"/>
      <c r="J55" s="1186"/>
      <c r="K55" s="1186"/>
      <c r="L55" s="1186"/>
      <c r="M55" s="1186"/>
      <c r="N55" s="1186"/>
      <c r="O55" s="1186"/>
      <c r="P55" s="1186"/>
      <c r="Q55" s="1186"/>
      <c r="R55" s="1186"/>
      <c r="S55" s="1186"/>
      <c r="T55" s="1186"/>
      <c r="U55" s="1186"/>
    </row>
    <row r="56" spans="1:21" s="1140" customFormat="1" ht="18" customHeight="1" thickBot="1" x14ac:dyDescent="0.3">
      <c r="A56" s="653"/>
      <c r="B56" s="1186"/>
      <c r="C56" s="1186"/>
      <c r="D56" s="1186"/>
      <c r="E56" s="1186"/>
      <c r="F56" s="1186"/>
      <c r="G56" s="1238"/>
      <c r="H56" s="1186"/>
      <c r="I56" s="1186"/>
      <c r="J56" s="1186"/>
      <c r="K56" s="1186"/>
      <c r="L56" s="1186"/>
      <c r="M56" s="1186"/>
      <c r="N56" s="1186"/>
      <c r="O56" s="1186"/>
      <c r="P56" s="1186"/>
      <c r="Q56" s="1186"/>
      <c r="R56" s="1186"/>
      <c r="S56" s="1186"/>
      <c r="T56" s="1201" t="s">
        <v>528</v>
      </c>
      <c r="U56" s="1186"/>
    </row>
    <row r="57" spans="1:21" s="1140" customFormat="1" ht="18" customHeight="1" thickBot="1" x14ac:dyDescent="0.3">
      <c r="A57" s="653"/>
      <c r="B57" s="1186"/>
      <c r="C57" s="1198" t="s">
        <v>1598</v>
      </c>
      <c r="D57" s="1603" t="s">
        <v>1599</v>
      </c>
      <c r="E57" s="1604"/>
      <c r="F57" s="1186"/>
      <c r="G57" s="1238"/>
      <c r="H57" s="1186"/>
      <c r="I57" s="1186"/>
      <c r="J57" s="1186"/>
      <c r="K57" s="1186"/>
      <c r="L57" s="1186"/>
      <c r="M57" s="1186"/>
      <c r="N57" s="1186"/>
      <c r="O57" s="1186"/>
      <c r="P57" s="1186"/>
      <c r="Q57" s="1186"/>
      <c r="R57" s="1186"/>
      <c r="S57" s="1186"/>
      <c r="T57" s="1233" t="str">
        <f>IF(Z6&lt;&gt;"","Yes","No")</f>
        <v>No</v>
      </c>
      <c r="U57" s="1186"/>
    </row>
    <row r="58" spans="1:21" s="1140" customFormat="1" ht="20.25" customHeight="1" thickBot="1" x14ac:dyDescent="0.3">
      <c r="A58" s="653"/>
      <c r="B58" s="1186"/>
      <c r="C58" s="1186"/>
      <c r="D58" s="1186"/>
      <c r="E58" s="1186"/>
      <c r="F58" s="1186"/>
      <c r="G58" s="1238"/>
      <c r="H58" s="1186"/>
      <c r="I58" s="1186"/>
      <c r="J58" s="1186"/>
      <c r="K58" s="1186"/>
      <c r="L58" s="1186"/>
      <c r="M58" s="1186"/>
      <c r="N58" s="1186"/>
      <c r="O58" s="1186"/>
      <c r="P58" s="1186"/>
      <c r="Q58" s="1186"/>
      <c r="R58" s="1186"/>
      <c r="S58" s="1186"/>
      <c r="T58" s="1186"/>
      <c r="U58" s="1186"/>
    </row>
    <row r="59" spans="1:21" s="1140" customFormat="1" ht="20.25" customHeight="1" thickBot="1" x14ac:dyDescent="0.3">
      <c r="A59" s="653"/>
      <c r="B59" s="1607" t="s">
        <v>1614</v>
      </c>
      <c r="C59" s="1617"/>
      <c r="D59" s="1617"/>
      <c r="E59" s="1617"/>
      <c r="F59" s="1617"/>
      <c r="G59" s="1617"/>
      <c r="H59" s="1617"/>
      <c r="I59" s="1617"/>
      <c r="J59" s="1617"/>
      <c r="K59" s="1617"/>
      <c r="L59" s="1617"/>
      <c r="M59" s="1617"/>
      <c r="N59" s="1617"/>
      <c r="O59" s="1617"/>
      <c r="P59" s="1617"/>
      <c r="Q59" s="1617"/>
      <c r="R59" s="1617"/>
      <c r="S59" s="1617"/>
      <c r="T59" s="1617"/>
      <c r="U59" s="1618"/>
    </row>
    <row r="60" spans="1:21" s="1140" customFormat="1" ht="20.25" customHeight="1" thickBot="1" x14ac:dyDescent="0.3">
      <c r="A60" s="653"/>
      <c r="B60" s="1186"/>
      <c r="C60" s="1186"/>
      <c r="D60" s="1186"/>
      <c r="E60" s="1186"/>
      <c r="F60" s="1186"/>
      <c r="G60" s="1238"/>
      <c r="H60" s="1186"/>
      <c r="I60" s="1186"/>
      <c r="J60" s="1186"/>
      <c r="K60" s="1186"/>
      <c r="L60" s="1186"/>
      <c r="M60" s="1186"/>
      <c r="N60" s="1186"/>
      <c r="O60" s="1186"/>
      <c r="P60" s="1186"/>
      <c r="Q60" s="1186"/>
      <c r="R60" s="1186"/>
      <c r="S60" s="1186"/>
      <c r="T60" s="1186"/>
      <c r="U60" s="1186"/>
    </row>
    <row r="61" spans="1:21" s="1140" customFormat="1" ht="30" customHeight="1" thickBot="1" x14ac:dyDescent="0.3">
      <c r="A61" s="494"/>
      <c r="B61" s="1186"/>
      <c r="C61" s="1198" t="s">
        <v>1482</v>
      </c>
      <c r="D61" s="1601" t="s">
        <v>1615</v>
      </c>
      <c r="E61" s="1602"/>
      <c r="F61" s="1186"/>
      <c r="G61" s="1238"/>
      <c r="H61" s="1201" t="s">
        <v>1479</v>
      </c>
      <c r="I61" s="1193"/>
      <c r="J61" s="1201" t="s">
        <v>1480</v>
      </c>
      <c r="K61" s="1193"/>
      <c r="L61" s="1201" t="s">
        <v>1496</v>
      </c>
      <c r="M61" s="1193"/>
      <c r="N61" s="1201" t="s">
        <v>1481</v>
      </c>
      <c r="O61" s="1193"/>
      <c r="P61" s="1201" t="s">
        <v>1588</v>
      </c>
      <c r="Q61" s="1193"/>
      <c r="R61" s="1201" t="s">
        <v>1589</v>
      </c>
      <c r="S61" s="1193"/>
      <c r="T61" s="1201" t="s">
        <v>1590</v>
      </c>
      <c r="U61" s="1186"/>
    </row>
    <row r="62" spans="1:21" s="1140" customFormat="1" ht="18" customHeight="1" thickBot="1" x14ac:dyDescent="0.3">
      <c r="A62" s="653"/>
      <c r="B62" s="1186"/>
      <c r="C62" s="1193"/>
      <c r="D62" s="1186"/>
      <c r="E62" s="1186"/>
      <c r="F62" s="1186"/>
      <c r="G62" s="1238"/>
      <c r="H62" s="1142"/>
      <c r="I62" s="1186"/>
      <c r="J62" s="1191"/>
      <c r="K62" s="1186"/>
      <c r="L62" s="1191"/>
      <c r="M62" s="1186"/>
      <c r="N62" s="1237"/>
      <c r="O62" s="1186"/>
      <c r="P62" s="1143" t="s">
        <v>1591</v>
      </c>
      <c r="Q62" s="1186"/>
      <c r="R62" s="1143" t="s">
        <v>1592</v>
      </c>
      <c r="S62" s="1186"/>
      <c r="T62" s="1187" t="s">
        <v>653</v>
      </c>
      <c r="U62" s="1186"/>
    </row>
    <row r="63" spans="1:21" s="1140" customFormat="1" ht="30" customHeight="1" thickBot="1" x14ac:dyDescent="0.3">
      <c r="A63" s="653"/>
      <c r="B63" s="1186"/>
      <c r="C63" s="1198" t="s">
        <v>1593</v>
      </c>
      <c r="D63" s="1603">
        <v>1501</v>
      </c>
      <c r="E63" s="1604"/>
      <c r="F63" s="1186"/>
      <c r="G63" s="1238"/>
      <c r="H63" s="1186"/>
      <c r="I63" s="1186"/>
      <c r="J63" s="1186"/>
      <c r="K63" s="1186"/>
      <c r="L63" s="1186"/>
      <c r="M63" s="1186"/>
      <c r="N63" s="1186"/>
      <c r="O63" s="1186"/>
      <c r="P63" s="1186"/>
      <c r="Q63" s="1186"/>
      <c r="R63" s="1186"/>
      <c r="S63" s="1186"/>
      <c r="T63" s="1186"/>
      <c r="U63" s="1186"/>
    </row>
    <row r="64" spans="1:21" s="1140" customFormat="1" ht="30" customHeight="1" thickBot="1" x14ac:dyDescent="0.3">
      <c r="A64" s="653"/>
      <c r="B64" s="1186"/>
      <c r="C64" s="1193"/>
      <c r="D64" s="1186"/>
      <c r="E64" s="1186"/>
      <c r="F64" s="1186"/>
      <c r="G64" s="1238"/>
      <c r="H64" s="1202" t="s">
        <v>1486</v>
      </c>
      <c r="I64" s="1193"/>
      <c r="J64" s="1201" t="s">
        <v>1487</v>
      </c>
      <c r="K64" s="1193"/>
      <c r="L64" s="1201" t="s">
        <v>1488</v>
      </c>
      <c r="M64" s="1193"/>
      <c r="N64" s="1201" t="s">
        <v>1603</v>
      </c>
      <c r="O64" s="1193"/>
      <c r="P64" s="1201" t="s">
        <v>1604</v>
      </c>
      <c r="Q64" s="1193"/>
      <c r="R64" s="1201" t="s">
        <v>1605</v>
      </c>
      <c r="S64" s="1186"/>
      <c r="T64" s="1186"/>
      <c r="U64" s="1186"/>
    </row>
    <row r="65" spans="1:21" s="1140" customFormat="1" ht="18" customHeight="1" thickBot="1" x14ac:dyDescent="0.3">
      <c r="A65" s="653"/>
      <c r="B65" s="1186"/>
      <c r="C65" s="1198" t="s">
        <v>1484</v>
      </c>
      <c r="D65" s="1605" t="str">
        <f>AA7</f>
        <v/>
      </c>
      <c r="E65" s="1606"/>
      <c r="F65" s="1186"/>
      <c r="G65" s="1238" t="s">
        <v>1048</v>
      </c>
      <c r="H65" s="1166"/>
      <c r="I65" s="1189"/>
      <c r="J65" s="1194"/>
      <c r="K65" s="1186"/>
      <c r="L65" s="1194"/>
      <c r="M65" s="1186"/>
      <c r="N65" s="1159" t="s">
        <v>482</v>
      </c>
      <c r="O65" s="1186"/>
      <c r="P65" s="1159" t="s">
        <v>1606</v>
      </c>
      <c r="Q65" s="1186"/>
      <c r="R65" s="1159" t="s">
        <v>1607</v>
      </c>
      <c r="S65" s="1186"/>
      <c r="T65" s="1186"/>
      <c r="U65" s="1186"/>
    </row>
    <row r="66" spans="1:21" s="1140" customFormat="1" ht="18" customHeight="1" thickBot="1" x14ac:dyDescent="0.3">
      <c r="A66" s="653"/>
      <c r="B66" s="1186"/>
      <c r="C66" s="1193"/>
      <c r="D66" s="1186"/>
      <c r="E66" s="1186"/>
      <c r="F66" s="1186"/>
      <c r="G66" s="1238" t="s">
        <v>1489</v>
      </c>
      <c r="H66" s="1166"/>
      <c r="I66" s="1189"/>
      <c r="J66" s="1194"/>
      <c r="K66" s="1186"/>
      <c r="L66" s="1194"/>
      <c r="M66" s="1186"/>
      <c r="N66" s="1159" t="s">
        <v>482</v>
      </c>
      <c r="O66" s="1186"/>
      <c r="P66" s="1159" t="s">
        <v>1606</v>
      </c>
      <c r="Q66" s="1186"/>
      <c r="R66" s="1186"/>
      <c r="S66" s="1186"/>
      <c r="T66" s="1186"/>
      <c r="U66" s="1186"/>
    </row>
    <row r="67" spans="1:21" s="1140" customFormat="1" ht="18" customHeight="1" thickBot="1" x14ac:dyDescent="0.3">
      <c r="A67" s="653"/>
      <c r="B67" s="1186"/>
      <c r="C67" s="1198" t="s">
        <v>1485</v>
      </c>
      <c r="D67" s="1605" t="str">
        <f>AB7</f>
        <v/>
      </c>
      <c r="E67" s="1606"/>
      <c r="F67" s="1186"/>
      <c r="G67" s="1238" t="s">
        <v>1490</v>
      </c>
      <c r="H67" s="1166"/>
      <c r="I67" s="1189"/>
      <c r="J67" s="1195"/>
      <c r="K67" s="1186"/>
      <c r="L67" s="1194"/>
      <c r="M67" s="1186"/>
      <c r="N67" s="1159" t="s">
        <v>482</v>
      </c>
      <c r="O67" s="1186"/>
      <c r="P67" s="1159" t="s">
        <v>1606</v>
      </c>
      <c r="Q67" s="1186"/>
      <c r="R67" s="1186"/>
      <c r="S67" s="1186"/>
      <c r="T67" s="1283" t="s">
        <v>1701</v>
      </c>
      <c r="U67" s="1186"/>
    </row>
    <row r="68" spans="1:21" s="1140" customFormat="1" ht="18" customHeight="1" x14ac:dyDescent="0.25">
      <c r="A68" s="653"/>
      <c r="B68" s="1186"/>
      <c r="C68" s="1193"/>
      <c r="D68" s="1186"/>
      <c r="E68" s="1186"/>
      <c r="F68" s="1186"/>
      <c r="G68" s="1238" t="s">
        <v>1492</v>
      </c>
      <c r="H68" s="1166"/>
      <c r="I68" s="1189"/>
      <c r="J68" s="1195"/>
      <c r="K68" s="1186"/>
      <c r="L68" s="1192"/>
      <c r="M68" s="1186"/>
      <c r="N68" s="1159" t="s">
        <v>482</v>
      </c>
      <c r="O68" s="1186"/>
      <c r="P68" s="1159" t="s">
        <v>1606</v>
      </c>
      <c r="Q68" s="1186"/>
      <c r="R68" s="1186"/>
      <c r="S68" s="1186"/>
      <c r="T68" s="1284" t="s">
        <v>651</v>
      </c>
      <c r="U68" s="1186"/>
    </row>
    <row r="69" spans="1:21" s="1140" customFormat="1" ht="18" customHeight="1" x14ac:dyDescent="0.25">
      <c r="A69" s="653"/>
      <c r="B69" s="1186"/>
      <c r="C69" s="1193"/>
      <c r="D69" s="1186"/>
      <c r="E69" s="1186"/>
      <c r="F69" s="1186"/>
      <c r="G69" s="1238" t="s">
        <v>1494</v>
      </c>
      <c r="H69" s="1166"/>
      <c r="I69" s="1189"/>
      <c r="J69" s="1195"/>
      <c r="K69" s="1186"/>
      <c r="L69" s="1192"/>
      <c r="M69" s="1186"/>
      <c r="N69" s="1159" t="s">
        <v>482</v>
      </c>
      <c r="O69" s="1186"/>
      <c r="P69" s="1159" t="s">
        <v>1606</v>
      </c>
      <c r="Q69" s="1186"/>
      <c r="R69" s="1186"/>
      <c r="S69" s="1186"/>
      <c r="T69" s="1186"/>
      <c r="U69" s="1186"/>
    </row>
    <row r="70" spans="1:21" s="1140" customFormat="1" ht="18" customHeight="1" thickBot="1" x14ac:dyDescent="0.3">
      <c r="A70" s="653"/>
      <c r="B70" s="1186"/>
      <c r="C70" s="1193"/>
      <c r="D70" s="1186"/>
      <c r="E70" s="1186"/>
      <c r="F70" s="1186"/>
      <c r="G70" s="1238"/>
      <c r="H70" s="1186"/>
      <c r="I70" s="1186"/>
      <c r="J70" s="1186"/>
      <c r="K70" s="1186"/>
      <c r="L70" s="1186"/>
      <c r="M70" s="1186"/>
      <c r="N70" s="1186"/>
      <c r="O70" s="1186"/>
      <c r="P70" s="1186"/>
      <c r="Q70" s="1186"/>
      <c r="R70" s="1186"/>
      <c r="S70" s="1186"/>
      <c r="T70" s="1186"/>
      <c r="U70" s="1186"/>
    </row>
    <row r="71" spans="1:21" s="1140" customFormat="1" ht="30" customHeight="1" thickBot="1" x14ac:dyDescent="0.3">
      <c r="A71" s="653"/>
      <c r="B71" s="1186"/>
      <c r="C71" s="1199" t="s">
        <v>1597</v>
      </c>
      <c r="D71" s="1593" t="s">
        <v>651</v>
      </c>
      <c r="E71" s="1594"/>
      <c r="F71" s="1186"/>
      <c r="G71" s="1238"/>
      <c r="H71" s="1200" t="s">
        <v>1594</v>
      </c>
      <c r="I71" s="1193"/>
      <c r="J71" s="1201" t="s">
        <v>1608</v>
      </c>
      <c r="K71" s="1193"/>
      <c r="L71" s="1201" t="s">
        <v>1595</v>
      </c>
      <c r="M71" s="1193"/>
      <c r="N71" s="1201" t="s">
        <v>1609</v>
      </c>
      <c r="O71" s="1193"/>
      <c r="P71" s="1201" t="s">
        <v>1610</v>
      </c>
      <c r="Q71" s="1193"/>
      <c r="R71" s="1201" t="s">
        <v>1611</v>
      </c>
      <c r="S71" s="1186"/>
      <c r="T71" s="1201" t="s">
        <v>528</v>
      </c>
      <c r="U71" s="1186"/>
    </row>
    <row r="72" spans="1:21" s="1140" customFormat="1" ht="18" customHeight="1" thickBot="1" x14ac:dyDescent="0.3">
      <c r="A72" s="653"/>
      <c r="B72" s="1186"/>
      <c r="C72" s="1193"/>
      <c r="D72" s="1186"/>
      <c r="E72" s="1186"/>
      <c r="F72" s="1186"/>
      <c r="G72" s="1238"/>
      <c r="H72" s="1187" t="s">
        <v>651</v>
      </c>
      <c r="I72" s="1186"/>
      <c r="J72" s="1143" t="s">
        <v>1596</v>
      </c>
      <c r="K72" s="1186"/>
      <c r="L72" s="1159" t="s">
        <v>1596</v>
      </c>
      <c r="M72" s="1186"/>
      <c r="N72" s="1159" t="s">
        <v>651</v>
      </c>
      <c r="O72" s="1186"/>
      <c r="P72" s="1187" t="s">
        <v>651</v>
      </c>
      <c r="Q72" s="1186"/>
      <c r="R72" s="1159" t="s">
        <v>1612</v>
      </c>
      <c r="S72" s="1186"/>
      <c r="T72" s="1233" t="str">
        <f>IF(Z7&lt;&gt;"","Yes","No")</f>
        <v>No</v>
      </c>
      <c r="U72" s="1186"/>
    </row>
    <row r="73" spans="1:21" s="1140" customFormat="1" ht="18" customHeight="1" thickBot="1" x14ac:dyDescent="0.3">
      <c r="A73" s="653"/>
      <c r="B73" s="1186"/>
      <c r="C73" s="1198" t="s">
        <v>1598</v>
      </c>
      <c r="D73" s="1603" t="s">
        <v>1599</v>
      </c>
      <c r="E73" s="1604"/>
      <c r="F73" s="1186"/>
      <c r="G73" s="1238"/>
      <c r="H73" s="1186"/>
      <c r="I73" s="1186"/>
      <c r="J73" s="1186"/>
      <c r="K73" s="1186"/>
      <c r="L73" s="1186"/>
      <c r="M73" s="1186"/>
      <c r="N73" s="1186"/>
      <c r="O73" s="1186"/>
      <c r="P73" s="1186"/>
      <c r="Q73" s="1186"/>
      <c r="R73" s="1186"/>
      <c r="S73" s="1186"/>
      <c r="T73" s="1186"/>
      <c r="U73" s="1186"/>
    </row>
    <row r="74" spans="1:21" s="1140" customFormat="1" ht="20.25" customHeight="1" thickBot="1" x14ac:dyDescent="0.3">
      <c r="A74" s="653"/>
      <c r="B74" s="1186"/>
      <c r="C74" s="1186"/>
      <c r="D74" s="1186"/>
      <c r="E74" s="1186"/>
      <c r="F74" s="1186"/>
      <c r="G74" s="1238"/>
      <c r="H74" s="1186"/>
      <c r="I74" s="1186"/>
      <c r="J74" s="1186"/>
      <c r="K74" s="1186"/>
      <c r="L74" s="1186"/>
      <c r="M74" s="1186"/>
      <c r="N74" s="1186"/>
      <c r="O74" s="1186"/>
      <c r="P74" s="1186"/>
      <c r="Q74" s="1186"/>
      <c r="R74" s="1186"/>
      <c r="S74" s="1186"/>
      <c r="T74" s="1186"/>
      <c r="U74" s="1186"/>
    </row>
    <row r="75" spans="1:21" s="1140" customFormat="1" ht="21" customHeight="1" thickBot="1" x14ac:dyDescent="0.3">
      <c r="A75" s="653"/>
      <c r="B75" s="1607" t="s">
        <v>1616</v>
      </c>
      <c r="C75" s="1617"/>
      <c r="D75" s="1617"/>
      <c r="E75" s="1617"/>
      <c r="F75" s="1617"/>
      <c r="G75" s="1617"/>
      <c r="H75" s="1617"/>
      <c r="I75" s="1617"/>
      <c r="J75" s="1617"/>
      <c r="K75" s="1617"/>
      <c r="L75" s="1617"/>
      <c r="M75" s="1617"/>
      <c r="N75" s="1617"/>
      <c r="O75" s="1617"/>
      <c r="P75" s="1617"/>
      <c r="Q75" s="1617"/>
      <c r="R75" s="1617"/>
      <c r="S75" s="1617"/>
      <c r="T75" s="1617"/>
      <c r="U75" s="1618"/>
    </row>
    <row r="76" spans="1:21" s="1140" customFormat="1" ht="20.25" customHeight="1" thickBot="1" x14ac:dyDescent="0.3">
      <c r="A76" s="653"/>
      <c r="B76" s="1186"/>
      <c r="C76" s="1186"/>
      <c r="D76" s="1186"/>
      <c r="E76" s="1186"/>
      <c r="F76" s="1186"/>
      <c r="G76" s="1238"/>
      <c r="H76" s="1186"/>
      <c r="I76" s="1186"/>
      <c r="J76" s="1186"/>
      <c r="K76" s="1186"/>
      <c r="L76" s="1186"/>
      <c r="M76" s="1186"/>
      <c r="N76" s="1186"/>
      <c r="O76" s="1186"/>
      <c r="P76" s="1186"/>
      <c r="Q76" s="1186"/>
      <c r="R76" s="1186"/>
      <c r="S76" s="1186"/>
      <c r="T76" s="1186"/>
      <c r="U76" s="1186"/>
    </row>
    <row r="77" spans="1:21" s="1140" customFormat="1" ht="30" customHeight="1" thickBot="1" x14ac:dyDescent="0.3">
      <c r="A77" s="494"/>
      <c r="B77" s="1186"/>
      <c r="C77" s="1198" t="s">
        <v>1482</v>
      </c>
      <c r="D77" s="1601" t="s">
        <v>1615</v>
      </c>
      <c r="E77" s="1602"/>
      <c r="F77" s="1186"/>
      <c r="G77" s="1238"/>
      <c r="H77" s="1201" t="s">
        <v>1479</v>
      </c>
      <c r="I77" s="1193"/>
      <c r="J77" s="1201" t="s">
        <v>1480</v>
      </c>
      <c r="K77" s="1193"/>
      <c r="L77" s="1201" t="s">
        <v>1496</v>
      </c>
      <c r="M77" s="1193"/>
      <c r="N77" s="1201" t="s">
        <v>1481</v>
      </c>
      <c r="O77" s="1193"/>
      <c r="P77" s="1201" t="s">
        <v>1588</v>
      </c>
      <c r="Q77" s="1193"/>
      <c r="R77" s="1201" t="s">
        <v>1589</v>
      </c>
      <c r="S77" s="1193"/>
      <c r="T77" s="1201" t="s">
        <v>1590</v>
      </c>
      <c r="U77" s="1186"/>
    </row>
    <row r="78" spans="1:21" s="1140" customFormat="1" ht="18" customHeight="1" thickBot="1" x14ac:dyDescent="0.3">
      <c r="A78" s="653"/>
      <c r="B78" s="1186"/>
      <c r="C78" s="1193"/>
      <c r="D78" s="1186"/>
      <c r="E78" s="1186"/>
      <c r="F78" s="1186"/>
      <c r="G78" s="1238"/>
      <c r="H78" s="1142"/>
      <c r="I78" s="1186"/>
      <c r="J78" s="1191"/>
      <c r="K78" s="1186"/>
      <c r="L78" s="1191"/>
      <c r="M78" s="1186"/>
      <c r="N78" s="1237"/>
      <c r="O78" s="1186"/>
      <c r="P78" s="1143" t="s">
        <v>1591</v>
      </c>
      <c r="Q78" s="1186"/>
      <c r="R78" s="1143" t="s">
        <v>1592</v>
      </c>
      <c r="S78" s="1186"/>
      <c r="T78" s="1187" t="s">
        <v>653</v>
      </c>
      <c r="U78" s="1186"/>
    </row>
    <row r="79" spans="1:21" s="1140" customFormat="1" ht="30" customHeight="1" thickBot="1" x14ac:dyDescent="0.3">
      <c r="A79" s="653"/>
      <c r="B79" s="1186"/>
      <c r="C79" s="1198" t="s">
        <v>1593</v>
      </c>
      <c r="D79" s="1603">
        <v>1502</v>
      </c>
      <c r="E79" s="1604"/>
      <c r="F79" s="1186"/>
      <c r="G79" s="1238"/>
      <c r="H79" s="1186"/>
      <c r="I79" s="1186"/>
      <c r="J79" s="1186"/>
      <c r="K79" s="1186"/>
      <c r="L79" s="1186"/>
      <c r="M79" s="1186"/>
      <c r="N79" s="1186"/>
      <c r="O79" s="1186"/>
      <c r="P79" s="1186"/>
      <c r="Q79" s="1186"/>
      <c r="R79" s="1186"/>
      <c r="S79" s="1186"/>
      <c r="T79" s="1186"/>
      <c r="U79" s="1186"/>
    </row>
    <row r="80" spans="1:21" s="1140" customFormat="1" ht="30" customHeight="1" thickBot="1" x14ac:dyDescent="0.3">
      <c r="A80" s="653"/>
      <c r="B80" s="1186"/>
      <c r="C80" s="1193"/>
      <c r="D80" s="1186"/>
      <c r="E80" s="1186"/>
      <c r="F80" s="1186"/>
      <c r="G80" s="1238"/>
      <c r="H80" s="1202" t="s">
        <v>1486</v>
      </c>
      <c r="I80" s="1193"/>
      <c r="J80" s="1201" t="s">
        <v>1487</v>
      </c>
      <c r="K80" s="1193"/>
      <c r="L80" s="1201" t="s">
        <v>1488</v>
      </c>
      <c r="M80" s="1193"/>
      <c r="N80" s="1201" t="s">
        <v>1603</v>
      </c>
      <c r="O80" s="1193"/>
      <c r="P80" s="1201" t="s">
        <v>1604</v>
      </c>
      <c r="Q80" s="1193"/>
      <c r="R80" s="1201" t="s">
        <v>1605</v>
      </c>
      <c r="S80" s="1186"/>
      <c r="T80" s="1186"/>
      <c r="U80" s="1186"/>
    </row>
    <row r="81" spans="1:21" s="1140" customFormat="1" ht="18" customHeight="1" thickBot="1" x14ac:dyDescent="0.3">
      <c r="A81" s="653"/>
      <c r="B81" s="1186"/>
      <c r="C81" s="1198" t="s">
        <v>1484</v>
      </c>
      <c r="D81" s="1605" t="str">
        <f>AA8</f>
        <v/>
      </c>
      <c r="E81" s="1606"/>
      <c r="F81" s="1186"/>
      <c r="G81" s="1238" t="s">
        <v>1048</v>
      </c>
      <c r="H81" s="1166"/>
      <c r="I81" s="1189"/>
      <c r="J81" s="1194"/>
      <c r="K81" s="1186"/>
      <c r="L81" s="1194"/>
      <c r="M81" s="1186"/>
      <c r="N81" s="1159" t="s">
        <v>482</v>
      </c>
      <c r="O81" s="1186"/>
      <c r="P81" s="1159" t="s">
        <v>1606</v>
      </c>
      <c r="Q81" s="1186"/>
      <c r="R81" s="1159" t="s">
        <v>1607</v>
      </c>
      <c r="S81" s="1186"/>
      <c r="T81" s="1186"/>
      <c r="U81" s="1186"/>
    </row>
    <row r="82" spans="1:21" s="1140" customFormat="1" ht="18" customHeight="1" thickBot="1" x14ac:dyDescent="0.3">
      <c r="A82" s="653"/>
      <c r="B82" s="1186"/>
      <c r="C82" s="1193"/>
      <c r="D82" s="1186"/>
      <c r="E82" s="1186"/>
      <c r="F82" s="1186"/>
      <c r="G82" s="1238" t="s">
        <v>1489</v>
      </c>
      <c r="H82" s="1166"/>
      <c r="I82" s="1189"/>
      <c r="J82" s="1194"/>
      <c r="K82" s="1186"/>
      <c r="L82" s="1194"/>
      <c r="M82" s="1186"/>
      <c r="N82" s="1159" t="s">
        <v>482</v>
      </c>
      <c r="O82" s="1186"/>
      <c r="P82" s="1159" t="s">
        <v>1606</v>
      </c>
      <c r="Q82" s="1186"/>
      <c r="R82" s="1186"/>
      <c r="S82" s="1186"/>
      <c r="T82" s="1186"/>
      <c r="U82" s="1186"/>
    </row>
    <row r="83" spans="1:21" s="1140" customFormat="1" ht="18" customHeight="1" thickBot="1" x14ac:dyDescent="0.3">
      <c r="A83" s="653"/>
      <c r="B83" s="1186"/>
      <c r="C83" s="1198" t="s">
        <v>1485</v>
      </c>
      <c r="D83" s="1605" t="str">
        <f>AB8</f>
        <v/>
      </c>
      <c r="E83" s="1606"/>
      <c r="F83" s="1186"/>
      <c r="G83" s="1238" t="s">
        <v>1490</v>
      </c>
      <c r="H83" s="1166"/>
      <c r="I83" s="1189"/>
      <c r="J83" s="1195"/>
      <c r="K83" s="1186"/>
      <c r="L83" s="1192"/>
      <c r="M83" s="1186"/>
      <c r="N83" s="1159" t="s">
        <v>482</v>
      </c>
      <c r="O83" s="1186"/>
      <c r="P83" s="1159" t="s">
        <v>1606</v>
      </c>
      <c r="Q83" s="1186"/>
      <c r="R83" s="1186"/>
      <c r="S83" s="1186"/>
      <c r="T83" s="1283" t="s">
        <v>1701</v>
      </c>
      <c r="U83" s="1186"/>
    </row>
    <row r="84" spans="1:21" s="1140" customFormat="1" ht="18" customHeight="1" x14ac:dyDescent="0.25">
      <c r="A84" s="653"/>
      <c r="B84" s="1186"/>
      <c r="C84" s="1193"/>
      <c r="D84" s="1186"/>
      <c r="E84" s="1186"/>
      <c r="F84" s="1186"/>
      <c r="G84" s="1238" t="s">
        <v>1492</v>
      </c>
      <c r="H84" s="1166"/>
      <c r="I84" s="1189"/>
      <c r="J84" s="1195"/>
      <c r="K84" s="1186"/>
      <c r="L84" s="1192"/>
      <c r="M84" s="1186"/>
      <c r="N84" s="1159" t="s">
        <v>482</v>
      </c>
      <c r="O84" s="1186"/>
      <c r="P84" s="1159" t="s">
        <v>1606</v>
      </c>
      <c r="Q84" s="1186"/>
      <c r="R84" s="1186"/>
      <c r="S84" s="1186"/>
      <c r="T84" s="1284" t="s">
        <v>651</v>
      </c>
      <c r="U84" s="1186"/>
    </row>
    <row r="85" spans="1:21" s="1140" customFormat="1" ht="18" customHeight="1" x14ac:dyDescent="0.25">
      <c r="A85" s="653"/>
      <c r="B85" s="1186"/>
      <c r="C85" s="1193"/>
      <c r="D85" s="1186"/>
      <c r="E85" s="1186"/>
      <c r="F85" s="1186"/>
      <c r="G85" s="1238" t="s">
        <v>1494</v>
      </c>
      <c r="H85" s="1166"/>
      <c r="I85" s="1189"/>
      <c r="J85" s="1195"/>
      <c r="K85" s="1186"/>
      <c r="L85" s="1192"/>
      <c r="M85" s="1186"/>
      <c r="N85" s="1159" t="s">
        <v>482</v>
      </c>
      <c r="O85" s="1186"/>
      <c r="P85" s="1159" t="s">
        <v>1606</v>
      </c>
      <c r="Q85" s="1186"/>
      <c r="R85" s="1186"/>
      <c r="S85" s="1186"/>
      <c r="T85" s="1186"/>
      <c r="U85" s="1186"/>
    </row>
    <row r="86" spans="1:21" s="1140" customFormat="1" ht="18" customHeight="1" thickBot="1" x14ac:dyDescent="0.3">
      <c r="A86" s="653"/>
      <c r="B86" s="1186"/>
      <c r="C86" s="1193"/>
      <c r="D86" s="1186"/>
      <c r="E86" s="1186"/>
      <c r="F86" s="1186"/>
      <c r="G86" s="1238"/>
      <c r="H86" s="1186"/>
      <c r="I86" s="1186"/>
      <c r="J86" s="1186"/>
      <c r="K86" s="1186"/>
      <c r="L86" s="1186"/>
      <c r="M86" s="1186"/>
      <c r="N86" s="1186"/>
      <c r="O86" s="1186"/>
      <c r="P86" s="1186"/>
      <c r="Q86" s="1186"/>
      <c r="R86" s="1186"/>
      <c r="S86" s="1186"/>
      <c r="T86" s="1186"/>
      <c r="U86" s="1186"/>
    </row>
    <row r="87" spans="1:21" s="1140" customFormat="1" ht="30" customHeight="1" thickBot="1" x14ac:dyDescent="0.3">
      <c r="A87" s="653"/>
      <c r="B87" s="1186"/>
      <c r="C87" s="1199" t="s">
        <v>1597</v>
      </c>
      <c r="D87" s="1593" t="s">
        <v>651</v>
      </c>
      <c r="E87" s="1594"/>
      <c r="F87" s="1186"/>
      <c r="G87" s="1238"/>
      <c r="H87" s="1200" t="s">
        <v>1594</v>
      </c>
      <c r="I87" s="1193"/>
      <c r="J87" s="1201" t="s">
        <v>1608</v>
      </c>
      <c r="K87" s="1193"/>
      <c r="L87" s="1201" t="s">
        <v>1595</v>
      </c>
      <c r="M87" s="1193"/>
      <c r="N87" s="1201" t="s">
        <v>1609</v>
      </c>
      <c r="O87" s="1193"/>
      <c r="P87" s="1201" t="s">
        <v>1610</v>
      </c>
      <c r="Q87" s="1193"/>
      <c r="R87" s="1201" t="s">
        <v>1611</v>
      </c>
      <c r="S87" s="1186"/>
      <c r="T87" s="1201" t="s">
        <v>528</v>
      </c>
      <c r="U87" s="1186"/>
    </row>
    <row r="88" spans="1:21" s="1140" customFormat="1" ht="18" customHeight="1" thickBot="1" x14ac:dyDescent="0.3">
      <c r="A88" s="653"/>
      <c r="B88" s="1186"/>
      <c r="C88" s="1193"/>
      <c r="D88" s="1186"/>
      <c r="E88" s="1186"/>
      <c r="F88" s="1186"/>
      <c r="G88" s="1238"/>
      <c r="H88" s="1187" t="s">
        <v>651</v>
      </c>
      <c r="I88" s="1186"/>
      <c r="J88" s="1143" t="s">
        <v>1596</v>
      </c>
      <c r="K88" s="1186"/>
      <c r="L88" s="1159" t="s">
        <v>1596</v>
      </c>
      <c r="M88" s="1186"/>
      <c r="N88" s="1159" t="s">
        <v>651</v>
      </c>
      <c r="O88" s="1186"/>
      <c r="P88" s="1187" t="s">
        <v>651</v>
      </c>
      <c r="Q88" s="1186"/>
      <c r="R88" s="1159" t="s">
        <v>1612</v>
      </c>
      <c r="S88" s="1186"/>
      <c r="T88" s="1233" t="str">
        <f>IF(Z8&lt;&gt;"","Yes","No")</f>
        <v>No</v>
      </c>
      <c r="U88" s="1186"/>
    </row>
    <row r="89" spans="1:21" s="1140" customFormat="1" ht="18" customHeight="1" thickBot="1" x14ac:dyDescent="0.3">
      <c r="A89" s="653"/>
      <c r="B89" s="1186"/>
      <c r="C89" s="1198" t="s">
        <v>1598</v>
      </c>
      <c r="D89" s="1603" t="s">
        <v>1599</v>
      </c>
      <c r="E89" s="1604"/>
      <c r="F89" s="1186"/>
      <c r="G89" s="1238"/>
      <c r="H89" s="1186"/>
      <c r="I89" s="1186"/>
      <c r="J89" s="1186"/>
      <c r="K89" s="1186"/>
      <c r="L89" s="1186"/>
      <c r="M89" s="1186"/>
      <c r="N89" s="1186"/>
      <c r="O89" s="1186"/>
      <c r="P89" s="1186"/>
      <c r="Q89" s="1186"/>
      <c r="R89" s="1186"/>
      <c r="S89" s="1186"/>
      <c r="T89" s="1186"/>
      <c r="U89" s="1186"/>
    </row>
    <row r="90" spans="1:21" s="1140" customFormat="1" ht="20.25" customHeight="1" thickBot="1" x14ac:dyDescent="0.3">
      <c r="A90" s="653"/>
      <c r="B90" s="1186"/>
      <c r="C90" s="1186"/>
      <c r="D90" s="1186"/>
      <c r="E90" s="1186"/>
      <c r="F90" s="1186"/>
      <c r="G90" s="1238"/>
      <c r="H90" s="1186"/>
      <c r="I90" s="1186"/>
      <c r="J90" s="1186"/>
      <c r="K90" s="1186"/>
      <c r="L90" s="1186"/>
      <c r="M90" s="1186"/>
      <c r="N90" s="1186"/>
      <c r="O90" s="1186"/>
      <c r="P90" s="1186"/>
      <c r="Q90" s="1186"/>
      <c r="R90" s="1186"/>
      <c r="S90" s="1186"/>
      <c r="T90" s="1186"/>
      <c r="U90" s="1186"/>
    </row>
    <row r="91" spans="1:21" s="1140" customFormat="1" ht="20.25" customHeight="1" thickBot="1" x14ac:dyDescent="0.3">
      <c r="A91" s="653"/>
      <c r="B91" s="1607" t="s">
        <v>1617</v>
      </c>
      <c r="C91" s="1617"/>
      <c r="D91" s="1617"/>
      <c r="E91" s="1617"/>
      <c r="F91" s="1617"/>
      <c r="G91" s="1617"/>
      <c r="H91" s="1617"/>
      <c r="I91" s="1617"/>
      <c r="J91" s="1617"/>
      <c r="K91" s="1617"/>
      <c r="L91" s="1617"/>
      <c r="M91" s="1617"/>
      <c r="N91" s="1617"/>
      <c r="O91" s="1617"/>
      <c r="P91" s="1617"/>
      <c r="Q91" s="1617"/>
      <c r="R91" s="1617"/>
      <c r="S91" s="1617"/>
      <c r="T91" s="1617"/>
      <c r="U91" s="1618"/>
    </row>
    <row r="92" spans="1:21" ht="20.25" customHeight="1" thickBot="1" x14ac:dyDescent="0.3">
      <c r="A92" s="653"/>
      <c r="B92" s="1190"/>
      <c r="C92" s="1190"/>
      <c r="D92" s="1190"/>
      <c r="E92" s="1190"/>
      <c r="F92" s="1190"/>
      <c r="G92" s="1238"/>
      <c r="H92" s="1190"/>
      <c r="I92" s="1190"/>
      <c r="J92" s="1190"/>
      <c r="K92" s="1190"/>
      <c r="L92" s="1190"/>
      <c r="M92" s="1190"/>
      <c r="N92" s="1190"/>
      <c r="O92" s="1190"/>
      <c r="P92" s="1190"/>
      <c r="Q92" s="1190"/>
      <c r="R92" s="1190"/>
      <c r="S92" s="1190"/>
      <c r="T92" s="1190"/>
      <c r="U92" s="1190"/>
    </row>
    <row r="93" spans="1:21" ht="30" customHeight="1" thickBot="1" x14ac:dyDescent="0.3">
      <c r="A93" s="494"/>
      <c r="B93" s="1190"/>
      <c r="C93" s="1198" t="s">
        <v>1482</v>
      </c>
      <c r="D93" s="1601" t="s">
        <v>1624</v>
      </c>
      <c r="E93" s="1602"/>
      <c r="F93" s="1190"/>
      <c r="G93" s="1238"/>
      <c r="H93" s="1201" t="s">
        <v>1479</v>
      </c>
      <c r="I93" s="1205"/>
      <c r="J93" s="1201" t="s">
        <v>1480</v>
      </c>
      <c r="K93" s="1205"/>
      <c r="L93" s="1201" t="s">
        <v>1496</v>
      </c>
      <c r="M93" s="1205"/>
      <c r="N93" s="1201" t="s">
        <v>1481</v>
      </c>
      <c r="O93" s="1205"/>
      <c r="P93" s="1201" t="s">
        <v>1588</v>
      </c>
      <c r="Q93" s="1205"/>
      <c r="R93" s="1201" t="s">
        <v>1589</v>
      </c>
      <c r="S93" s="1205"/>
      <c r="T93" s="1201" t="s">
        <v>1590</v>
      </c>
      <c r="U93" s="1190"/>
    </row>
    <row r="94" spans="1:21" ht="18" customHeight="1" thickBot="1" x14ac:dyDescent="0.3">
      <c r="A94" s="653"/>
      <c r="B94" s="1190"/>
      <c r="C94" s="1186"/>
      <c r="D94" s="1186"/>
      <c r="E94" s="1186"/>
      <c r="F94" s="1190"/>
      <c r="G94" s="1238"/>
      <c r="H94" s="1142"/>
      <c r="I94" s="1190"/>
      <c r="J94" s="1191"/>
      <c r="K94" s="1190"/>
      <c r="L94" s="1191"/>
      <c r="M94" s="1190"/>
      <c r="N94" s="1237"/>
      <c r="O94" s="1190"/>
      <c r="P94" s="1143" t="s">
        <v>1591</v>
      </c>
      <c r="Q94" s="1190"/>
      <c r="R94" s="1143" t="s">
        <v>1592</v>
      </c>
      <c r="S94" s="1190"/>
      <c r="T94" s="1187" t="s">
        <v>653</v>
      </c>
      <c r="U94" s="1190"/>
    </row>
    <row r="95" spans="1:21" ht="30" customHeight="1" thickBot="1" x14ac:dyDescent="0.3">
      <c r="A95" s="653"/>
      <c r="B95" s="1190"/>
      <c r="C95" s="1201" t="s">
        <v>1593</v>
      </c>
      <c r="D95" s="1603">
        <v>5501</v>
      </c>
      <c r="E95" s="1604"/>
      <c r="F95" s="1190"/>
      <c r="G95" s="1238"/>
      <c r="H95" s="1190"/>
      <c r="I95" s="1190"/>
      <c r="J95" s="1190"/>
      <c r="K95" s="1190"/>
      <c r="L95" s="1190"/>
      <c r="M95" s="1190"/>
      <c r="N95" s="1190"/>
      <c r="O95" s="1190"/>
      <c r="P95" s="1190"/>
      <c r="Q95" s="1190"/>
      <c r="R95" s="1190"/>
      <c r="S95" s="1190"/>
      <c r="T95" s="1190"/>
      <c r="U95" s="1190"/>
    </row>
    <row r="96" spans="1:21" ht="18" customHeight="1" thickBot="1" x14ac:dyDescent="0.3">
      <c r="A96" s="653"/>
      <c r="B96" s="1190"/>
      <c r="C96" s="1193"/>
      <c r="D96" s="1186"/>
      <c r="E96" s="1186"/>
      <c r="F96" s="1190"/>
      <c r="G96" s="1238"/>
      <c r="H96" s="1202" t="s">
        <v>1486</v>
      </c>
      <c r="I96" s="1205"/>
      <c r="J96" s="1201" t="s">
        <v>1487</v>
      </c>
      <c r="K96" s="1205"/>
      <c r="L96" s="1201" t="s">
        <v>1488</v>
      </c>
      <c r="M96" s="1205"/>
      <c r="N96" s="1201" t="s">
        <v>1603</v>
      </c>
      <c r="O96" s="1205"/>
      <c r="P96" s="1201" t="s">
        <v>1604</v>
      </c>
      <c r="Q96" s="1205"/>
      <c r="R96" s="1205"/>
      <c r="S96" s="1205"/>
      <c r="T96" s="1201" t="s">
        <v>1626</v>
      </c>
      <c r="U96" s="1190"/>
    </row>
    <row r="97" spans="1:21" ht="18" customHeight="1" thickBot="1" x14ac:dyDescent="0.3">
      <c r="A97" s="653"/>
      <c r="B97" s="1190"/>
      <c r="C97" s="1198" t="s">
        <v>1484</v>
      </c>
      <c r="D97" s="1605" t="str">
        <f>AA9</f>
        <v/>
      </c>
      <c r="E97" s="1606"/>
      <c r="F97" s="1190"/>
      <c r="G97" s="1238" t="s">
        <v>1048</v>
      </c>
      <c r="H97" s="1166"/>
      <c r="I97" s="1190"/>
      <c r="J97" s="1195"/>
      <c r="K97" s="1190"/>
      <c r="L97" s="1194"/>
      <c r="M97" s="1190"/>
      <c r="N97" s="1159" t="s">
        <v>482</v>
      </c>
      <c r="O97" s="1190"/>
      <c r="P97" s="1159" t="s">
        <v>1606</v>
      </c>
      <c r="Q97" s="1190"/>
      <c r="R97" s="1190"/>
      <c r="S97" s="1190"/>
      <c r="T97" s="1159" t="s">
        <v>462</v>
      </c>
      <c r="U97" s="1190"/>
    </row>
    <row r="98" spans="1:21" ht="18" customHeight="1" thickBot="1" x14ac:dyDescent="0.3">
      <c r="A98" s="653"/>
      <c r="B98" s="1190"/>
      <c r="C98" s="1193"/>
      <c r="D98" s="1186"/>
      <c r="E98" s="1186"/>
      <c r="F98" s="1190"/>
      <c r="G98" s="1238"/>
      <c r="H98" s="1190"/>
      <c r="I98" s="1190"/>
      <c r="J98" s="1190"/>
      <c r="K98" s="1190"/>
      <c r="L98" s="1190"/>
      <c r="M98" s="1190"/>
      <c r="N98" s="1190"/>
      <c r="O98" s="1190"/>
      <c r="P98" s="1190"/>
      <c r="Q98" s="1190"/>
      <c r="R98" s="1190"/>
      <c r="S98" s="1190"/>
      <c r="T98" s="1190"/>
      <c r="U98" s="1190"/>
    </row>
    <row r="99" spans="1:21" ht="30" customHeight="1" thickBot="1" x14ac:dyDescent="0.3">
      <c r="A99" s="653"/>
      <c r="B99" s="1190"/>
      <c r="C99" s="1198" t="s">
        <v>1485</v>
      </c>
      <c r="D99" s="1605" t="str">
        <f>AB9</f>
        <v/>
      </c>
      <c r="E99" s="1606"/>
      <c r="F99" s="1190"/>
      <c r="G99" s="1238"/>
      <c r="H99" s="1200" t="s">
        <v>1594</v>
      </c>
      <c r="I99" s="1205"/>
      <c r="J99" s="1201" t="s">
        <v>1608</v>
      </c>
      <c r="K99" s="1205"/>
      <c r="L99" s="1201" t="s">
        <v>1595</v>
      </c>
      <c r="M99" s="1190"/>
      <c r="N99" s="1190"/>
      <c r="O99" s="1190"/>
      <c r="P99" s="1190"/>
      <c r="Q99" s="1190"/>
      <c r="R99" s="1190"/>
      <c r="S99" s="1190"/>
      <c r="T99" s="1283" t="s">
        <v>1701</v>
      </c>
      <c r="U99" s="1190"/>
    </row>
    <row r="100" spans="1:21" ht="18" customHeight="1" thickBot="1" x14ac:dyDescent="0.3">
      <c r="A100" s="653"/>
      <c r="B100" s="1190"/>
      <c r="C100" s="1193"/>
      <c r="D100" s="1186"/>
      <c r="E100" s="1186"/>
      <c r="F100" s="1190"/>
      <c r="G100" s="1238"/>
      <c r="H100" s="1187" t="s">
        <v>651</v>
      </c>
      <c r="I100" s="1190"/>
      <c r="J100" s="1143" t="s">
        <v>1596</v>
      </c>
      <c r="K100" s="1190"/>
      <c r="L100" s="1159" t="s">
        <v>1596</v>
      </c>
      <c r="M100" s="1190"/>
      <c r="N100" s="1190"/>
      <c r="O100" s="1190"/>
      <c r="P100" s="1190"/>
      <c r="Q100" s="1190"/>
      <c r="R100" s="1190"/>
      <c r="S100" s="1190"/>
      <c r="T100" s="1284" t="s">
        <v>651</v>
      </c>
      <c r="U100" s="1190"/>
    </row>
    <row r="101" spans="1:21" ht="30" customHeight="1" thickBot="1" x14ac:dyDescent="0.3">
      <c r="A101" s="653"/>
      <c r="B101" s="1190"/>
      <c r="C101" s="1199" t="s">
        <v>1597</v>
      </c>
      <c r="D101" s="1593" t="s">
        <v>651</v>
      </c>
      <c r="E101" s="1594"/>
      <c r="F101" s="1190"/>
      <c r="G101" s="1238"/>
      <c r="H101" s="1190"/>
      <c r="I101" s="1190"/>
      <c r="J101" s="1190"/>
      <c r="K101" s="1190"/>
      <c r="L101" s="1190"/>
      <c r="M101" s="1190"/>
      <c r="N101" s="1190"/>
      <c r="O101" s="1190"/>
      <c r="P101" s="1190"/>
      <c r="Q101" s="1190"/>
      <c r="R101" s="1190"/>
      <c r="S101" s="1190"/>
      <c r="T101" s="1190"/>
      <c r="U101" s="1190"/>
    </row>
    <row r="102" spans="1:21" ht="18" customHeight="1" thickBot="1" x14ac:dyDescent="0.3">
      <c r="A102" s="653"/>
      <c r="B102" s="1190"/>
      <c r="C102" s="1193"/>
      <c r="D102" s="1186"/>
      <c r="E102" s="1186"/>
      <c r="F102" s="1190"/>
      <c r="G102" s="1238"/>
      <c r="H102" s="1190"/>
      <c r="I102" s="1190"/>
      <c r="J102" s="1190"/>
      <c r="K102" s="1190"/>
      <c r="L102" s="1190"/>
      <c r="M102" s="1190"/>
      <c r="N102" s="1190"/>
      <c r="O102" s="1190"/>
      <c r="P102" s="1190"/>
      <c r="Q102" s="1190"/>
      <c r="R102" s="1190"/>
      <c r="S102" s="1190"/>
      <c r="T102" s="1201" t="s">
        <v>528</v>
      </c>
      <c r="U102" s="1190"/>
    </row>
    <row r="103" spans="1:21" ht="18" customHeight="1" thickBot="1" x14ac:dyDescent="0.3">
      <c r="A103" s="653"/>
      <c r="B103" s="1190"/>
      <c r="C103" s="1198" t="s">
        <v>1598</v>
      </c>
      <c r="D103" s="1603" t="s">
        <v>1627</v>
      </c>
      <c r="E103" s="1586"/>
      <c r="F103" s="1190"/>
      <c r="G103" s="1238"/>
      <c r="H103" s="1190"/>
      <c r="I103" s="1190"/>
      <c r="J103" s="1190"/>
      <c r="K103" s="1190"/>
      <c r="L103" s="1190"/>
      <c r="M103" s="1190"/>
      <c r="N103" s="1190"/>
      <c r="O103" s="1190"/>
      <c r="P103" s="1190"/>
      <c r="Q103" s="1190"/>
      <c r="R103" s="1190"/>
      <c r="S103" s="1190"/>
      <c r="T103" s="1233" t="str">
        <f>IF(Z9&lt;&gt;"","Yes","No")</f>
        <v>No</v>
      </c>
      <c r="U103" s="1190"/>
    </row>
    <row r="104" spans="1:21" ht="20.25" customHeight="1" thickBot="1" x14ac:dyDescent="0.3">
      <c r="A104" s="653"/>
      <c r="B104" s="1190"/>
      <c r="C104" s="1190"/>
      <c r="D104" s="1190"/>
      <c r="E104" s="1190"/>
      <c r="F104" s="1190"/>
      <c r="G104" s="1238"/>
      <c r="H104" s="1190"/>
      <c r="I104" s="1190"/>
      <c r="J104" s="1190"/>
      <c r="K104" s="1190"/>
      <c r="L104" s="1190"/>
      <c r="M104" s="1190"/>
      <c r="N104" s="1190"/>
      <c r="O104" s="1190"/>
      <c r="P104" s="1190"/>
      <c r="Q104" s="1190"/>
      <c r="R104" s="1190"/>
      <c r="S104" s="1190"/>
      <c r="T104" s="1190"/>
      <c r="U104" s="1190"/>
    </row>
    <row r="105" spans="1:21" ht="20.25" customHeight="1" thickBot="1" x14ac:dyDescent="0.3">
      <c r="A105" s="653"/>
      <c r="B105" s="1607" t="s">
        <v>1628</v>
      </c>
      <c r="C105" s="1585"/>
      <c r="D105" s="1585"/>
      <c r="E105" s="1585"/>
      <c r="F105" s="1585"/>
      <c r="G105" s="1585"/>
      <c r="H105" s="1585"/>
      <c r="I105" s="1585"/>
      <c r="J105" s="1585"/>
      <c r="K105" s="1585"/>
      <c r="L105" s="1585"/>
      <c r="M105" s="1585"/>
      <c r="N105" s="1585"/>
      <c r="O105" s="1585"/>
      <c r="P105" s="1585"/>
      <c r="Q105" s="1585"/>
      <c r="R105" s="1585"/>
      <c r="S105" s="1585"/>
      <c r="T105" s="1585"/>
      <c r="U105" s="1586"/>
    </row>
    <row r="106" spans="1:21" ht="18" customHeight="1" thickBot="1" x14ac:dyDescent="0.3">
      <c r="A106" s="653"/>
      <c r="B106" s="1190"/>
      <c r="C106" s="1190"/>
      <c r="D106" s="1190"/>
      <c r="E106" s="1190"/>
      <c r="F106" s="1190"/>
      <c r="G106" s="1238"/>
      <c r="H106" s="1190"/>
      <c r="I106" s="1190"/>
      <c r="J106" s="1190"/>
      <c r="K106" s="1190"/>
      <c r="L106" s="1190"/>
      <c r="M106" s="1190"/>
      <c r="N106" s="1190"/>
      <c r="O106" s="1190"/>
      <c r="P106" s="1190"/>
      <c r="Q106" s="1190"/>
      <c r="R106" s="1190"/>
      <c r="S106" s="1190"/>
      <c r="T106" s="1190"/>
      <c r="U106" s="1190"/>
    </row>
    <row r="107" spans="1:21" ht="30" customHeight="1" thickBot="1" x14ac:dyDescent="0.3">
      <c r="A107" s="494"/>
      <c r="B107" s="1190"/>
      <c r="C107" s="1198" t="s">
        <v>1482</v>
      </c>
      <c r="D107" s="1601" t="s">
        <v>1624</v>
      </c>
      <c r="E107" s="1602"/>
      <c r="F107" s="1190"/>
      <c r="G107" s="1238"/>
      <c r="H107" s="1201" t="s">
        <v>1479</v>
      </c>
      <c r="I107" s="1205"/>
      <c r="J107" s="1201" t="s">
        <v>1480</v>
      </c>
      <c r="K107" s="1205"/>
      <c r="L107" s="1201" t="s">
        <v>1496</v>
      </c>
      <c r="M107" s="1205"/>
      <c r="N107" s="1201" t="s">
        <v>1481</v>
      </c>
      <c r="O107" s="1205"/>
      <c r="P107" s="1201" t="s">
        <v>1588</v>
      </c>
      <c r="Q107" s="1205"/>
      <c r="R107" s="1201" t="s">
        <v>1589</v>
      </c>
      <c r="S107" s="1205"/>
      <c r="T107" s="1201" t="s">
        <v>1590</v>
      </c>
      <c r="U107" s="1190"/>
    </row>
    <row r="108" spans="1:21" ht="15.75" thickBot="1" x14ac:dyDescent="0.3">
      <c r="A108" s="653"/>
      <c r="B108" s="1190"/>
      <c r="C108" s="1193"/>
      <c r="D108" s="1186"/>
      <c r="E108" s="1186"/>
      <c r="F108" s="1190"/>
      <c r="G108" s="1238"/>
      <c r="H108" s="1142"/>
      <c r="I108" s="1190"/>
      <c r="J108" s="1191"/>
      <c r="K108" s="1190"/>
      <c r="L108" s="1191"/>
      <c r="M108" s="1190"/>
      <c r="N108" s="1237"/>
      <c r="O108" s="1190"/>
      <c r="P108" s="1143" t="s">
        <v>1591</v>
      </c>
      <c r="Q108" s="1190"/>
      <c r="R108" s="1143" t="s">
        <v>1592</v>
      </c>
      <c r="S108" s="1190"/>
      <c r="T108" s="1187" t="s">
        <v>653</v>
      </c>
      <c r="U108" s="1190"/>
    </row>
    <row r="109" spans="1:21" ht="30.75" thickBot="1" x14ac:dyDescent="0.3">
      <c r="A109" s="653"/>
      <c r="B109" s="1190"/>
      <c r="C109" s="1201" t="s">
        <v>1593</v>
      </c>
      <c r="D109" s="1603">
        <v>5502</v>
      </c>
      <c r="E109" s="1604"/>
      <c r="F109" s="1190"/>
      <c r="G109" s="1238"/>
      <c r="H109" s="1190"/>
      <c r="I109" s="1190"/>
      <c r="J109" s="1190"/>
      <c r="K109" s="1190"/>
      <c r="L109" s="1190"/>
      <c r="M109" s="1190"/>
      <c r="N109" s="1190"/>
      <c r="O109" s="1190"/>
      <c r="P109" s="1190"/>
      <c r="Q109" s="1190"/>
      <c r="R109" s="1190"/>
      <c r="S109" s="1190"/>
      <c r="T109" s="1190"/>
      <c r="U109" s="1190"/>
    </row>
    <row r="110" spans="1:21" ht="15.75" thickBot="1" x14ac:dyDescent="0.3">
      <c r="A110" s="653"/>
      <c r="B110" s="1190"/>
      <c r="C110" s="1193"/>
      <c r="D110" s="1186"/>
      <c r="E110" s="1186"/>
      <c r="F110" s="1190"/>
      <c r="G110" s="1238"/>
      <c r="H110" s="1202" t="s">
        <v>1486</v>
      </c>
      <c r="I110" s="1205"/>
      <c r="J110" s="1201" t="s">
        <v>1487</v>
      </c>
      <c r="K110" s="1205"/>
      <c r="L110" s="1201" t="s">
        <v>1488</v>
      </c>
      <c r="M110" s="1205"/>
      <c r="N110" s="1201" t="s">
        <v>1603</v>
      </c>
      <c r="O110" s="1205"/>
      <c r="P110" s="1201" t="s">
        <v>1604</v>
      </c>
      <c r="Q110" s="1205"/>
      <c r="R110" s="1205"/>
      <c r="S110" s="1205"/>
      <c r="T110" s="1201" t="s">
        <v>1626</v>
      </c>
      <c r="U110" s="1190"/>
    </row>
    <row r="111" spans="1:21" ht="18" customHeight="1" thickBot="1" x14ac:dyDescent="0.3">
      <c r="A111" s="653"/>
      <c r="B111" s="1190"/>
      <c r="C111" s="1198" t="s">
        <v>1484</v>
      </c>
      <c r="D111" s="1605" t="str">
        <f>AA10</f>
        <v/>
      </c>
      <c r="E111" s="1606"/>
      <c r="F111" s="1190"/>
      <c r="G111" s="1238" t="s">
        <v>1048</v>
      </c>
      <c r="H111" s="1166"/>
      <c r="I111" s="1205"/>
      <c r="J111" s="1195"/>
      <c r="K111" s="1205"/>
      <c r="L111" s="1194"/>
      <c r="M111" s="1205"/>
      <c r="N111" s="1159" t="s">
        <v>482</v>
      </c>
      <c r="O111" s="1205"/>
      <c r="P111" s="1159" t="s">
        <v>1606</v>
      </c>
      <c r="Q111" s="1205"/>
      <c r="R111" s="1205"/>
      <c r="S111" s="1205"/>
      <c r="T111" s="1159" t="s">
        <v>462</v>
      </c>
      <c r="U111" s="1190"/>
    </row>
    <row r="112" spans="1:21" ht="15.75" thickBot="1" x14ac:dyDescent="0.3">
      <c r="A112" s="653"/>
      <c r="B112" s="1190"/>
      <c r="C112" s="1193"/>
      <c r="D112" s="1186"/>
      <c r="E112" s="1186"/>
      <c r="F112" s="1190"/>
      <c r="G112" s="1238"/>
      <c r="H112" s="1190"/>
      <c r="I112" s="1190"/>
      <c r="J112" s="1190"/>
      <c r="K112" s="1190"/>
      <c r="L112" s="1190"/>
      <c r="M112" s="1190"/>
      <c r="N112" s="1190"/>
      <c r="O112" s="1190"/>
      <c r="P112" s="1190"/>
      <c r="Q112" s="1190"/>
      <c r="R112" s="1190"/>
      <c r="S112" s="1190"/>
      <c r="T112" s="1190"/>
      <c r="U112" s="1190"/>
    </row>
    <row r="113" spans="1:21" ht="30.75" thickBot="1" x14ac:dyDescent="0.3">
      <c r="A113" s="653"/>
      <c r="B113" s="1190"/>
      <c r="C113" s="1198" t="s">
        <v>1485</v>
      </c>
      <c r="D113" s="1605" t="str">
        <f>AB10</f>
        <v/>
      </c>
      <c r="E113" s="1606"/>
      <c r="F113" s="1190"/>
      <c r="G113" s="1238"/>
      <c r="H113" s="1200" t="s">
        <v>1594</v>
      </c>
      <c r="I113" s="1205"/>
      <c r="J113" s="1201" t="s">
        <v>1608</v>
      </c>
      <c r="K113" s="1205"/>
      <c r="L113" s="1201" t="s">
        <v>1595</v>
      </c>
      <c r="M113" s="1190"/>
      <c r="N113" s="1190"/>
      <c r="O113" s="1190"/>
      <c r="P113" s="1190"/>
      <c r="Q113" s="1190"/>
      <c r="R113" s="1190"/>
      <c r="S113" s="1190"/>
      <c r="T113" s="1283" t="s">
        <v>1701</v>
      </c>
      <c r="U113" s="1190"/>
    </row>
    <row r="114" spans="1:21" ht="15.75" thickBot="1" x14ac:dyDescent="0.3">
      <c r="A114" s="653"/>
      <c r="B114" s="1190"/>
      <c r="C114" s="1193"/>
      <c r="D114" s="1186"/>
      <c r="E114" s="1186"/>
      <c r="F114" s="1190"/>
      <c r="G114" s="1238"/>
      <c r="H114" s="1187" t="s">
        <v>651</v>
      </c>
      <c r="I114" s="1190"/>
      <c r="J114" s="1143" t="s">
        <v>1596</v>
      </c>
      <c r="K114" s="1190"/>
      <c r="L114" s="1159" t="s">
        <v>1596</v>
      </c>
      <c r="M114" s="1190"/>
      <c r="N114" s="1190"/>
      <c r="O114" s="1190"/>
      <c r="P114" s="1190"/>
      <c r="Q114" s="1190"/>
      <c r="R114" s="1190"/>
      <c r="S114" s="1190"/>
      <c r="T114" s="1284" t="s">
        <v>651</v>
      </c>
      <c r="U114" s="1190"/>
    </row>
    <row r="115" spans="1:21" ht="30" customHeight="1" thickBot="1" x14ac:dyDescent="0.3">
      <c r="A115" s="653"/>
      <c r="B115" s="1190"/>
      <c r="C115" s="1199" t="s">
        <v>1597</v>
      </c>
      <c r="D115" s="1593" t="s">
        <v>651</v>
      </c>
      <c r="E115" s="1594"/>
      <c r="F115" s="1190"/>
      <c r="G115" s="1238"/>
      <c r="H115" s="1190"/>
      <c r="I115" s="1190"/>
      <c r="J115" s="1190"/>
      <c r="K115" s="1190"/>
      <c r="L115" s="1190"/>
      <c r="M115" s="1190"/>
      <c r="N115" s="1190"/>
      <c r="O115" s="1190"/>
      <c r="P115" s="1190"/>
      <c r="Q115" s="1190"/>
      <c r="R115" s="1190"/>
      <c r="S115" s="1190"/>
      <c r="T115" s="1190"/>
      <c r="U115" s="1190"/>
    </row>
    <row r="116" spans="1:21" ht="15.75" thickBot="1" x14ac:dyDescent="0.3">
      <c r="A116" s="653"/>
      <c r="B116" s="1190"/>
      <c r="C116" s="1193"/>
      <c r="D116" s="1186"/>
      <c r="E116" s="1186"/>
      <c r="F116" s="1190"/>
      <c r="G116" s="1238"/>
      <c r="H116" s="1190"/>
      <c r="I116" s="1190"/>
      <c r="J116" s="1190"/>
      <c r="K116" s="1190"/>
      <c r="L116" s="1190"/>
      <c r="M116" s="1190"/>
      <c r="N116" s="1190"/>
      <c r="O116" s="1190"/>
      <c r="P116" s="1190"/>
      <c r="Q116" s="1190"/>
      <c r="R116" s="1190"/>
      <c r="S116" s="1190"/>
      <c r="T116" s="1201" t="s">
        <v>528</v>
      </c>
      <c r="U116" s="1190"/>
    </row>
    <row r="117" spans="1:21" ht="15.75" thickBot="1" x14ac:dyDescent="0.3">
      <c r="A117" s="653"/>
      <c r="B117" s="1190"/>
      <c r="C117" s="1198" t="s">
        <v>1598</v>
      </c>
      <c r="D117" s="1603" t="s">
        <v>1627</v>
      </c>
      <c r="E117" s="1586"/>
      <c r="F117" s="1190"/>
      <c r="G117" s="1238"/>
      <c r="H117" s="1190"/>
      <c r="I117" s="1190"/>
      <c r="J117" s="1190"/>
      <c r="K117" s="1190"/>
      <c r="L117" s="1190"/>
      <c r="M117" s="1190"/>
      <c r="N117" s="1190"/>
      <c r="O117" s="1190"/>
      <c r="P117" s="1190"/>
      <c r="Q117" s="1190"/>
      <c r="R117" s="1190"/>
      <c r="S117" s="1190"/>
      <c r="T117" s="1233" t="str">
        <f>IF(Z10&lt;&gt;"","Yes","No")</f>
        <v>No</v>
      </c>
      <c r="U117" s="1190"/>
    </row>
    <row r="118" spans="1:21" ht="15.75" thickBot="1" x14ac:dyDescent="0.3">
      <c r="A118" s="653"/>
      <c r="B118" s="1190"/>
      <c r="C118" s="1190"/>
      <c r="D118" s="1190"/>
      <c r="E118" s="1190"/>
      <c r="F118" s="1190"/>
      <c r="G118" s="1238"/>
      <c r="H118" s="1190"/>
      <c r="I118" s="1190"/>
      <c r="J118" s="1190"/>
      <c r="K118" s="1190"/>
      <c r="L118" s="1190"/>
      <c r="M118" s="1190"/>
      <c r="N118" s="1190"/>
      <c r="O118" s="1190"/>
      <c r="P118" s="1190"/>
      <c r="Q118" s="1190"/>
      <c r="R118" s="1190"/>
      <c r="S118" s="1190"/>
      <c r="T118" s="1190"/>
      <c r="U118" s="1190"/>
    </row>
    <row r="119" spans="1:21" ht="20.25" customHeight="1" thickBot="1" x14ac:dyDescent="0.3">
      <c r="A119" s="653"/>
      <c r="B119" s="1607" t="s">
        <v>1629</v>
      </c>
      <c r="C119" s="1585"/>
      <c r="D119" s="1585"/>
      <c r="E119" s="1585"/>
      <c r="F119" s="1585"/>
      <c r="G119" s="1585"/>
      <c r="H119" s="1585"/>
      <c r="I119" s="1585"/>
      <c r="J119" s="1585"/>
      <c r="K119" s="1585"/>
      <c r="L119" s="1585"/>
      <c r="M119" s="1585"/>
      <c r="N119" s="1585"/>
      <c r="O119" s="1585"/>
      <c r="P119" s="1585"/>
      <c r="Q119" s="1585"/>
      <c r="R119" s="1585"/>
      <c r="S119" s="1585"/>
      <c r="T119" s="1585"/>
      <c r="U119" s="1586"/>
    </row>
    <row r="120" spans="1:21" ht="15.75" thickBot="1" x14ac:dyDescent="0.3">
      <c r="A120" s="653"/>
      <c r="B120" s="1190"/>
      <c r="C120" s="1190"/>
      <c r="D120" s="1190"/>
      <c r="E120" s="1190"/>
      <c r="F120" s="1190"/>
      <c r="G120" s="1238"/>
      <c r="H120" s="1190"/>
      <c r="I120" s="1190"/>
      <c r="J120" s="1190"/>
      <c r="K120" s="1190"/>
      <c r="L120" s="1190"/>
      <c r="M120" s="1190"/>
      <c r="N120" s="1190"/>
      <c r="O120" s="1190"/>
      <c r="P120" s="1190"/>
      <c r="Q120" s="1190"/>
      <c r="R120" s="1190"/>
      <c r="S120" s="1190"/>
      <c r="T120" s="1190"/>
      <c r="U120" s="1190"/>
    </row>
    <row r="121" spans="1:21" ht="30.75" thickBot="1" x14ac:dyDescent="0.3">
      <c r="A121" s="494"/>
      <c r="B121" s="1190"/>
      <c r="C121" s="1198" t="s">
        <v>1482</v>
      </c>
      <c r="D121" s="1601" t="s">
        <v>1625</v>
      </c>
      <c r="E121" s="1602"/>
      <c r="F121" s="1190"/>
      <c r="G121" s="1238"/>
      <c r="H121" s="1201" t="s">
        <v>1479</v>
      </c>
      <c r="I121" s="1205"/>
      <c r="J121" s="1201" t="s">
        <v>1480</v>
      </c>
      <c r="K121" s="1205"/>
      <c r="L121" s="1201" t="s">
        <v>1496</v>
      </c>
      <c r="M121" s="1205"/>
      <c r="N121" s="1201" t="s">
        <v>1481</v>
      </c>
      <c r="O121" s="1205"/>
      <c r="P121" s="1201" t="s">
        <v>1588</v>
      </c>
      <c r="Q121" s="1205"/>
      <c r="R121" s="1201" t="s">
        <v>1589</v>
      </c>
      <c r="S121" s="1205"/>
      <c r="T121" s="1201" t="s">
        <v>1590</v>
      </c>
      <c r="U121" s="1190"/>
    </row>
    <row r="122" spans="1:21" ht="15.75" thickBot="1" x14ac:dyDescent="0.3">
      <c r="A122" s="653"/>
      <c r="B122" s="1190"/>
      <c r="C122" s="1193"/>
      <c r="D122" s="1186"/>
      <c r="E122" s="1186"/>
      <c r="F122" s="1190"/>
      <c r="G122" s="1238"/>
      <c r="H122" s="1142"/>
      <c r="I122" s="1190"/>
      <c r="J122" s="1191"/>
      <c r="K122" s="1190"/>
      <c r="L122" s="1191"/>
      <c r="M122" s="1190"/>
      <c r="N122" s="1237"/>
      <c r="O122" s="1190"/>
      <c r="P122" s="1143" t="s">
        <v>1591</v>
      </c>
      <c r="Q122" s="1190"/>
      <c r="R122" s="1143" t="s">
        <v>1592</v>
      </c>
      <c r="S122" s="1190"/>
      <c r="T122" s="1187" t="s">
        <v>653</v>
      </c>
      <c r="U122" s="1190"/>
    </row>
    <row r="123" spans="1:21" ht="30.75" thickBot="1" x14ac:dyDescent="0.3">
      <c r="A123" s="653"/>
      <c r="B123" s="1190"/>
      <c r="C123" s="1201" t="s">
        <v>1593</v>
      </c>
      <c r="D123" s="1603">
        <v>2801</v>
      </c>
      <c r="E123" s="1604"/>
      <c r="F123" s="1190"/>
      <c r="G123" s="1238"/>
      <c r="H123" s="1190"/>
      <c r="I123" s="1190"/>
      <c r="J123" s="1190"/>
      <c r="K123" s="1190"/>
      <c r="L123" s="1190"/>
      <c r="M123" s="1190"/>
      <c r="N123" s="1190"/>
      <c r="O123" s="1190"/>
      <c r="P123" s="1190"/>
      <c r="Q123" s="1190"/>
      <c r="R123" s="1190"/>
      <c r="S123" s="1190"/>
      <c r="T123" s="1190"/>
      <c r="U123" s="1190"/>
    </row>
    <row r="124" spans="1:21" ht="18" customHeight="1" thickBot="1" x14ac:dyDescent="0.3">
      <c r="A124" s="653"/>
      <c r="B124" s="1190"/>
      <c r="C124" s="1186"/>
      <c r="D124" s="1186"/>
      <c r="E124" s="1186"/>
      <c r="F124" s="1190"/>
      <c r="G124" s="1238"/>
      <c r="H124" s="1202" t="s">
        <v>1486</v>
      </c>
      <c r="I124" s="1205"/>
      <c r="J124" s="1201" t="s">
        <v>1487</v>
      </c>
      <c r="K124" s="1205"/>
      <c r="L124" s="1201" t="s">
        <v>1488</v>
      </c>
      <c r="M124" s="1205"/>
      <c r="N124" s="1201" t="s">
        <v>1603</v>
      </c>
      <c r="O124" s="1205"/>
      <c r="P124" s="1201" t="s">
        <v>1604</v>
      </c>
      <c r="Q124" s="1205"/>
      <c r="R124" s="1205"/>
      <c r="S124" s="1205"/>
      <c r="T124" s="1201" t="s">
        <v>1626</v>
      </c>
      <c r="U124" s="1190"/>
    </row>
    <row r="125" spans="1:21" ht="18" customHeight="1" thickBot="1" x14ac:dyDescent="0.3">
      <c r="A125" s="653"/>
      <c r="B125" s="1190"/>
      <c r="C125" s="1198" t="s">
        <v>1484</v>
      </c>
      <c r="D125" s="1605" t="str">
        <f>AA11</f>
        <v/>
      </c>
      <c r="E125" s="1606"/>
      <c r="F125" s="1190"/>
      <c r="G125" s="1238" t="s">
        <v>1048</v>
      </c>
      <c r="H125" s="1166"/>
      <c r="I125" s="1190"/>
      <c r="J125" s="1166"/>
      <c r="K125" s="1190"/>
      <c r="L125" s="1166"/>
      <c r="M125" s="1190"/>
      <c r="N125" s="1159" t="s">
        <v>482</v>
      </c>
      <c r="O125" s="1190"/>
      <c r="P125" s="1159" t="s">
        <v>1606</v>
      </c>
      <c r="Q125" s="1190"/>
      <c r="R125" s="1190"/>
      <c r="S125" s="1190"/>
      <c r="T125" s="1159" t="s">
        <v>462</v>
      </c>
      <c r="U125" s="1190"/>
    </row>
    <row r="126" spans="1:21" ht="15.75" thickBot="1" x14ac:dyDescent="0.3">
      <c r="A126" s="653"/>
      <c r="B126" s="1190"/>
      <c r="C126" s="1193"/>
      <c r="D126" s="1186"/>
      <c r="E126" s="1186"/>
      <c r="F126" s="1190"/>
      <c r="G126" s="1238" t="s">
        <v>1489</v>
      </c>
      <c r="H126" s="1166"/>
      <c r="I126" s="1190"/>
      <c r="J126" s="1195"/>
      <c r="K126" s="1190"/>
      <c r="L126" s="1166"/>
      <c r="M126" s="1190"/>
      <c r="N126" s="1159" t="s">
        <v>482</v>
      </c>
      <c r="O126" s="1190"/>
      <c r="P126" s="1159" t="s">
        <v>1606</v>
      </c>
      <c r="Q126" s="1190"/>
      <c r="R126" s="1190"/>
      <c r="S126" s="1190"/>
      <c r="T126" s="1190"/>
      <c r="U126" s="1190"/>
    </row>
    <row r="127" spans="1:21" ht="15.75" thickBot="1" x14ac:dyDescent="0.3">
      <c r="A127" s="653"/>
      <c r="B127" s="1190"/>
      <c r="C127" s="1198" t="s">
        <v>1485</v>
      </c>
      <c r="D127" s="1605" t="str">
        <f>AB11</f>
        <v/>
      </c>
      <c r="E127" s="1606"/>
      <c r="F127" s="1190"/>
      <c r="G127" s="1238" t="s">
        <v>1490</v>
      </c>
      <c r="H127" s="1166"/>
      <c r="I127" s="1190"/>
      <c r="J127" s="1196"/>
      <c r="K127" s="1190"/>
      <c r="L127" s="1166"/>
      <c r="M127" s="1190"/>
      <c r="N127" s="1159" t="s">
        <v>482</v>
      </c>
      <c r="O127" s="1190"/>
      <c r="P127" s="1159" t="s">
        <v>1606</v>
      </c>
      <c r="Q127" s="1190"/>
      <c r="R127" s="1190"/>
      <c r="S127" s="1190"/>
      <c r="T127" s="1283" t="s">
        <v>1701</v>
      </c>
      <c r="U127" s="1190"/>
    </row>
    <row r="128" spans="1:21" x14ac:dyDescent="0.25">
      <c r="A128" s="653"/>
      <c r="B128" s="1190"/>
      <c r="C128" s="1193"/>
      <c r="D128" s="1186"/>
      <c r="E128" s="1186"/>
      <c r="F128" s="1190"/>
      <c r="G128" s="1238" t="s">
        <v>1492</v>
      </c>
      <c r="H128" s="1166"/>
      <c r="I128" s="1190"/>
      <c r="J128" s="1196"/>
      <c r="K128" s="1190"/>
      <c r="L128" s="1166"/>
      <c r="M128" s="1190"/>
      <c r="N128" s="1159" t="s">
        <v>482</v>
      </c>
      <c r="O128" s="1190"/>
      <c r="P128" s="1159" t="s">
        <v>1606</v>
      </c>
      <c r="Q128" s="1190"/>
      <c r="R128" s="1190"/>
      <c r="S128" s="1190"/>
      <c r="T128" s="1284" t="s">
        <v>651</v>
      </c>
      <c r="U128" s="1190"/>
    </row>
    <row r="129" spans="1:21" x14ac:dyDescent="0.25">
      <c r="A129" s="653"/>
      <c r="B129" s="1190"/>
      <c r="C129" s="1193"/>
      <c r="D129" s="1186"/>
      <c r="E129" s="1186"/>
      <c r="F129" s="1190"/>
      <c r="G129" s="1238" t="s">
        <v>1494</v>
      </c>
      <c r="H129" s="1166"/>
      <c r="I129" s="1190"/>
      <c r="J129" s="1196"/>
      <c r="K129" s="1190"/>
      <c r="L129" s="1166"/>
      <c r="M129" s="1190"/>
      <c r="N129" s="1159" t="s">
        <v>482</v>
      </c>
      <c r="O129" s="1190"/>
      <c r="P129" s="1159" t="s">
        <v>1606</v>
      </c>
      <c r="Q129" s="1190"/>
      <c r="R129" s="1190"/>
      <c r="S129" s="1190"/>
      <c r="T129" s="1190"/>
      <c r="U129" s="1190"/>
    </row>
    <row r="130" spans="1:21" ht="15.75" thickBot="1" x14ac:dyDescent="0.3">
      <c r="A130" s="653"/>
      <c r="B130" s="1190"/>
      <c r="C130" s="1193"/>
      <c r="D130" s="1186"/>
      <c r="E130" s="1186"/>
      <c r="F130" s="1190"/>
      <c r="G130" s="1238"/>
      <c r="H130" s="1190"/>
      <c r="I130" s="1190"/>
      <c r="J130" s="1190"/>
      <c r="K130" s="1190"/>
      <c r="L130" s="1190"/>
      <c r="M130" s="1190"/>
      <c r="N130" s="1190"/>
      <c r="O130" s="1190"/>
      <c r="P130" s="1190"/>
      <c r="Q130" s="1190"/>
      <c r="R130" s="1190"/>
      <c r="S130" s="1190"/>
      <c r="T130" s="1190"/>
      <c r="U130" s="1190"/>
    </row>
    <row r="131" spans="1:21" ht="30.75" thickBot="1" x14ac:dyDescent="0.3">
      <c r="A131" s="653"/>
      <c r="B131" s="1190"/>
      <c r="C131" s="1199" t="s">
        <v>1597</v>
      </c>
      <c r="D131" s="1593" t="s">
        <v>651</v>
      </c>
      <c r="E131" s="1594"/>
      <c r="F131" s="1190"/>
      <c r="G131" s="1238"/>
      <c r="H131" s="1200" t="s">
        <v>1594</v>
      </c>
      <c r="I131" s="1205"/>
      <c r="J131" s="1201" t="s">
        <v>1608</v>
      </c>
      <c r="K131" s="1205"/>
      <c r="L131" s="1201" t="s">
        <v>1595</v>
      </c>
      <c r="M131" s="1190"/>
      <c r="N131" s="1190"/>
      <c r="O131" s="1190"/>
      <c r="P131" s="1190"/>
      <c r="Q131" s="1190"/>
      <c r="R131" s="1190"/>
      <c r="S131" s="1190"/>
      <c r="T131" s="1201" t="s">
        <v>528</v>
      </c>
      <c r="U131" s="1190"/>
    </row>
    <row r="132" spans="1:21" ht="15.75" thickBot="1" x14ac:dyDescent="0.3">
      <c r="A132" s="653"/>
      <c r="B132" s="1190"/>
      <c r="C132" s="1193"/>
      <c r="D132" s="1186"/>
      <c r="E132" s="1186"/>
      <c r="F132" s="1190"/>
      <c r="G132" s="1238"/>
      <c r="H132" s="1187" t="s">
        <v>651</v>
      </c>
      <c r="I132" s="1190"/>
      <c r="J132" s="1143" t="s">
        <v>1596</v>
      </c>
      <c r="K132" s="1190"/>
      <c r="L132" s="1159" t="s">
        <v>1596</v>
      </c>
      <c r="M132" s="1190"/>
      <c r="N132" s="1190"/>
      <c r="O132" s="1190"/>
      <c r="P132" s="1190"/>
      <c r="Q132" s="1190"/>
      <c r="R132" s="1190"/>
      <c r="S132" s="1190"/>
      <c r="T132" s="1233" t="str">
        <f>IF(Z11&lt;&gt;"","Yes","No")</f>
        <v>No</v>
      </c>
      <c r="U132" s="1190"/>
    </row>
    <row r="133" spans="1:21" ht="15.75" thickBot="1" x14ac:dyDescent="0.3">
      <c r="A133" s="653"/>
      <c r="B133" s="1190"/>
      <c r="C133" s="1198" t="s">
        <v>1598</v>
      </c>
      <c r="D133" s="1603" t="s">
        <v>1627</v>
      </c>
      <c r="E133" s="1586"/>
      <c r="F133" s="1190"/>
      <c r="G133" s="1238"/>
      <c r="H133" s="1190"/>
      <c r="I133" s="1190"/>
      <c r="J133" s="1190"/>
      <c r="K133" s="1190"/>
      <c r="L133" s="1190"/>
      <c r="M133" s="1190"/>
      <c r="N133" s="1190"/>
      <c r="O133" s="1190"/>
      <c r="P133" s="1190"/>
      <c r="Q133" s="1190"/>
      <c r="R133" s="1190"/>
      <c r="S133" s="1190"/>
      <c r="T133" s="1190"/>
      <c r="U133" s="1190"/>
    </row>
    <row r="134" spans="1:21" ht="15.75" thickBot="1" x14ac:dyDescent="0.3">
      <c r="A134" s="653"/>
      <c r="B134" s="1190"/>
      <c r="C134" s="1190"/>
      <c r="D134" s="1190"/>
      <c r="E134" s="1190"/>
      <c r="F134" s="1190"/>
      <c r="G134" s="1238"/>
      <c r="H134" s="1190"/>
      <c r="I134" s="1190"/>
      <c r="J134" s="1190"/>
      <c r="K134" s="1190"/>
      <c r="L134" s="1190"/>
      <c r="M134" s="1190"/>
      <c r="N134" s="1190"/>
      <c r="O134" s="1190"/>
      <c r="P134" s="1190"/>
      <c r="Q134" s="1190"/>
      <c r="R134" s="1190"/>
      <c r="S134" s="1190"/>
      <c r="T134" s="1190"/>
      <c r="U134" s="1190"/>
    </row>
    <row r="135" spans="1:21" ht="20.25" customHeight="1" thickBot="1" x14ac:dyDescent="0.3">
      <c r="A135" s="653"/>
      <c r="B135" s="1607" t="s">
        <v>1630</v>
      </c>
      <c r="C135" s="1585"/>
      <c r="D135" s="1585"/>
      <c r="E135" s="1585"/>
      <c r="F135" s="1585"/>
      <c r="G135" s="1585"/>
      <c r="H135" s="1585"/>
      <c r="I135" s="1585"/>
      <c r="J135" s="1585"/>
      <c r="K135" s="1585"/>
      <c r="L135" s="1585"/>
      <c r="M135" s="1585"/>
      <c r="N135" s="1585"/>
      <c r="O135" s="1585"/>
      <c r="P135" s="1585"/>
      <c r="Q135" s="1585"/>
      <c r="R135" s="1585"/>
      <c r="S135" s="1585"/>
      <c r="T135" s="1585"/>
      <c r="U135" s="1586"/>
    </row>
    <row r="136" spans="1:21" ht="15.75" thickBot="1" x14ac:dyDescent="0.3">
      <c r="A136" s="653"/>
      <c r="B136" s="1190"/>
      <c r="C136" s="1190"/>
      <c r="D136" s="1190"/>
      <c r="E136" s="1190"/>
      <c r="F136" s="1190"/>
      <c r="G136" s="1238"/>
      <c r="H136" s="1190"/>
      <c r="I136" s="1190"/>
      <c r="J136" s="1190"/>
      <c r="K136" s="1190"/>
      <c r="L136" s="1190"/>
      <c r="M136" s="1190"/>
      <c r="N136" s="1190"/>
      <c r="O136" s="1190"/>
      <c r="P136" s="1190"/>
      <c r="Q136" s="1190"/>
      <c r="R136" s="1190"/>
      <c r="S136" s="1190"/>
      <c r="T136" s="1190"/>
      <c r="U136" s="1190"/>
    </row>
    <row r="137" spans="1:21" ht="30.75" thickBot="1" x14ac:dyDescent="0.3">
      <c r="A137" s="494"/>
      <c r="B137" s="1190"/>
      <c r="C137" s="1198" t="s">
        <v>1482</v>
      </c>
      <c r="D137" s="1601" t="s">
        <v>1625</v>
      </c>
      <c r="E137" s="1602"/>
      <c r="F137" s="1190"/>
      <c r="G137" s="1238"/>
      <c r="H137" s="1201" t="s">
        <v>1479</v>
      </c>
      <c r="I137" s="1205"/>
      <c r="J137" s="1201" t="s">
        <v>1480</v>
      </c>
      <c r="K137" s="1205"/>
      <c r="L137" s="1201" t="s">
        <v>1496</v>
      </c>
      <c r="M137" s="1205"/>
      <c r="N137" s="1201" t="s">
        <v>1481</v>
      </c>
      <c r="O137" s="1205"/>
      <c r="P137" s="1201" t="s">
        <v>1588</v>
      </c>
      <c r="Q137" s="1205"/>
      <c r="R137" s="1201" t="s">
        <v>1589</v>
      </c>
      <c r="S137" s="1205"/>
      <c r="T137" s="1201" t="s">
        <v>1590</v>
      </c>
      <c r="U137" s="1190"/>
    </row>
    <row r="138" spans="1:21" ht="15.75" thickBot="1" x14ac:dyDescent="0.3">
      <c r="A138" s="653"/>
      <c r="B138" s="1190"/>
      <c r="C138" s="1193"/>
      <c r="D138" s="1186"/>
      <c r="E138" s="1186"/>
      <c r="F138" s="1190"/>
      <c r="G138" s="1238"/>
      <c r="H138" s="1142"/>
      <c r="I138" s="1190"/>
      <c r="J138" s="1191"/>
      <c r="K138" s="1190"/>
      <c r="L138" s="1191"/>
      <c r="M138" s="1190"/>
      <c r="N138" s="1237"/>
      <c r="O138" s="1190"/>
      <c r="P138" s="1143" t="s">
        <v>1591</v>
      </c>
      <c r="Q138" s="1190"/>
      <c r="R138" s="1143" t="s">
        <v>1592</v>
      </c>
      <c r="S138" s="1190"/>
      <c r="T138" s="1187" t="s">
        <v>653</v>
      </c>
      <c r="U138" s="1190"/>
    </row>
    <row r="139" spans="1:21" ht="30.75" thickBot="1" x14ac:dyDescent="0.3">
      <c r="A139" s="653"/>
      <c r="B139" s="1190"/>
      <c r="C139" s="1201" t="s">
        <v>1593</v>
      </c>
      <c r="D139" s="1603">
        <v>2802</v>
      </c>
      <c r="E139" s="1604"/>
      <c r="F139" s="1190"/>
      <c r="G139" s="1238"/>
      <c r="H139" s="1190"/>
      <c r="I139" s="1190"/>
      <c r="J139" s="1190"/>
      <c r="K139" s="1190"/>
      <c r="L139" s="1190"/>
      <c r="M139" s="1190"/>
      <c r="N139" s="1190"/>
      <c r="O139" s="1190"/>
      <c r="P139" s="1190"/>
      <c r="Q139" s="1190"/>
      <c r="R139" s="1190"/>
      <c r="S139" s="1190"/>
      <c r="T139" s="1190"/>
      <c r="U139" s="1190"/>
    </row>
    <row r="140" spans="1:21" ht="15.75" thickBot="1" x14ac:dyDescent="0.3">
      <c r="A140" s="653"/>
      <c r="B140" s="1190"/>
      <c r="C140" s="1193"/>
      <c r="D140" s="1186"/>
      <c r="E140" s="1186"/>
      <c r="F140" s="1190"/>
      <c r="G140" s="1238"/>
      <c r="H140" s="1202" t="s">
        <v>1486</v>
      </c>
      <c r="I140" s="1205"/>
      <c r="J140" s="1201" t="s">
        <v>1487</v>
      </c>
      <c r="K140" s="1205"/>
      <c r="L140" s="1201" t="s">
        <v>1488</v>
      </c>
      <c r="M140" s="1205"/>
      <c r="N140" s="1201" t="s">
        <v>1603</v>
      </c>
      <c r="O140" s="1205"/>
      <c r="P140" s="1201" t="s">
        <v>1604</v>
      </c>
      <c r="Q140" s="1205"/>
      <c r="R140" s="1205"/>
      <c r="S140" s="1205"/>
      <c r="T140" s="1201" t="s">
        <v>1626</v>
      </c>
      <c r="U140" s="1190"/>
    </row>
    <row r="141" spans="1:21" ht="18" customHeight="1" thickBot="1" x14ac:dyDescent="0.3">
      <c r="A141" s="653"/>
      <c r="B141" s="1190"/>
      <c r="C141" s="1198" t="s">
        <v>1484</v>
      </c>
      <c r="D141" s="1605" t="str">
        <f>AA12</f>
        <v/>
      </c>
      <c r="E141" s="1606"/>
      <c r="F141" s="1190"/>
      <c r="G141" s="1238" t="s">
        <v>1048</v>
      </c>
      <c r="H141" s="1166"/>
      <c r="I141" s="1205"/>
      <c r="J141" s="1166"/>
      <c r="K141" s="1205"/>
      <c r="L141" s="1166"/>
      <c r="M141" s="1205"/>
      <c r="N141" s="1159" t="s">
        <v>482</v>
      </c>
      <c r="O141" s="1205"/>
      <c r="P141" s="1159" t="s">
        <v>1606</v>
      </c>
      <c r="Q141" s="1205"/>
      <c r="R141" s="1205"/>
      <c r="S141" s="1205"/>
      <c r="T141" s="1159" t="s">
        <v>462</v>
      </c>
      <c r="U141" s="1190"/>
    </row>
    <row r="142" spans="1:21" ht="18" customHeight="1" thickBot="1" x14ac:dyDescent="0.3">
      <c r="A142" s="653"/>
      <c r="B142" s="1190"/>
      <c r="C142" s="1193"/>
      <c r="D142" s="1186"/>
      <c r="E142" s="1186"/>
      <c r="F142" s="1190"/>
      <c r="G142" s="1238" t="s">
        <v>1489</v>
      </c>
      <c r="H142" s="1166"/>
      <c r="I142" s="1205"/>
      <c r="J142" s="1192"/>
      <c r="K142" s="1205"/>
      <c r="L142" s="1166"/>
      <c r="M142" s="1205"/>
      <c r="N142" s="1159" t="s">
        <v>482</v>
      </c>
      <c r="O142" s="1205"/>
      <c r="P142" s="1159" t="s">
        <v>1606</v>
      </c>
      <c r="Q142" s="1205"/>
      <c r="R142" s="1205"/>
      <c r="S142" s="1205"/>
      <c r="T142" s="1205"/>
      <c r="U142" s="1190"/>
    </row>
    <row r="143" spans="1:21" ht="18" customHeight="1" thickBot="1" x14ac:dyDescent="0.3">
      <c r="A143" s="653"/>
      <c r="B143" s="1190"/>
      <c r="C143" s="1198" t="s">
        <v>1485</v>
      </c>
      <c r="D143" s="1605" t="str">
        <f>AB12</f>
        <v/>
      </c>
      <c r="E143" s="1606"/>
      <c r="F143" s="1190"/>
      <c r="G143" s="1238" t="s">
        <v>1490</v>
      </c>
      <c r="H143" s="1166"/>
      <c r="I143" s="1205"/>
      <c r="J143" s="1195"/>
      <c r="K143" s="1205"/>
      <c r="L143" s="1166"/>
      <c r="M143" s="1205"/>
      <c r="N143" s="1159" t="s">
        <v>482</v>
      </c>
      <c r="O143" s="1205"/>
      <c r="P143" s="1159" t="s">
        <v>1606</v>
      </c>
      <c r="Q143" s="1205"/>
      <c r="R143" s="1205"/>
      <c r="S143" s="1205"/>
      <c r="T143" s="1283" t="s">
        <v>1701</v>
      </c>
      <c r="U143" s="1190"/>
    </row>
    <row r="144" spans="1:21" ht="18" customHeight="1" x14ac:dyDescent="0.25">
      <c r="A144" s="653"/>
      <c r="B144" s="1190"/>
      <c r="C144" s="1193"/>
      <c r="D144" s="1186"/>
      <c r="E144" s="1186"/>
      <c r="F144" s="1190"/>
      <c r="G144" s="1238" t="s">
        <v>1492</v>
      </c>
      <c r="H144" s="1166"/>
      <c r="I144" s="1205"/>
      <c r="J144" s="1196"/>
      <c r="K144" s="1205"/>
      <c r="L144" s="1166"/>
      <c r="M144" s="1205"/>
      <c r="N144" s="1159" t="s">
        <v>482</v>
      </c>
      <c r="O144" s="1205"/>
      <c r="P144" s="1159" t="s">
        <v>1606</v>
      </c>
      <c r="Q144" s="1205"/>
      <c r="R144" s="1205"/>
      <c r="S144" s="1205"/>
      <c r="T144" s="1284" t="s">
        <v>651</v>
      </c>
      <c r="U144" s="1190"/>
    </row>
    <row r="145" spans="1:21" ht="18" customHeight="1" x14ac:dyDescent="0.25">
      <c r="A145" s="653"/>
      <c r="B145" s="1190"/>
      <c r="C145" s="1193"/>
      <c r="D145" s="1186"/>
      <c r="E145" s="1186"/>
      <c r="F145" s="1190"/>
      <c r="G145" s="1238" t="s">
        <v>1494</v>
      </c>
      <c r="H145" s="1166"/>
      <c r="I145" s="1205"/>
      <c r="J145" s="1196"/>
      <c r="K145" s="1205"/>
      <c r="L145" s="1166"/>
      <c r="M145" s="1205"/>
      <c r="N145" s="1159" t="s">
        <v>482</v>
      </c>
      <c r="O145" s="1205"/>
      <c r="P145" s="1159" t="s">
        <v>1606</v>
      </c>
      <c r="Q145" s="1205"/>
      <c r="R145" s="1205"/>
      <c r="S145" s="1205"/>
      <c r="T145" s="1205"/>
      <c r="U145" s="1190"/>
    </row>
    <row r="146" spans="1:21" ht="15.75" thickBot="1" x14ac:dyDescent="0.3">
      <c r="A146" s="653"/>
      <c r="B146" s="1190"/>
      <c r="C146" s="1193"/>
      <c r="D146" s="1186"/>
      <c r="E146" s="1186"/>
      <c r="F146" s="1190"/>
      <c r="G146" s="1238"/>
      <c r="H146" s="1190"/>
      <c r="I146" s="1190"/>
      <c r="J146" s="1190"/>
      <c r="K146" s="1190"/>
      <c r="L146" s="1190"/>
      <c r="M146" s="1190"/>
      <c r="N146" s="1190"/>
      <c r="O146" s="1190"/>
      <c r="P146" s="1190"/>
      <c r="Q146" s="1190"/>
      <c r="R146" s="1190"/>
      <c r="S146" s="1190"/>
      <c r="T146" s="1190"/>
      <c r="U146" s="1190"/>
    </row>
    <row r="147" spans="1:21" ht="30.75" thickBot="1" x14ac:dyDescent="0.3">
      <c r="A147" s="653"/>
      <c r="B147" s="1190"/>
      <c r="C147" s="1199" t="s">
        <v>1597</v>
      </c>
      <c r="D147" s="1593" t="s">
        <v>651</v>
      </c>
      <c r="E147" s="1594"/>
      <c r="F147" s="1190"/>
      <c r="G147" s="1238"/>
      <c r="H147" s="1200" t="s">
        <v>1594</v>
      </c>
      <c r="I147" s="1205"/>
      <c r="J147" s="1201" t="s">
        <v>1608</v>
      </c>
      <c r="K147" s="1205"/>
      <c r="L147" s="1201" t="s">
        <v>1595</v>
      </c>
      <c r="M147" s="1190"/>
      <c r="N147" s="1190"/>
      <c r="O147" s="1190"/>
      <c r="P147" s="1190"/>
      <c r="Q147" s="1190"/>
      <c r="R147" s="1190"/>
      <c r="S147" s="1190"/>
      <c r="T147" s="1201" t="s">
        <v>528</v>
      </c>
      <c r="U147" s="1190"/>
    </row>
    <row r="148" spans="1:21" ht="15.75" thickBot="1" x14ac:dyDescent="0.3">
      <c r="A148" s="653"/>
      <c r="B148" s="1190"/>
      <c r="C148" s="1193"/>
      <c r="D148" s="1186"/>
      <c r="E148" s="1186"/>
      <c r="F148" s="1190"/>
      <c r="G148" s="1238"/>
      <c r="H148" s="1187" t="s">
        <v>651</v>
      </c>
      <c r="I148" s="1190"/>
      <c r="J148" s="1143" t="s">
        <v>1596</v>
      </c>
      <c r="K148" s="1190"/>
      <c r="L148" s="1159" t="s">
        <v>1596</v>
      </c>
      <c r="M148" s="1190"/>
      <c r="N148" s="1190"/>
      <c r="O148" s="1190"/>
      <c r="P148" s="1190"/>
      <c r="Q148" s="1190"/>
      <c r="R148" s="1190"/>
      <c r="S148" s="1190"/>
      <c r="T148" s="1233" t="str">
        <f>IF(Z12&lt;&gt;"","Yes","No")</f>
        <v>No</v>
      </c>
      <c r="U148" s="1190"/>
    </row>
    <row r="149" spans="1:21" ht="16.5" customHeight="1" thickBot="1" x14ac:dyDescent="0.3">
      <c r="A149" s="653"/>
      <c r="B149" s="1190"/>
      <c r="C149" s="1198" t="s">
        <v>1598</v>
      </c>
      <c r="D149" s="1603" t="s">
        <v>1627</v>
      </c>
      <c r="E149" s="1586"/>
      <c r="F149" s="1190"/>
      <c r="G149" s="1238"/>
      <c r="H149" s="1190"/>
      <c r="I149" s="1190"/>
      <c r="J149" s="1190"/>
      <c r="K149" s="1190"/>
      <c r="L149" s="1190"/>
      <c r="M149" s="1190"/>
      <c r="N149" s="1190"/>
      <c r="O149" s="1190"/>
      <c r="P149" s="1190"/>
      <c r="Q149" s="1190"/>
      <c r="R149" s="1190"/>
      <c r="S149" s="1190"/>
      <c r="T149" s="1190"/>
      <c r="U149" s="1190"/>
    </row>
    <row r="150" spans="1:21" ht="20.25" customHeight="1" thickBot="1" x14ac:dyDescent="0.3">
      <c r="A150" s="653"/>
      <c r="B150" s="1190"/>
      <c r="C150" s="1190"/>
      <c r="D150" s="1190"/>
      <c r="E150" s="1190"/>
      <c r="F150" s="1190"/>
      <c r="G150" s="1238"/>
      <c r="H150" s="1190"/>
      <c r="I150" s="1190"/>
      <c r="J150" s="1190"/>
      <c r="K150" s="1190"/>
      <c r="L150" s="1190"/>
      <c r="M150" s="1190"/>
      <c r="N150" s="1190"/>
      <c r="O150" s="1190"/>
      <c r="P150" s="1190"/>
      <c r="Q150" s="1190"/>
      <c r="R150" s="1190"/>
      <c r="S150" s="1190"/>
      <c r="T150" s="1190"/>
      <c r="U150" s="1190"/>
    </row>
    <row r="151" spans="1:21" ht="20.25" customHeight="1" thickBot="1" x14ac:dyDescent="0.3">
      <c r="A151" s="653"/>
      <c r="B151" s="1607" t="s">
        <v>1631</v>
      </c>
      <c r="C151" s="1585"/>
      <c r="D151" s="1585"/>
      <c r="E151" s="1585"/>
      <c r="F151" s="1585"/>
      <c r="G151" s="1585"/>
      <c r="H151" s="1585"/>
      <c r="I151" s="1585"/>
      <c r="J151" s="1585"/>
      <c r="K151" s="1585"/>
      <c r="L151" s="1585"/>
      <c r="M151" s="1585"/>
      <c r="N151" s="1585"/>
      <c r="O151" s="1585"/>
      <c r="P151" s="1585"/>
      <c r="Q151" s="1585"/>
      <c r="R151" s="1585"/>
      <c r="S151" s="1585"/>
      <c r="T151" s="1585"/>
      <c r="U151" s="1586"/>
    </row>
    <row r="152" spans="1:21" ht="15.75" thickBot="1" x14ac:dyDescent="0.3">
      <c r="A152" s="653"/>
      <c r="B152" s="1190"/>
      <c r="C152" s="1190"/>
      <c r="D152" s="1190"/>
      <c r="E152" s="1190"/>
      <c r="F152" s="1190"/>
      <c r="G152" s="1238"/>
      <c r="H152" s="1190"/>
      <c r="I152" s="1190"/>
      <c r="J152" s="1190"/>
      <c r="K152" s="1190"/>
      <c r="L152" s="1190"/>
      <c r="M152" s="1190"/>
      <c r="N152" s="1190"/>
      <c r="O152" s="1190"/>
      <c r="P152" s="1190"/>
      <c r="Q152" s="1190"/>
      <c r="R152" s="1190"/>
      <c r="S152" s="1190"/>
      <c r="T152" s="1190"/>
      <c r="U152" s="1190"/>
    </row>
    <row r="153" spans="1:21" ht="30.75" thickBot="1" x14ac:dyDescent="0.3">
      <c r="A153" s="494"/>
      <c r="B153" s="1190"/>
      <c r="C153" s="1198" t="s">
        <v>1482</v>
      </c>
      <c r="D153" s="1601" t="s">
        <v>1632</v>
      </c>
      <c r="E153" s="1602"/>
      <c r="F153" s="1205"/>
      <c r="G153" s="1239"/>
      <c r="H153" s="1201" t="s">
        <v>1479</v>
      </c>
      <c r="I153" s="1205"/>
      <c r="J153" s="1201" t="s">
        <v>1480</v>
      </c>
      <c r="K153" s="1205"/>
      <c r="L153" s="1201" t="s">
        <v>1496</v>
      </c>
      <c r="M153" s="1205"/>
      <c r="N153" s="1201" t="s">
        <v>1481</v>
      </c>
      <c r="O153" s="1205"/>
      <c r="P153" s="1201" t="s">
        <v>1588</v>
      </c>
      <c r="Q153" s="1205"/>
      <c r="R153" s="1201" t="s">
        <v>1589</v>
      </c>
      <c r="S153" s="1205"/>
      <c r="T153" s="1201" t="s">
        <v>1590</v>
      </c>
      <c r="U153" s="1190"/>
    </row>
    <row r="154" spans="1:21" ht="18" customHeight="1" thickBot="1" x14ac:dyDescent="0.3">
      <c r="A154" s="653"/>
      <c r="B154" s="1190"/>
      <c r="C154" s="1193"/>
      <c r="D154" s="1193"/>
      <c r="E154" s="1193"/>
      <c r="F154" s="1205"/>
      <c r="G154" s="1239"/>
      <c r="H154" s="1142"/>
      <c r="I154" s="1205"/>
      <c r="J154" s="1191"/>
      <c r="K154" s="1205"/>
      <c r="L154" s="1191"/>
      <c r="M154" s="1205"/>
      <c r="N154" s="1237"/>
      <c r="O154" s="1205"/>
      <c r="P154" s="1143" t="s">
        <v>1591</v>
      </c>
      <c r="Q154" s="1205"/>
      <c r="R154" s="1143" t="s">
        <v>1592</v>
      </c>
      <c r="S154" s="1205"/>
      <c r="T154" s="1187" t="s">
        <v>653</v>
      </c>
      <c r="U154" s="1190"/>
    </row>
    <row r="155" spans="1:21" ht="28.5" customHeight="1" thickBot="1" x14ac:dyDescent="0.3">
      <c r="A155" s="653"/>
      <c r="B155" s="1190"/>
      <c r="C155" s="1201" t="s">
        <v>1593</v>
      </c>
      <c r="D155" s="1603">
        <v>3401</v>
      </c>
      <c r="E155" s="1604"/>
      <c r="F155" s="1205"/>
      <c r="G155" s="1239"/>
      <c r="H155" s="1205"/>
      <c r="I155" s="1205"/>
      <c r="J155" s="1205"/>
      <c r="K155" s="1205"/>
      <c r="L155" s="1205"/>
      <c r="M155" s="1205"/>
      <c r="N155" s="1205"/>
      <c r="O155" s="1205"/>
      <c r="P155" s="1205"/>
      <c r="Q155" s="1205"/>
      <c r="R155" s="1205"/>
      <c r="S155" s="1205"/>
      <c r="T155" s="1205"/>
      <c r="U155" s="1190"/>
    </row>
    <row r="156" spans="1:21" ht="15.75" thickBot="1" x14ac:dyDescent="0.3">
      <c r="A156" s="653"/>
      <c r="B156" s="1190"/>
      <c r="C156" s="1193"/>
      <c r="D156" s="1193"/>
      <c r="E156" s="1193"/>
      <c r="F156" s="1205"/>
      <c r="G156" s="1239"/>
      <c r="H156" s="1205"/>
      <c r="I156" s="1205"/>
      <c r="J156" s="1205"/>
      <c r="K156" s="1205"/>
      <c r="L156" s="1201" t="s">
        <v>1488</v>
      </c>
      <c r="M156" s="1205"/>
      <c r="N156" s="1205"/>
      <c r="O156" s="1205"/>
      <c r="P156" s="1205"/>
      <c r="Q156" s="1205"/>
      <c r="R156" s="1205"/>
      <c r="S156" s="1205"/>
      <c r="T156" s="1205"/>
      <c r="U156" s="1190"/>
    </row>
    <row r="157" spans="1:21" ht="18" customHeight="1" thickBot="1" x14ac:dyDescent="0.3">
      <c r="A157" s="653"/>
      <c r="B157" s="1190"/>
      <c r="C157" s="1198" t="s">
        <v>1484</v>
      </c>
      <c r="D157" s="1605" t="str">
        <f>AA13</f>
        <v/>
      </c>
      <c r="E157" s="1606"/>
      <c r="F157" s="1205"/>
      <c r="G157" s="1239"/>
      <c r="H157" s="1205"/>
      <c r="I157" s="1205"/>
      <c r="J157" s="1205"/>
      <c r="K157" s="1205"/>
      <c r="L157" s="1166"/>
      <c r="M157" s="1205"/>
      <c r="N157" s="1205"/>
      <c r="O157" s="1205"/>
      <c r="P157" s="1205"/>
      <c r="Q157" s="1205"/>
      <c r="R157" s="1205"/>
      <c r="S157" s="1205"/>
      <c r="T157" s="1205"/>
      <c r="U157" s="1190"/>
    </row>
    <row r="158" spans="1:21" ht="15.75" thickBot="1" x14ac:dyDescent="0.3">
      <c r="A158" s="653"/>
      <c r="B158" s="1190"/>
      <c r="C158" s="1193"/>
      <c r="D158" s="1186"/>
      <c r="E158" s="1186"/>
      <c r="F158" s="1205"/>
      <c r="G158" s="1239"/>
      <c r="H158" s="1205"/>
      <c r="I158" s="1205"/>
      <c r="J158" s="1205"/>
      <c r="K158" s="1205"/>
      <c r="L158" s="1205"/>
      <c r="M158" s="1205"/>
      <c r="N158" s="1205"/>
      <c r="O158" s="1205"/>
      <c r="P158" s="1205"/>
      <c r="Q158" s="1205"/>
      <c r="R158" s="1205"/>
      <c r="S158" s="1205"/>
      <c r="T158" s="1205"/>
      <c r="U158" s="1190"/>
    </row>
    <row r="159" spans="1:21" ht="30.75" thickBot="1" x14ac:dyDescent="0.3">
      <c r="A159" s="653"/>
      <c r="B159" s="1190"/>
      <c r="C159" s="1198" t="s">
        <v>1485</v>
      </c>
      <c r="D159" s="1605" t="str">
        <f>AB13</f>
        <v/>
      </c>
      <c r="E159" s="1606"/>
      <c r="F159" s="1205"/>
      <c r="G159" s="1239"/>
      <c r="H159" s="1200" t="s">
        <v>1594</v>
      </c>
      <c r="I159" s="1205"/>
      <c r="J159" s="1205"/>
      <c r="K159" s="1205"/>
      <c r="L159" s="1201" t="s">
        <v>1595</v>
      </c>
      <c r="M159" s="1205"/>
      <c r="N159" s="1205"/>
      <c r="O159" s="1205"/>
      <c r="P159" s="1205"/>
      <c r="Q159" s="1205"/>
      <c r="R159" s="1205"/>
      <c r="S159" s="1205"/>
      <c r="T159" s="1283" t="s">
        <v>1701</v>
      </c>
      <c r="U159" s="1190"/>
    </row>
    <row r="160" spans="1:21" ht="15.75" thickBot="1" x14ac:dyDescent="0.3">
      <c r="A160" s="653"/>
      <c r="B160" s="1190"/>
      <c r="C160" s="1193"/>
      <c r="D160" s="1193"/>
      <c r="E160" s="1193"/>
      <c r="F160" s="1205"/>
      <c r="G160" s="1239"/>
      <c r="H160" s="1187" t="s">
        <v>651</v>
      </c>
      <c r="I160" s="1205"/>
      <c r="J160" s="1205"/>
      <c r="K160" s="1205"/>
      <c r="L160" s="1159" t="s">
        <v>1596</v>
      </c>
      <c r="M160" s="1205"/>
      <c r="N160" s="1205"/>
      <c r="O160" s="1205"/>
      <c r="P160" s="1205"/>
      <c r="Q160" s="1205"/>
      <c r="R160" s="1205"/>
      <c r="S160" s="1205"/>
      <c r="T160" s="1284" t="s">
        <v>651</v>
      </c>
      <c r="U160" s="1190"/>
    </row>
    <row r="161" spans="1:21" ht="30" customHeight="1" thickBot="1" x14ac:dyDescent="0.3">
      <c r="A161" s="653"/>
      <c r="B161" s="1190"/>
      <c r="C161" s="1199" t="s">
        <v>1597</v>
      </c>
      <c r="D161" s="1593" t="s">
        <v>651</v>
      </c>
      <c r="E161" s="1594"/>
      <c r="F161" s="1205"/>
      <c r="G161" s="1239"/>
      <c r="H161" s="1205"/>
      <c r="I161" s="1205"/>
      <c r="J161" s="1205"/>
      <c r="K161" s="1205"/>
      <c r="L161" s="1205"/>
      <c r="M161" s="1205"/>
      <c r="N161" s="1205"/>
      <c r="O161" s="1205"/>
      <c r="P161" s="1205"/>
      <c r="Q161" s="1205"/>
      <c r="R161" s="1205"/>
      <c r="S161" s="1205"/>
      <c r="T161" s="1205"/>
      <c r="U161" s="1190"/>
    </row>
    <row r="162" spans="1:21" ht="15.75" thickBot="1" x14ac:dyDescent="0.3">
      <c r="A162" s="653"/>
      <c r="B162" s="1190"/>
      <c r="C162" s="1193"/>
      <c r="D162" s="1193"/>
      <c r="E162" s="1193"/>
      <c r="F162" s="1205"/>
      <c r="G162" s="1239"/>
      <c r="H162" s="1205"/>
      <c r="I162" s="1205"/>
      <c r="J162" s="1205"/>
      <c r="K162" s="1205"/>
      <c r="L162" s="1205"/>
      <c r="M162" s="1205"/>
      <c r="N162" s="1205"/>
      <c r="O162" s="1205"/>
      <c r="P162" s="1205"/>
      <c r="Q162" s="1205"/>
      <c r="R162" s="1205"/>
      <c r="S162" s="1205"/>
      <c r="T162" s="1201" t="s">
        <v>528</v>
      </c>
      <c r="U162" s="1190"/>
    </row>
    <row r="163" spans="1:21" ht="18" customHeight="1" thickBot="1" x14ac:dyDescent="0.3">
      <c r="A163" s="653"/>
      <c r="B163" s="1190"/>
      <c r="C163" s="1198" t="s">
        <v>1598</v>
      </c>
      <c r="D163" s="1603" t="s">
        <v>1633</v>
      </c>
      <c r="E163" s="1586"/>
      <c r="F163" s="1205"/>
      <c r="G163" s="1239"/>
      <c r="H163" s="1205"/>
      <c r="I163" s="1205"/>
      <c r="J163" s="1205"/>
      <c r="K163" s="1205"/>
      <c r="L163" s="1205"/>
      <c r="M163" s="1205"/>
      <c r="N163" s="1205"/>
      <c r="O163" s="1205"/>
      <c r="P163" s="1205"/>
      <c r="Q163" s="1205"/>
      <c r="R163" s="1205"/>
      <c r="S163" s="1205"/>
      <c r="T163" s="1233" t="str">
        <f>IF(Z13&lt;&gt;"","Yes","No")</f>
        <v>No</v>
      </c>
      <c r="U163" s="1190"/>
    </row>
    <row r="164" spans="1:21" ht="15.75" thickBot="1" x14ac:dyDescent="0.3">
      <c r="A164" s="653"/>
      <c r="B164" s="1190"/>
      <c r="C164" s="1186"/>
      <c r="D164" s="1186"/>
      <c r="E164" s="1186"/>
      <c r="F164" s="1190"/>
      <c r="G164" s="1238"/>
      <c r="H164" s="1190"/>
      <c r="I164" s="1190"/>
      <c r="J164" s="1190"/>
      <c r="K164" s="1190"/>
      <c r="L164" s="1190"/>
      <c r="M164" s="1190"/>
      <c r="N164" s="1190"/>
      <c r="O164" s="1190"/>
      <c r="P164" s="1190"/>
      <c r="Q164" s="1190"/>
      <c r="R164" s="1190"/>
      <c r="S164" s="1190"/>
      <c r="T164" s="1190"/>
      <c r="U164" s="1190"/>
    </row>
    <row r="165" spans="1:21" ht="15.75" thickBot="1" x14ac:dyDescent="0.3">
      <c r="A165" s="653"/>
      <c r="B165" s="1607" t="s">
        <v>1634</v>
      </c>
      <c r="C165" s="1585"/>
      <c r="D165" s="1585"/>
      <c r="E165" s="1585"/>
      <c r="F165" s="1585"/>
      <c r="G165" s="1585"/>
      <c r="H165" s="1585"/>
      <c r="I165" s="1585"/>
      <c r="J165" s="1585"/>
      <c r="K165" s="1585"/>
      <c r="L165" s="1585"/>
      <c r="M165" s="1585"/>
      <c r="N165" s="1585"/>
      <c r="O165" s="1585"/>
      <c r="P165" s="1585"/>
      <c r="Q165" s="1585"/>
      <c r="R165" s="1585"/>
      <c r="S165" s="1585"/>
      <c r="T165" s="1585"/>
      <c r="U165" s="1586"/>
    </row>
    <row r="166" spans="1:21" ht="15.75" thickBot="1" x14ac:dyDescent="0.3">
      <c r="A166" s="653"/>
      <c r="B166" s="1205"/>
      <c r="C166" s="1205"/>
      <c r="D166" s="1205"/>
      <c r="E166" s="1205"/>
      <c r="F166" s="1205"/>
      <c r="G166" s="1239"/>
      <c r="H166" s="1205"/>
      <c r="I166" s="1205"/>
      <c r="J166" s="1205"/>
      <c r="K166" s="1205"/>
      <c r="L166" s="1205"/>
      <c r="M166" s="1205"/>
      <c r="N166" s="1205"/>
      <c r="O166" s="1205"/>
      <c r="P166" s="1205"/>
      <c r="Q166" s="1205"/>
      <c r="R166" s="1205"/>
      <c r="S166" s="1205"/>
      <c r="T166" s="1205"/>
      <c r="U166" s="1205"/>
    </row>
    <row r="167" spans="1:21" ht="30.75" thickBot="1" x14ac:dyDescent="0.3">
      <c r="A167" s="494"/>
      <c r="B167" s="1205"/>
      <c r="C167" s="1198" t="s">
        <v>1482</v>
      </c>
      <c r="D167" s="1601" t="s">
        <v>1632</v>
      </c>
      <c r="E167" s="1602"/>
      <c r="F167" s="1205"/>
      <c r="G167" s="1239"/>
      <c r="H167" s="1201" t="s">
        <v>1479</v>
      </c>
      <c r="I167" s="1205"/>
      <c r="J167" s="1201" t="s">
        <v>1480</v>
      </c>
      <c r="K167" s="1205"/>
      <c r="L167" s="1201" t="s">
        <v>1496</v>
      </c>
      <c r="M167" s="1205"/>
      <c r="N167" s="1201" t="s">
        <v>1481</v>
      </c>
      <c r="O167" s="1205"/>
      <c r="P167" s="1201" t="s">
        <v>1588</v>
      </c>
      <c r="Q167" s="1205"/>
      <c r="R167" s="1201" t="s">
        <v>1589</v>
      </c>
      <c r="S167" s="1205"/>
      <c r="T167" s="1201" t="s">
        <v>1590</v>
      </c>
      <c r="U167" s="1205"/>
    </row>
    <row r="168" spans="1:21" ht="15.75" thickBot="1" x14ac:dyDescent="0.3">
      <c r="A168" s="653"/>
      <c r="B168" s="1205"/>
      <c r="C168" s="1193"/>
      <c r="D168" s="1193"/>
      <c r="E168" s="1193"/>
      <c r="F168" s="1205"/>
      <c r="G168" s="1239"/>
      <c r="H168" s="1142"/>
      <c r="I168" s="1205"/>
      <c r="J168" s="1191"/>
      <c r="K168" s="1205"/>
      <c r="L168" s="1191"/>
      <c r="M168" s="1205"/>
      <c r="N168" s="1237"/>
      <c r="O168" s="1205"/>
      <c r="P168" s="1143" t="s">
        <v>1591</v>
      </c>
      <c r="Q168" s="1205"/>
      <c r="R168" s="1143" t="s">
        <v>1592</v>
      </c>
      <c r="S168" s="1205"/>
      <c r="T168" s="1187" t="s">
        <v>653</v>
      </c>
      <c r="U168" s="1205"/>
    </row>
    <row r="169" spans="1:21" ht="30.75" thickBot="1" x14ac:dyDescent="0.3">
      <c r="A169" s="653"/>
      <c r="B169" s="1205"/>
      <c r="C169" s="1198" t="s">
        <v>1593</v>
      </c>
      <c r="D169" s="1603">
        <v>3402</v>
      </c>
      <c r="E169" s="1604"/>
      <c r="F169" s="1205"/>
      <c r="G169" s="1239"/>
      <c r="H169" s="1205"/>
      <c r="I169" s="1205"/>
      <c r="J169" s="1205"/>
      <c r="K169" s="1205"/>
      <c r="L169" s="1205"/>
      <c r="M169" s="1205"/>
      <c r="N169" s="1205"/>
      <c r="O169" s="1205"/>
      <c r="P169" s="1205"/>
      <c r="Q169" s="1205"/>
      <c r="R169" s="1205"/>
      <c r="S169" s="1205"/>
      <c r="T169" s="1205"/>
      <c r="U169" s="1205"/>
    </row>
    <row r="170" spans="1:21" ht="15.75" thickBot="1" x14ac:dyDescent="0.3">
      <c r="A170" s="653"/>
      <c r="B170" s="1205"/>
      <c r="C170" s="1193"/>
      <c r="D170" s="1193"/>
      <c r="E170" s="1193"/>
      <c r="F170" s="1205"/>
      <c r="G170" s="1239"/>
      <c r="H170" s="1205"/>
      <c r="I170" s="1205"/>
      <c r="J170" s="1205"/>
      <c r="K170" s="1205"/>
      <c r="L170" s="1201" t="s">
        <v>1488</v>
      </c>
      <c r="M170" s="1205"/>
      <c r="N170" s="1205"/>
      <c r="O170" s="1205"/>
      <c r="P170" s="1205"/>
      <c r="Q170" s="1205"/>
      <c r="R170" s="1205"/>
      <c r="S170" s="1205"/>
      <c r="T170" s="1205"/>
      <c r="U170" s="1205"/>
    </row>
    <row r="171" spans="1:21" ht="18" customHeight="1" thickBot="1" x14ac:dyDescent="0.3">
      <c r="A171" s="653"/>
      <c r="B171" s="1205"/>
      <c r="C171" s="1198" t="s">
        <v>1484</v>
      </c>
      <c r="D171" s="1605" t="str">
        <f>AA14</f>
        <v/>
      </c>
      <c r="E171" s="1606"/>
      <c r="F171" s="1205"/>
      <c r="G171" s="1239"/>
      <c r="H171" s="1205"/>
      <c r="I171" s="1205"/>
      <c r="J171" s="1205"/>
      <c r="K171" s="1205"/>
      <c r="L171" s="1166"/>
      <c r="M171" s="1205"/>
      <c r="N171" s="1205"/>
      <c r="O171" s="1205"/>
      <c r="P171" s="1205"/>
      <c r="Q171" s="1205"/>
      <c r="R171" s="1205"/>
      <c r="S171" s="1205"/>
      <c r="T171" s="1205"/>
      <c r="U171" s="1205"/>
    </row>
    <row r="172" spans="1:21" ht="15.75" thickBot="1" x14ac:dyDescent="0.3">
      <c r="A172" s="653"/>
      <c r="B172" s="1205"/>
      <c r="C172" s="1193"/>
      <c r="D172" s="1186"/>
      <c r="E172" s="1186"/>
      <c r="F172" s="1205"/>
      <c r="G172" s="1239"/>
      <c r="H172" s="1205"/>
      <c r="I172" s="1205"/>
      <c r="J172" s="1205"/>
      <c r="K172" s="1205"/>
      <c r="L172" s="1205"/>
      <c r="M172" s="1205"/>
      <c r="N172" s="1205"/>
      <c r="O172" s="1205"/>
      <c r="P172" s="1205"/>
      <c r="Q172" s="1205"/>
      <c r="R172" s="1205"/>
      <c r="S172" s="1205"/>
      <c r="T172" s="1205"/>
      <c r="U172" s="1205"/>
    </row>
    <row r="173" spans="1:21" ht="30.75" thickBot="1" x14ac:dyDescent="0.3">
      <c r="A173" s="653"/>
      <c r="B173" s="1205"/>
      <c r="C173" s="1198" t="s">
        <v>1485</v>
      </c>
      <c r="D173" s="1605" t="str">
        <f>AB14</f>
        <v/>
      </c>
      <c r="E173" s="1606"/>
      <c r="F173" s="1205"/>
      <c r="G173" s="1239"/>
      <c r="H173" s="1200" t="s">
        <v>1594</v>
      </c>
      <c r="I173" s="1205"/>
      <c r="J173" s="1205"/>
      <c r="K173" s="1205"/>
      <c r="L173" s="1201" t="s">
        <v>1595</v>
      </c>
      <c r="M173" s="1205"/>
      <c r="N173" s="1205"/>
      <c r="O173" s="1205"/>
      <c r="P173" s="1205"/>
      <c r="Q173" s="1205"/>
      <c r="R173" s="1205"/>
      <c r="S173" s="1205"/>
      <c r="T173" s="1283" t="s">
        <v>1701</v>
      </c>
      <c r="U173" s="1205"/>
    </row>
    <row r="174" spans="1:21" ht="15.75" thickBot="1" x14ac:dyDescent="0.3">
      <c r="A174" s="653"/>
      <c r="B174" s="1205"/>
      <c r="C174" s="1193"/>
      <c r="D174" s="1193"/>
      <c r="E174" s="1193"/>
      <c r="F174" s="1205"/>
      <c r="G174" s="1239"/>
      <c r="H174" s="1187" t="s">
        <v>651</v>
      </c>
      <c r="I174" s="1205"/>
      <c r="J174" s="1205"/>
      <c r="K174" s="1205"/>
      <c r="L174" s="1233" t="s">
        <v>1596</v>
      </c>
      <c r="M174" s="1205"/>
      <c r="N174" s="1205"/>
      <c r="O174" s="1205"/>
      <c r="P174" s="1205"/>
      <c r="Q174" s="1205"/>
      <c r="R174" s="1205"/>
      <c r="S174" s="1205"/>
      <c r="T174" s="1284" t="s">
        <v>651</v>
      </c>
      <c r="U174" s="1205"/>
    </row>
    <row r="175" spans="1:21" ht="30" customHeight="1" thickBot="1" x14ac:dyDescent="0.3">
      <c r="A175" s="653"/>
      <c r="B175" s="1205"/>
      <c r="C175" s="1199" t="s">
        <v>1597</v>
      </c>
      <c r="D175" s="1593" t="s">
        <v>651</v>
      </c>
      <c r="E175" s="1594"/>
      <c r="F175" s="1205"/>
      <c r="G175" s="1239"/>
      <c r="H175" s="1205"/>
      <c r="I175" s="1205"/>
      <c r="J175" s="1205"/>
      <c r="K175" s="1205"/>
      <c r="L175" s="1205"/>
      <c r="M175" s="1205"/>
      <c r="N175" s="1205"/>
      <c r="O175" s="1205"/>
      <c r="P175" s="1205"/>
      <c r="Q175" s="1205"/>
      <c r="R175" s="1205"/>
      <c r="S175" s="1205"/>
      <c r="T175" s="1205"/>
      <c r="U175" s="1205"/>
    </row>
    <row r="176" spans="1:21" ht="15.75" thickBot="1" x14ac:dyDescent="0.3">
      <c r="A176" s="653"/>
      <c r="B176" s="1205"/>
      <c r="C176" s="1193"/>
      <c r="D176" s="1193"/>
      <c r="E176" s="1193"/>
      <c r="F176" s="1205"/>
      <c r="G176" s="1239"/>
      <c r="H176" s="1205"/>
      <c r="I176" s="1205"/>
      <c r="J176" s="1205"/>
      <c r="K176" s="1205"/>
      <c r="L176" s="1205"/>
      <c r="M176" s="1205"/>
      <c r="N176" s="1205"/>
      <c r="O176" s="1205"/>
      <c r="P176" s="1205"/>
      <c r="Q176" s="1205"/>
      <c r="R176" s="1205"/>
      <c r="S176" s="1205"/>
      <c r="T176" s="1201" t="s">
        <v>528</v>
      </c>
      <c r="U176" s="1205"/>
    </row>
    <row r="177" spans="1:21" ht="15.75" thickBot="1" x14ac:dyDescent="0.3">
      <c r="A177" s="653"/>
      <c r="B177" s="1205"/>
      <c r="C177" s="1198" t="s">
        <v>1598</v>
      </c>
      <c r="D177" s="1603" t="s">
        <v>1633</v>
      </c>
      <c r="E177" s="1586"/>
      <c r="F177" s="1205"/>
      <c r="G177" s="1239"/>
      <c r="H177" s="1205"/>
      <c r="I177" s="1205"/>
      <c r="J177" s="1205"/>
      <c r="K177" s="1205"/>
      <c r="L177" s="1205"/>
      <c r="M177" s="1205"/>
      <c r="N177" s="1205"/>
      <c r="O177" s="1205"/>
      <c r="P177" s="1205"/>
      <c r="Q177" s="1205"/>
      <c r="R177" s="1205"/>
      <c r="S177" s="1205"/>
      <c r="T177" s="1233" t="str">
        <f>IF(Z14&lt;&gt;"","Yes","No")</f>
        <v>No</v>
      </c>
      <c r="U177" s="1205"/>
    </row>
    <row r="178" spans="1:21" ht="15.75" thickBot="1" x14ac:dyDescent="0.3">
      <c r="A178" s="653"/>
      <c r="B178" s="1205"/>
      <c r="C178" s="1205"/>
      <c r="D178" s="1205"/>
      <c r="E178" s="1205"/>
      <c r="F178" s="1205"/>
      <c r="G178" s="1239"/>
      <c r="H178" s="1205"/>
      <c r="I178" s="1205"/>
      <c r="J178" s="1205"/>
      <c r="K178" s="1205"/>
      <c r="L178" s="1205"/>
      <c r="M178" s="1205"/>
      <c r="N178" s="1205"/>
      <c r="O178" s="1205"/>
      <c r="P178" s="1205"/>
      <c r="Q178" s="1205"/>
      <c r="R178" s="1205"/>
      <c r="S178" s="1205"/>
      <c r="T178" s="1205"/>
      <c r="U178" s="1205"/>
    </row>
    <row r="179" spans="1:21" ht="20.25" customHeight="1" thickBot="1" x14ac:dyDescent="0.3">
      <c r="A179" s="653"/>
      <c r="B179" s="1607" t="s">
        <v>1635</v>
      </c>
      <c r="C179" s="1585"/>
      <c r="D179" s="1585"/>
      <c r="E179" s="1585"/>
      <c r="F179" s="1585"/>
      <c r="G179" s="1585"/>
      <c r="H179" s="1585"/>
      <c r="I179" s="1585"/>
      <c r="J179" s="1585"/>
      <c r="K179" s="1585"/>
      <c r="L179" s="1585"/>
      <c r="M179" s="1585"/>
      <c r="N179" s="1585"/>
      <c r="O179" s="1585"/>
      <c r="P179" s="1585"/>
      <c r="Q179" s="1585"/>
      <c r="R179" s="1585"/>
      <c r="S179" s="1585"/>
      <c r="T179" s="1585"/>
      <c r="U179" s="1586"/>
    </row>
    <row r="180" spans="1:21" ht="15.75" thickBot="1" x14ac:dyDescent="0.3">
      <c r="A180" s="653"/>
      <c r="B180" s="1205"/>
      <c r="C180" s="1205"/>
      <c r="D180" s="1205"/>
      <c r="E180" s="1205"/>
      <c r="F180" s="1205"/>
      <c r="G180" s="1239"/>
      <c r="H180" s="1205"/>
      <c r="I180" s="1205"/>
      <c r="J180" s="1205"/>
      <c r="K180" s="1205"/>
      <c r="L180" s="1205"/>
      <c r="M180" s="1205"/>
      <c r="N180" s="1205"/>
      <c r="O180" s="1205"/>
      <c r="P180" s="1205"/>
      <c r="Q180" s="1205"/>
      <c r="R180" s="1205"/>
      <c r="S180" s="1205"/>
      <c r="T180" s="1205"/>
      <c r="U180" s="1205"/>
    </row>
    <row r="181" spans="1:21" ht="30.75" thickBot="1" x14ac:dyDescent="0.3">
      <c r="A181" s="494"/>
      <c r="B181" s="1205"/>
      <c r="C181" s="1198" t="s">
        <v>1482</v>
      </c>
      <c r="D181" s="1601" t="s">
        <v>1636</v>
      </c>
      <c r="E181" s="1602"/>
      <c r="F181" s="1205"/>
      <c r="G181" s="1239"/>
      <c r="H181" s="1201" t="s">
        <v>1479</v>
      </c>
      <c r="I181" s="1205"/>
      <c r="J181" s="1201" t="s">
        <v>1480</v>
      </c>
      <c r="K181" s="1205"/>
      <c r="L181" s="1201" t="s">
        <v>1496</v>
      </c>
      <c r="M181" s="1205"/>
      <c r="N181" s="1201" t="s">
        <v>1481</v>
      </c>
      <c r="O181" s="1205"/>
      <c r="P181" s="1201" t="s">
        <v>1588</v>
      </c>
      <c r="Q181" s="1205"/>
      <c r="R181" s="1201" t="s">
        <v>1589</v>
      </c>
      <c r="S181" s="1205"/>
      <c r="T181" s="1201" t="s">
        <v>1590</v>
      </c>
      <c r="U181" s="1205"/>
    </row>
    <row r="182" spans="1:21" ht="15.75" thickBot="1" x14ac:dyDescent="0.3">
      <c r="A182" s="653"/>
      <c r="B182" s="1205"/>
      <c r="C182" s="1193"/>
      <c r="D182" s="1193"/>
      <c r="E182" s="1193"/>
      <c r="F182" s="1205"/>
      <c r="G182" s="1239"/>
      <c r="H182" s="1142"/>
      <c r="I182" s="1205"/>
      <c r="J182" s="1191"/>
      <c r="K182" s="1205"/>
      <c r="L182" s="1191"/>
      <c r="M182" s="1205"/>
      <c r="N182" s="1237"/>
      <c r="O182" s="1205"/>
      <c r="P182" s="1143" t="s">
        <v>1591</v>
      </c>
      <c r="Q182" s="1205"/>
      <c r="R182" s="1143" t="s">
        <v>1592</v>
      </c>
      <c r="S182" s="1205"/>
      <c r="T182" s="1187" t="s">
        <v>653</v>
      </c>
      <c r="U182" s="1205"/>
    </row>
    <row r="183" spans="1:21" ht="30.75" thickBot="1" x14ac:dyDescent="0.3">
      <c r="A183" s="653"/>
      <c r="B183" s="1205"/>
      <c r="C183" s="1198" t="s">
        <v>1593</v>
      </c>
      <c r="D183" s="1603">
        <v>3501</v>
      </c>
      <c r="E183" s="1604"/>
      <c r="F183" s="1205"/>
      <c r="G183" s="1239"/>
      <c r="H183" s="1205"/>
      <c r="I183" s="1205"/>
      <c r="J183" s="1205"/>
      <c r="K183" s="1205"/>
      <c r="L183" s="1205"/>
      <c r="M183" s="1205"/>
      <c r="N183" s="1205"/>
      <c r="O183" s="1205"/>
      <c r="P183" s="1205"/>
      <c r="Q183" s="1205"/>
      <c r="R183" s="1205"/>
      <c r="S183" s="1205"/>
      <c r="T183" s="1205"/>
      <c r="U183" s="1205"/>
    </row>
    <row r="184" spans="1:21" ht="30.75" thickBot="1" x14ac:dyDescent="0.3">
      <c r="A184" s="653"/>
      <c r="B184" s="1205"/>
      <c r="C184" s="1193"/>
      <c r="D184" s="1193"/>
      <c r="E184" s="1193"/>
      <c r="F184" s="1205"/>
      <c r="G184" s="1239"/>
      <c r="H184" s="1202" t="s">
        <v>1486</v>
      </c>
      <c r="I184" s="1205"/>
      <c r="J184" s="1201" t="s">
        <v>1487</v>
      </c>
      <c r="K184" s="1205"/>
      <c r="L184" s="1201" t="s">
        <v>1488</v>
      </c>
      <c r="M184" s="1205"/>
      <c r="N184" s="1201" t="s">
        <v>1603</v>
      </c>
      <c r="O184" s="1205"/>
      <c r="P184" s="1201" t="s">
        <v>1604</v>
      </c>
      <c r="Q184" s="1205"/>
      <c r="R184" s="1201" t="s">
        <v>1605</v>
      </c>
      <c r="S184" s="1205"/>
      <c r="T184" s="1205"/>
      <c r="U184" s="1205"/>
    </row>
    <row r="185" spans="1:21" ht="18" customHeight="1" thickBot="1" x14ac:dyDescent="0.3">
      <c r="A185" s="653"/>
      <c r="B185" s="1205"/>
      <c r="C185" s="1198" t="s">
        <v>1484</v>
      </c>
      <c r="D185" s="1605" t="str">
        <f>AA15</f>
        <v/>
      </c>
      <c r="E185" s="1606"/>
      <c r="F185" s="1205"/>
      <c r="G185" s="1239" t="s">
        <v>1048</v>
      </c>
      <c r="H185" s="1166"/>
      <c r="I185" s="1205"/>
      <c r="J185" s="1206"/>
      <c r="K185" s="1205"/>
      <c r="L185" s="1166"/>
      <c r="M185" s="1205"/>
      <c r="N185" s="1159" t="s">
        <v>482</v>
      </c>
      <c r="O185" s="1205"/>
      <c r="P185" s="1159" t="s">
        <v>1239</v>
      </c>
      <c r="Q185" s="1205"/>
      <c r="R185" s="1159" t="s">
        <v>1607</v>
      </c>
      <c r="S185" s="1205"/>
      <c r="T185" s="1205"/>
      <c r="U185" s="1205"/>
    </row>
    <row r="186" spans="1:21" ht="15.75" thickBot="1" x14ac:dyDescent="0.3">
      <c r="A186" s="653"/>
      <c r="B186" s="1205"/>
      <c r="C186" s="1193"/>
      <c r="D186" s="1186"/>
      <c r="E186" s="1186"/>
      <c r="F186" s="1205"/>
      <c r="G186" s="1239"/>
      <c r="H186" s="1205"/>
      <c r="I186" s="1205"/>
      <c r="J186" s="1205"/>
      <c r="K186" s="1205"/>
      <c r="L186" s="1205"/>
      <c r="M186" s="1205"/>
      <c r="N186" s="1205"/>
      <c r="O186" s="1205"/>
      <c r="P186" s="1205"/>
      <c r="Q186" s="1205"/>
      <c r="R186" s="1205"/>
      <c r="S186" s="1205"/>
      <c r="T186" s="1205"/>
      <c r="U186" s="1205"/>
    </row>
    <row r="187" spans="1:21" ht="30.75" thickBot="1" x14ac:dyDescent="0.3">
      <c r="A187" s="653"/>
      <c r="B187" s="1205"/>
      <c r="C187" s="1198" t="s">
        <v>1485</v>
      </c>
      <c r="D187" s="1605" t="str">
        <f>AB15</f>
        <v/>
      </c>
      <c r="E187" s="1606"/>
      <c r="F187" s="1205"/>
      <c r="G187" s="1239"/>
      <c r="H187" s="1200" t="s">
        <v>1594</v>
      </c>
      <c r="I187" s="1205"/>
      <c r="J187" s="1201" t="s">
        <v>1608</v>
      </c>
      <c r="K187" s="1205"/>
      <c r="L187" s="1201" t="s">
        <v>1595</v>
      </c>
      <c r="M187" s="1205"/>
      <c r="N187" s="1201" t="s">
        <v>1609</v>
      </c>
      <c r="O187" s="1205"/>
      <c r="P187" s="1201" t="s">
        <v>1610</v>
      </c>
      <c r="Q187" s="1205"/>
      <c r="R187" s="1205"/>
      <c r="S187" s="1205"/>
      <c r="T187" s="1283" t="s">
        <v>1701</v>
      </c>
      <c r="U187" s="1205"/>
    </row>
    <row r="188" spans="1:21" ht="15.75" thickBot="1" x14ac:dyDescent="0.3">
      <c r="A188" s="653"/>
      <c r="B188" s="1205"/>
      <c r="C188" s="1193"/>
      <c r="D188" s="1193"/>
      <c r="E188" s="1193"/>
      <c r="F188" s="1205"/>
      <c r="G188" s="1239"/>
      <c r="H188" s="1187" t="s">
        <v>651</v>
      </c>
      <c r="I188" s="1205"/>
      <c r="J188" s="1143" t="s">
        <v>1596</v>
      </c>
      <c r="K188" s="1205"/>
      <c r="L188" s="1233" t="s">
        <v>1596</v>
      </c>
      <c r="M188" s="1205"/>
      <c r="N188" s="1159" t="s">
        <v>651</v>
      </c>
      <c r="O188" s="1205"/>
      <c r="P188" s="1159" t="s">
        <v>653</v>
      </c>
      <c r="Q188" s="1205"/>
      <c r="R188" s="1205"/>
      <c r="S188" s="1205"/>
      <c r="T188" s="1284" t="s">
        <v>651</v>
      </c>
      <c r="U188" s="1205"/>
    </row>
    <row r="189" spans="1:21" ht="30" customHeight="1" thickBot="1" x14ac:dyDescent="0.3">
      <c r="A189" s="653"/>
      <c r="B189" s="1205"/>
      <c r="C189" s="1199" t="s">
        <v>1597</v>
      </c>
      <c r="D189" s="1593" t="s">
        <v>651</v>
      </c>
      <c r="E189" s="1594"/>
      <c r="F189" s="1205"/>
      <c r="G189" s="1239"/>
      <c r="H189" s="1205"/>
      <c r="I189" s="1205"/>
      <c r="J189" s="1205"/>
      <c r="K189" s="1205"/>
      <c r="L189" s="1205"/>
      <c r="M189" s="1205"/>
      <c r="N189" s="1205"/>
      <c r="O189" s="1205"/>
      <c r="P189" s="1205"/>
      <c r="Q189" s="1205"/>
      <c r="R189" s="1205"/>
      <c r="S189" s="1205"/>
      <c r="T189" s="1205"/>
      <c r="U189" s="1205"/>
    </row>
    <row r="190" spans="1:21" ht="15.75" thickBot="1" x14ac:dyDescent="0.3">
      <c r="A190" s="653"/>
      <c r="B190" s="1205"/>
      <c r="C190" s="1193"/>
      <c r="D190" s="1193"/>
      <c r="E190" s="1193"/>
      <c r="F190" s="1205"/>
      <c r="G190" s="1239"/>
      <c r="H190" s="1205"/>
      <c r="I190" s="1205"/>
      <c r="J190" s="1205"/>
      <c r="K190" s="1205"/>
      <c r="L190" s="1205"/>
      <c r="M190" s="1205"/>
      <c r="N190" s="1205"/>
      <c r="O190" s="1205"/>
      <c r="P190" s="1205"/>
      <c r="Q190" s="1205"/>
      <c r="R190" s="1205"/>
      <c r="S190" s="1205"/>
      <c r="T190" s="1201" t="s">
        <v>528</v>
      </c>
      <c r="U190" s="1205"/>
    </row>
    <row r="191" spans="1:21" ht="15.75" thickBot="1" x14ac:dyDescent="0.3">
      <c r="A191" s="653"/>
      <c r="B191" s="1205"/>
      <c r="C191" s="1198" t="s">
        <v>1598</v>
      </c>
      <c r="D191" s="1603" t="s">
        <v>1633</v>
      </c>
      <c r="E191" s="1586"/>
      <c r="F191" s="1205"/>
      <c r="G191" s="1239"/>
      <c r="H191" s="1205"/>
      <c r="I191" s="1205"/>
      <c r="J191" s="1205"/>
      <c r="K191" s="1205"/>
      <c r="L191" s="1205"/>
      <c r="M191" s="1205"/>
      <c r="N191" s="1205"/>
      <c r="O191" s="1205"/>
      <c r="P191" s="1205"/>
      <c r="Q191" s="1205"/>
      <c r="R191" s="1205"/>
      <c r="S191" s="1205"/>
      <c r="T191" s="1233" t="str">
        <f>IF(Z15&lt;&gt;"","Yes","No")</f>
        <v>No</v>
      </c>
      <c r="U191" s="1205"/>
    </row>
    <row r="192" spans="1:21" ht="15.75" thickBot="1" x14ac:dyDescent="0.3">
      <c r="A192" s="653"/>
      <c r="B192" s="1205"/>
      <c r="C192" s="1205"/>
      <c r="D192" s="1205"/>
      <c r="E192" s="1205"/>
      <c r="F192" s="1205"/>
      <c r="G192" s="1239"/>
      <c r="H192" s="1205"/>
      <c r="I192" s="1205"/>
      <c r="J192" s="1205"/>
      <c r="K192" s="1205"/>
      <c r="L192" s="1205"/>
      <c r="M192" s="1205"/>
      <c r="N192" s="1205"/>
      <c r="O192" s="1205"/>
      <c r="P192" s="1205"/>
      <c r="Q192" s="1205"/>
      <c r="R192" s="1205"/>
      <c r="S192" s="1205"/>
      <c r="T192" s="1205"/>
      <c r="U192" s="1205"/>
    </row>
    <row r="193" spans="1:21" ht="19.5" customHeight="1" thickBot="1" x14ac:dyDescent="0.3">
      <c r="A193" s="653"/>
      <c r="B193" s="1607" t="s">
        <v>1637</v>
      </c>
      <c r="C193" s="1585"/>
      <c r="D193" s="1585"/>
      <c r="E193" s="1585"/>
      <c r="F193" s="1585"/>
      <c r="G193" s="1585"/>
      <c r="H193" s="1585"/>
      <c r="I193" s="1585"/>
      <c r="J193" s="1585"/>
      <c r="K193" s="1585"/>
      <c r="L193" s="1585"/>
      <c r="M193" s="1585"/>
      <c r="N193" s="1585"/>
      <c r="O193" s="1585"/>
      <c r="P193" s="1585"/>
      <c r="Q193" s="1585"/>
      <c r="R193" s="1585"/>
      <c r="S193" s="1585"/>
      <c r="T193" s="1585"/>
      <c r="U193" s="1586"/>
    </row>
    <row r="194" spans="1:21" ht="15.75" thickBot="1" x14ac:dyDescent="0.3">
      <c r="A194" s="653"/>
      <c r="B194" s="1205"/>
      <c r="C194" s="1205"/>
      <c r="D194" s="1205"/>
      <c r="E194" s="1205"/>
      <c r="F194" s="1205"/>
      <c r="G194" s="1239"/>
      <c r="H194" s="1205"/>
      <c r="I194" s="1205"/>
      <c r="J194" s="1205"/>
      <c r="K194" s="1205"/>
      <c r="L194" s="1205"/>
      <c r="M194" s="1205"/>
      <c r="N194" s="1205"/>
      <c r="O194" s="1205"/>
      <c r="P194" s="1205"/>
      <c r="Q194" s="1205"/>
      <c r="R194" s="1205"/>
      <c r="S194" s="1205"/>
      <c r="T194" s="1205"/>
      <c r="U194" s="1205"/>
    </row>
    <row r="195" spans="1:21" ht="30.75" thickBot="1" x14ac:dyDescent="0.3">
      <c r="A195" s="494"/>
      <c r="B195" s="1205"/>
      <c r="C195" s="1198" t="s">
        <v>1482</v>
      </c>
      <c r="D195" s="1601" t="s">
        <v>1636</v>
      </c>
      <c r="E195" s="1602"/>
      <c r="F195" s="1205"/>
      <c r="G195" s="1239"/>
      <c r="H195" s="1201" t="s">
        <v>1479</v>
      </c>
      <c r="I195" s="1205"/>
      <c r="J195" s="1201" t="s">
        <v>1480</v>
      </c>
      <c r="K195" s="1205"/>
      <c r="L195" s="1201" t="s">
        <v>1496</v>
      </c>
      <c r="M195" s="1205"/>
      <c r="N195" s="1201" t="s">
        <v>1481</v>
      </c>
      <c r="O195" s="1205"/>
      <c r="P195" s="1201" t="s">
        <v>1588</v>
      </c>
      <c r="Q195" s="1205"/>
      <c r="R195" s="1201" t="s">
        <v>1589</v>
      </c>
      <c r="S195" s="1205"/>
      <c r="T195" s="1201" t="s">
        <v>1590</v>
      </c>
      <c r="U195" s="1205"/>
    </row>
    <row r="196" spans="1:21" ht="15.75" thickBot="1" x14ac:dyDescent="0.3">
      <c r="A196" s="653"/>
      <c r="B196" s="1205"/>
      <c r="C196" s="1193"/>
      <c r="D196" s="1193"/>
      <c r="E196" s="1193"/>
      <c r="F196" s="1205"/>
      <c r="G196" s="1239"/>
      <c r="H196" s="1142"/>
      <c r="I196" s="1205"/>
      <c r="J196" s="1191"/>
      <c r="K196" s="1205"/>
      <c r="L196" s="1191"/>
      <c r="M196" s="1205"/>
      <c r="N196" s="1237"/>
      <c r="O196" s="1205"/>
      <c r="P196" s="1143" t="s">
        <v>1591</v>
      </c>
      <c r="Q196" s="1205"/>
      <c r="R196" s="1143" t="s">
        <v>1592</v>
      </c>
      <c r="S196" s="1205"/>
      <c r="T196" s="1187" t="s">
        <v>653</v>
      </c>
      <c r="U196" s="1205"/>
    </row>
    <row r="197" spans="1:21" ht="30.75" thickBot="1" x14ac:dyDescent="0.3">
      <c r="A197" s="653"/>
      <c r="B197" s="1205"/>
      <c r="C197" s="1198" t="s">
        <v>1593</v>
      </c>
      <c r="D197" s="1603">
        <v>3502</v>
      </c>
      <c r="E197" s="1604"/>
      <c r="F197" s="1205"/>
      <c r="G197" s="1239"/>
      <c r="H197" s="1205"/>
      <c r="I197" s="1205"/>
      <c r="J197" s="1205"/>
      <c r="K197" s="1205"/>
      <c r="L197" s="1205"/>
      <c r="M197" s="1205"/>
      <c r="N197" s="1205"/>
      <c r="O197" s="1205"/>
      <c r="P197" s="1205"/>
      <c r="Q197" s="1205"/>
      <c r="R197" s="1205"/>
      <c r="S197" s="1205"/>
      <c r="T197" s="1205"/>
      <c r="U197" s="1205"/>
    </row>
    <row r="198" spans="1:21" ht="30.75" thickBot="1" x14ac:dyDescent="0.3">
      <c r="A198" s="653"/>
      <c r="B198" s="1205"/>
      <c r="C198" s="1193"/>
      <c r="D198" s="1193"/>
      <c r="E198" s="1193"/>
      <c r="F198" s="1205"/>
      <c r="G198" s="1239"/>
      <c r="H198" s="1202" t="s">
        <v>1486</v>
      </c>
      <c r="I198" s="1205"/>
      <c r="J198" s="1201" t="s">
        <v>1487</v>
      </c>
      <c r="K198" s="1205"/>
      <c r="L198" s="1201" t="s">
        <v>1488</v>
      </c>
      <c r="M198" s="1205"/>
      <c r="N198" s="1201" t="s">
        <v>1603</v>
      </c>
      <c r="O198" s="1205"/>
      <c r="P198" s="1201" t="s">
        <v>1604</v>
      </c>
      <c r="Q198" s="1205"/>
      <c r="R198" s="1201" t="s">
        <v>1605</v>
      </c>
      <c r="S198" s="1205"/>
      <c r="T198" s="1205"/>
      <c r="U198" s="1205"/>
    </row>
    <row r="199" spans="1:21" ht="18" customHeight="1" thickBot="1" x14ac:dyDescent="0.3">
      <c r="A199" s="653"/>
      <c r="B199" s="1205"/>
      <c r="C199" s="1198" t="s">
        <v>1484</v>
      </c>
      <c r="D199" s="1605" t="str">
        <f>AA16</f>
        <v/>
      </c>
      <c r="E199" s="1606"/>
      <c r="F199" s="1205"/>
      <c r="G199" s="1239" t="s">
        <v>1048</v>
      </c>
      <c r="H199" s="1166"/>
      <c r="I199" s="1205"/>
      <c r="J199" s="1206"/>
      <c r="K199" s="1205"/>
      <c r="L199" s="1166"/>
      <c r="M199" s="1205"/>
      <c r="N199" s="1159" t="s">
        <v>482</v>
      </c>
      <c r="O199" s="1205"/>
      <c r="P199" s="1159" t="s">
        <v>1239</v>
      </c>
      <c r="Q199" s="1205"/>
      <c r="R199" s="1159" t="s">
        <v>1607</v>
      </c>
      <c r="S199" s="1205"/>
      <c r="T199" s="1205"/>
      <c r="U199" s="1205"/>
    </row>
    <row r="200" spans="1:21" ht="15.75" thickBot="1" x14ac:dyDescent="0.3">
      <c r="A200" s="653"/>
      <c r="B200" s="1205"/>
      <c r="C200" s="1193"/>
      <c r="D200" s="1186"/>
      <c r="E200" s="1186"/>
      <c r="F200" s="1205"/>
      <c r="G200" s="1239"/>
      <c r="H200" s="1205"/>
      <c r="I200" s="1205"/>
      <c r="J200" s="1205"/>
      <c r="K200" s="1205"/>
      <c r="L200" s="1205"/>
      <c r="M200" s="1205"/>
      <c r="N200" s="1205"/>
      <c r="O200" s="1205"/>
      <c r="P200" s="1205"/>
      <c r="Q200" s="1205"/>
      <c r="R200" s="1205"/>
      <c r="S200" s="1205"/>
      <c r="T200" s="1205"/>
      <c r="U200" s="1205"/>
    </row>
    <row r="201" spans="1:21" ht="30.75" thickBot="1" x14ac:dyDescent="0.3">
      <c r="A201" s="653"/>
      <c r="B201" s="1205"/>
      <c r="C201" s="1198" t="s">
        <v>1485</v>
      </c>
      <c r="D201" s="1605" t="str">
        <f>AB16</f>
        <v/>
      </c>
      <c r="E201" s="1606"/>
      <c r="F201" s="1205"/>
      <c r="G201" s="1239"/>
      <c r="H201" s="1200" t="s">
        <v>1594</v>
      </c>
      <c r="I201" s="1205"/>
      <c r="J201" s="1201" t="s">
        <v>1608</v>
      </c>
      <c r="K201" s="1205"/>
      <c r="L201" s="1201" t="s">
        <v>1595</v>
      </c>
      <c r="M201" s="1205"/>
      <c r="N201" s="1201" t="s">
        <v>1609</v>
      </c>
      <c r="O201" s="1205"/>
      <c r="P201" s="1201" t="s">
        <v>1610</v>
      </c>
      <c r="Q201" s="1205"/>
      <c r="R201" s="1205"/>
      <c r="S201" s="1205"/>
      <c r="T201" s="1283" t="s">
        <v>1701</v>
      </c>
      <c r="U201" s="1205"/>
    </row>
    <row r="202" spans="1:21" ht="15.75" thickBot="1" x14ac:dyDescent="0.3">
      <c r="A202" s="653"/>
      <c r="B202" s="1205"/>
      <c r="C202" s="1193"/>
      <c r="D202" s="1193"/>
      <c r="E202" s="1193"/>
      <c r="F202" s="1205"/>
      <c r="G202" s="1239"/>
      <c r="H202" s="1187" t="s">
        <v>651</v>
      </c>
      <c r="I202" s="1205"/>
      <c r="J202" s="1143" t="s">
        <v>1596</v>
      </c>
      <c r="K202" s="1205"/>
      <c r="L202" s="1233" t="s">
        <v>1596</v>
      </c>
      <c r="M202" s="1205"/>
      <c r="N202" s="1159" t="s">
        <v>651</v>
      </c>
      <c r="O202" s="1205"/>
      <c r="P202" s="1159" t="s">
        <v>653</v>
      </c>
      <c r="Q202" s="1205"/>
      <c r="R202" s="1205"/>
      <c r="S202" s="1205"/>
      <c r="T202" s="1284" t="s">
        <v>651</v>
      </c>
      <c r="U202" s="1205"/>
    </row>
    <row r="203" spans="1:21" ht="30" customHeight="1" thickBot="1" x14ac:dyDescent="0.3">
      <c r="A203" s="653"/>
      <c r="B203" s="1205"/>
      <c r="C203" s="1199" t="s">
        <v>1597</v>
      </c>
      <c r="D203" s="1593" t="s">
        <v>651</v>
      </c>
      <c r="E203" s="1594"/>
      <c r="F203" s="1205"/>
      <c r="G203" s="1239"/>
      <c r="H203" s="1205"/>
      <c r="I203" s="1205"/>
      <c r="J203" s="1205"/>
      <c r="K203" s="1205"/>
      <c r="L203" s="1205"/>
      <c r="M203" s="1205"/>
      <c r="N203" s="1205"/>
      <c r="O203" s="1205"/>
      <c r="P203" s="1205"/>
      <c r="Q203" s="1205"/>
      <c r="R203" s="1205"/>
      <c r="S203" s="1205"/>
      <c r="T203" s="1205"/>
      <c r="U203" s="1205"/>
    </row>
    <row r="204" spans="1:21" ht="15.75" thickBot="1" x14ac:dyDescent="0.3">
      <c r="A204" s="653"/>
      <c r="B204" s="1205"/>
      <c r="C204" s="1193"/>
      <c r="D204" s="1193"/>
      <c r="E204" s="1193"/>
      <c r="F204" s="1205"/>
      <c r="G204" s="1239"/>
      <c r="H204" s="1205"/>
      <c r="I204" s="1205"/>
      <c r="J204" s="1205"/>
      <c r="K204" s="1205"/>
      <c r="L204" s="1205"/>
      <c r="M204" s="1205"/>
      <c r="N204" s="1205"/>
      <c r="O204" s="1205"/>
      <c r="P204" s="1205"/>
      <c r="Q204" s="1205"/>
      <c r="R204" s="1205"/>
      <c r="S204" s="1205"/>
      <c r="T204" s="1201" t="s">
        <v>528</v>
      </c>
      <c r="U204" s="1205"/>
    </row>
    <row r="205" spans="1:21" ht="15.75" thickBot="1" x14ac:dyDescent="0.3">
      <c r="A205" s="653"/>
      <c r="B205" s="1205"/>
      <c r="C205" s="1198" t="s">
        <v>1598</v>
      </c>
      <c r="D205" s="1603" t="s">
        <v>1633</v>
      </c>
      <c r="E205" s="1586"/>
      <c r="F205" s="1205"/>
      <c r="G205" s="1239"/>
      <c r="H205" s="1205"/>
      <c r="I205" s="1205"/>
      <c r="J205" s="1205"/>
      <c r="K205" s="1205"/>
      <c r="L205" s="1205"/>
      <c r="M205" s="1205"/>
      <c r="N205" s="1205"/>
      <c r="O205" s="1205"/>
      <c r="P205" s="1205"/>
      <c r="Q205" s="1205"/>
      <c r="R205" s="1205"/>
      <c r="S205" s="1205"/>
      <c r="T205" s="1233" t="str">
        <f>IF(Z16&lt;&gt;"","Yes","No")</f>
        <v>No</v>
      </c>
      <c r="U205" s="1205"/>
    </row>
    <row r="206" spans="1:21" ht="15.75" thickBot="1" x14ac:dyDescent="0.3">
      <c r="A206" s="653"/>
      <c r="B206" s="1205"/>
      <c r="C206" s="1205"/>
      <c r="D206" s="1205"/>
      <c r="E206" s="1205"/>
      <c r="F206" s="1205"/>
      <c r="G206" s="1239"/>
      <c r="H206" s="1205"/>
      <c r="I206" s="1205"/>
      <c r="J206" s="1205"/>
      <c r="K206" s="1205"/>
      <c r="L206" s="1205"/>
      <c r="M206" s="1205"/>
      <c r="N206" s="1205"/>
      <c r="O206" s="1205"/>
      <c r="P206" s="1205"/>
      <c r="Q206" s="1205"/>
      <c r="R206" s="1205"/>
      <c r="S206" s="1205"/>
      <c r="T206" s="1205"/>
      <c r="U206" s="1205"/>
    </row>
    <row r="207" spans="1:21" ht="20.25" customHeight="1" thickBot="1" x14ac:dyDescent="0.3">
      <c r="A207" s="653"/>
      <c r="B207" s="1607" t="s">
        <v>1638</v>
      </c>
      <c r="C207" s="1585"/>
      <c r="D207" s="1585"/>
      <c r="E207" s="1585"/>
      <c r="F207" s="1585"/>
      <c r="G207" s="1585"/>
      <c r="H207" s="1585"/>
      <c r="I207" s="1585"/>
      <c r="J207" s="1585"/>
      <c r="K207" s="1585"/>
      <c r="L207" s="1585"/>
      <c r="M207" s="1585"/>
      <c r="N207" s="1585"/>
      <c r="O207" s="1585"/>
      <c r="P207" s="1585"/>
      <c r="Q207" s="1585"/>
      <c r="R207" s="1585"/>
      <c r="S207" s="1585"/>
      <c r="T207" s="1585"/>
      <c r="U207" s="1586"/>
    </row>
    <row r="208" spans="1:21" ht="15.75" thickBot="1" x14ac:dyDescent="0.3">
      <c r="A208" s="653"/>
      <c r="B208" s="1205"/>
      <c r="C208" s="1205"/>
      <c r="D208" s="1205"/>
      <c r="E208" s="1205"/>
      <c r="F208" s="1205"/>
      <c r="G208" s="1239"/>
      <c r="H208" s="1205"/>
      <c r="I208" s="1205"/>
      <c r="J208" s="1205"/>
      <c r="K208" s="1205"/>
      <c r="L208" s="1205"/>
      <c r="M208" s="1205"/>
      <c r="N208" s="1205"/>
      <c r="O208" s="1205"/>
      <c r="P208" s="1205"/>
      <c r="Q208" s="1205"/>
      <c r="R208" s="1205"/>
      <c r="S208" s="1205"/>
      <c r="T208" s="1205"/>
      <c r="U208" s="1205"/>
    </row>
    <row r="209" spans="1:21" ht="30.75" thickBot="1" x14ac:dyDescent="0.3">
      <c r="A209" s="494"/>
      <c r="B209" s="1205"/>
      <c r="C209" s="1198" t="s">
        <v>1482</v>
      </c>
      <c r="D209" s="1601" t="s">
        <v>1639</v>
      </c>
      <c r="E209" s="1602"/>
      <c r="F209" s="1205"/>
      <c r="G209" s="1239"/>
      <c r="H209" s="1201" t="s">
        <v>1479</v>
      </c>
      <c r="I209" s="1205"/>
      <c r="J209" s="1201" t="s">
        <v>1480</v>
      </c>
      <c r="K209" s="1205"/>
      <c r="L209" s="1201" t="s">
        <v>1496</v>
      </c>
      <c r="M209" s="1205"/>
      <c r="N209" s="1201" t="s">
        <v>1481</v>
      </c>
      <c r="O209" s="1205"/>
      <c r="P209" s="1201" t="s">
        <v>1588</v>
      </c>
      <c r="Q209" s="1205"/>
      <c r="R209" s="1201" t="s">
        <v>1589</v>
      </c>
      <c r="S209" s="1205"/>
      <c r="T209" s="1201" t="s">
        <v>1590</v>
      </c>
      <c r="U209" s="1205"/>
    </row>
    <row r="210" spans="1:21" ht="15.75" thickBot="1" x14ac:dyDescent="0.3">
      <c r="A210" s="653"/>
      <c r="B210" s="1205"/>
      <c r="C210" s="1193"/>
      <c r="D210" s="1193"/>
      <c r="E210" s="1193"/>
      <c r="F210" s="1205"/>
      <c r="G210" s="1239"/>
      <c r="H210" s="1142"/>
      <c r="I210" s="1205"/>
      <c r="J210" s="1191"/>
      <c r="K210" s="1205"/>
      <c r="L210" s="1191"/>
      <c r="M210" s="1205"/>
      <c r="N210" s="1237"/>
      <c r="O210" s="1205"/>
      <c r="P210" s="1143" t="s">
        <v>1591</v>
      </c>
      <c r="Q210" s="1205"/>
      <c r="R210" s="1143" t="s">
        <v>1592</v>
      </c>
      <c r="S210" s="1205"/>
      <c r="T210" s="1187" t="s">
        <v>653</v>
      </c>
      <c r="U210" s="1205"/>
    </row>
    <row r="211" spans="1:21" ht="30.75" thickBot="1" x14ac:dyDescent="0.3">
      <c r="A211" s="653"/>
      <c r="B211" s="1205"/>
      <c r="C211" s="1198" t="s">
        <v>1593</v>
      </c>
      <c r="D211" s="1603">
        <v>3601</v>
      </c>
      <c r="E211" s="1604"/>
      <c r="F211" s="1205"/>
      <c r="G211" s="1239"/>
      <c r="H211" s="1205"/>
      <c r="I211" s="1205"/>
      <c r="J211" s="1205"/>
      <c r="K211" s="1205"/>
      <c r="L211" s="1205"/>
      <c r="M211" s="1205"/>
      <c r="N211" s="1205"/>
      <c r="O211" s="1205"/>
      <c r="P211" s="1205"/>
      <c r="Q211" s="1205"/>
      <c r="R211" s="1205"/>
      <c r="S211" s="1205"/>
      <c r="T211" s="1205"/>
      <c r="U211" s="1205"/>
    </row>
    <row r="212" spans="1:21" ht="30.75" thickBot="1" x14ac:dyDescent="0.3">
      <c r="A212" s="653"/>
      <c r="B212" s="1205"/>
      <c r="C212" s="1193"/>
      <c r="D212" s="1193"/>
      <c r="E212" s="1193"/>
      <c r="F212" s="1205"/>
      <c r="G212" s="1239"/>
      <c r="H212" s="1202" t="s">
        <v>1486</v>
      </c>
      <c r="I212" s="1205"/>
      <c r="J212" s="1201" t="s">
        <v>1487</v>
      </c>
      <c r="K212" s="1205"/>
      <c r="L212" s="1201" t="s">
        <v>1488</v>
      </c>
      <c r="M212" s="1205"/>
      <c r="N212" s="1201" t="s">
        <v>1603</v>
      </c>
      <c r="O212" s="1205"/>
      <c r="P212" s="1201" t="s">
        <v>1604</v>
      </c>
      <c r="Q212" s="1205"/>
      <c r="R212" s="1201" t="s">
        <v>1605</v>
      </c>
      <c r="S212" s="1205"/>
      <c r="T212" s="1205"/>
      <c r="U212" s="1205"/>
    </row>
    <row r="213" spans="1:21" ht="15.75" thickBot="1" x14ac:dyDescent="0.3">
      <c r="A213" s="653"/>
      <c r="B213" s="1205"/>
      <c r="C213" s="1198" t="s">
        <v>1484</v>
      </c>
      <c r="D213" s="1605" t="str">
        <f>AA17</f>
        <v/>
      </c>
      <c r="E213" s="1606"/>
      <c r="F213" s="1205"/>
      <c r="G213" s="1239" t="s">
        <v>1048</v>
      </c>
      <c r="H213" s="1166"/>
      <c r="I213" s="1205"/>
      <c r="J213" s="1206"/>
      <c r="K213" s="1205"/>
      <c r="L213" s="1166"/>
      <c r="M213" s="1205"/>
      <c r="N213" s="1159" t="s">
        <v>482</v>
      </c>
      <c r="O213" s="1205"/>
      <c r="P213" s="1159" t="s">
        <v>1239</v>
      </c>
      <c r="Q213" s="1205"/>
      <c r="R213" s="1159" t="s">
        <v>1607</v>
      </c>
      <c r="S213" s="1205"/>
      <c r="T213" s="1205"/>
      <c r="U213" s="1205"/>
    </row>
    <row r="214" spans="1:21" ht="15.75" thickBot="1" x14ac:dyDescent="0.3">
      <c r="A214" s="653"/>
      <c r="B214" s="1205"/>
      <c r="C214" s="1193"/>
      <c r="D214" s="1186"/>
      <c r="E214" s="1186"/>
      <c r="F214" s="1205"/>
      <c r="G214" s="1239" t="s">
        <v>1489</v>
      </c>
      <c r="H214" s="1166"/>
      <c r="I214" s="1205"/>
      <c r="J214" s="1206"/>
      <c r="K214" s="1205"/>
      <c r="L214" s="1166"/>
      <c r="M214" s="1205"/>
      <c r="N214" s="1159" t="s">
        <v>482</v>
      </c>
      <c r="O214" s="1205"/>
      <c r="P214" s="1159" t="s">
        <v>1239</v>
      </c>
      <c r="Q214" s="1205"/>
      <c r="R214" s="1205"/>
      <c r="S214" s="1205"/>
      <c r="T214" s="1205"/>
      <c r="U214" s="1205"/>
    </row>
    <row r="215" spans="1:21" ht="15.75" thickBot="1" x14ac:dyDescent="0.3">
      <c r="A215" s="653"/>
      <c r="B215" s="1205"/>
      <c r="C215" s="1198" t="s">
        <v>1485</v>
      </c>
      <c r="D215" s="1605" t="str">
        <f>AB17</f>
        <v/>
      </c>
      <c r="E215" s="1606"/>
      <c r="F215" s="1205"/>
      <c r="G215" s="1239" t="s">
        <v>1490</v>
      </c>
      <c r="H215" s="1166"/>
      <c r="I215" s="1205"/>
      <c r="J215" s="1206"/>
      <c r="K215" s="1205"/>
      <c r="L215" s="1166"/>
      <c r="M215" s="1205"/>
      <c r="N215" s="1159" t="s">
        <v>482</v>
      </c>
      <c r="O215" s="1205"/>
      <c r="P215" s="1159" t="s">
        <v>1239</v>
      </c>
      <c r="Q215" s="1205"/>
      <c r="R215" s="1205"/>
      <c r="S215" s="1205"/>
      <c r="T215" s="1283" t="s">
        <v>1701</v>
      </c>
      <c r="U215" s="1205"/>
    </row>
    <row r="216" spans="1:21" x14ac:dyDescent="0.25">
      <c r="A216" s="653"/>
      <c r="B216" s="1205"/>
      <c r="C216" s="1193"/>
      <c r="D216" s="1193"/>
      <c r="E216" s="1193"/>
      <c r="F216" s="1205"/>
      <c r="G216" s="1239" t="s">
        <v>1492</v>
      </c>
      <c r="H216" s="1166"/>
      <c r="I216" s="1205"/>
      <c r="J216" s="1196"/>
      <c r="K216" s="1205"/>
      <c r="L216" s="1166"/>
      <c r="M216" s="1205"/>
      <c r="N216" s="1159" t="s">
        <v>482</v>
      </c>
      <c r="O216" s="1205"/>
      <c r="P216" s="1159" t="s">
        <v>1239</v>
      </c>
      <c r="Q216" s="1205"/>
      <c r="R216" s="1205"/>
      <c r="S216" s="1205"/>
      <c r="T216" s="1284" t="s">
        <v>651</v>
      </c>
      <c r="U216" s="1205"/>
    </row>
    <row r="217" spans="1:21" x14ac:dyDescent="0.25">
      <c r="A217" s="653"/>
      <c r="B217" s="1205"/>
      <c r="C217" s="1193"/>
      <c r="D217" s="1193"/>
      <c r="E217" s="1193"/>
      <c r="F217" s="1205"/>
      <c r="G217" s="1239" t="s">
        <v>1494</v>
      </c>
      <c r="H217" s="1166"/>
      <c r="I217" s="1205"/>
      <c r="J217" s="1196"/>
      <c r="K217" s="1205"/>
      <c r="L217" s="1166"/>
      <c r="M217" s="1205"/>
      <c r="N217" s="1159" t="s">
        <v>482</v>
      </c>
      <c r="O217" s="1205"/>
      <c r="P217" s="1159" t="s">
        <v>1239</v>
      </c>
      <c r="Q217" s="1205"/>
      <c r="R217" s="1205"/>
      <c r="S217" s="1205"/>
      <c r="T217" s="1205"/>
      <c r="U217" s="1205"/>
    </row>
    <row r="218" spans="1:21" ht="15.75" thickBot="1" x14ac:dyDescent="0.3">
      <c r="A218" s="653"/>
      <c r="B218" s="1205"/>
      <c r="C218" s="1193"/>
      <c r="D218" s="1193"/>
      <c r="E218" s="1193"/>
      <c r="F218" s="1205"/>
      <c r="G218" s="1239"/>
      <c r="H218" s="1205"/>
      <c r="I218" s="1205"/>
      <c r="J218" s="1205"/>
      <c r="K218" s="1205"/>
      <c r="L218" s="1205"/>
      <c r="M218" s="1205"/>
      <c r="N218" s="1205"/>
      <c r="O218" s="1205"/>
      <c r="P218" s="1205"/>
      <c r="Q218" s="1205"/>
      <c r="R218" s="1205"/>
      <c r="S218" s="1205"/>
      <c r="T218" s="1205"/>
      <c r="U218" s="1205"/>
    </row>
    <row r="219" spans="1:21" ht="30.75" thickBot="1" x14ac:dyDescent="0.3">
      <c r="A219" s="653"/>
      <c r="B219" s="1205"/>
      <c r="C219" s="1199" t="s">
        <v>1597</v>
      </c>
      <c r="D219" s="1593" t="s">
        <v>651</v>
      </c>
      <c r="E219" s="1594"/>
      <c r="F219" s="1205"/>
      <c r="G219" s="1239"/>
      <c r="H219" s="1200" t="s">
        <v>1594</v>
      </c>
      <c r="I219" s="1205"/>
      <c r="J219" s="1201" t="s">
        <v>1608</v>
      </c>
      <c r="K219" s="1205"/>
      <c r="L219" s="1201" t="s">
        <v>1595</v>
      </c>
      <c r="M219" s="1205"/>
      <c r="N219" s="1201" t="s">
        <v>1609</v>
      </c>
      <c r="O219" s="1205"/>
      <c r="P219" s="1201" t="s">
        <v>1610</v>
      </c>
      <c r="Q219" s="1205"/>
      <c r="R219" s="1205"/>
      <c r="S219" s="1205"/>
      <c r="T219" s="1201" t="s">
        <v>528</v>
      </c>
      <c r="U219" s="1205"/>
    </row>
    <row r="220" spans="1:21" ht="15.75" thickBot="1" x14ac:dyDescent="0.3">
      <c r="A220" s="653"/>
      <c r="B220" s="1205"/>
      <c r="C220" s="1193"/>
      <c r="D220" s="1193"/>
      <c r="E220" s="1193"/>
      <c r="F220" s="1205"/>
      <c r="G220" s="1239"/>
      <c r="H220" s="1187" t="s">
        <v>651</v>
      </c>
      <c r="I220" s="1205"/>
      <c r="J220" s="1143" t="s">
        <v>1596</v>
      </c>
      <c r="K220" s="1205"/>
      <c r="L220" s="1233" t="s">
        <v>1596</v>
      </c>
      <c r="M220" s="1205"/>
      <c r="N220" s="1159" t="s">
        <v>651</v>
      </c>
      <c r="O220" s="1205"/>
      <c r="P220" s="1159" t="s">
        <v>653</v>
      </c>
      <c r="Q220" s="1205"/>
      <c r="R220" s="1205"/>
      <c r="S220" s="1205"/>
      <c r="T220" s="1233" t="str">
        <f>IF(Z17&lt;&gt;"","Yes","No")</f>
        <v>No</v>
      </c>
      <c r="U220" s="1205"/>
    </row>
    <row r="221" spans="1:21" ht="15.75" thickBot="1" x14ac:dyDescent="0.3">
      <c r="A221" s="653"/>
      <c r="B221" s="1205"/>
      <c r="C221" s="1198" t="s">
        <v>1598</v>
      </c>
      <c r="D221" s="1603" t="s">
        <v>1633</v>
      </c>
      <c r="E221" s="1586"/>
      <c r="F221" s="1205"/>
      <c r="G221" s="1239"/>
      <c r="H221" s="1205"/>
      <c r="I221" s="1205"/>
      <c r="J221" s="1205"/>
      <c r="K221" s="1205"/>
      <c r="L221" s="1205"/>
      <c r="M221" s="1205"/>
      <c r="N221" s="1205"/>
      <c r="O221" s="1205"/>
      <c r="P221" s="1205"/>
      <c r="Q221" s="1205"/>
      <c r="R221" s="1205"/>
      <c r="S221" s="1205"/>
      <c r="T221" s="1205"/>
      <c r="U221" s="1205"/>
    </row>
    <row r="222" spans="1:21" ht="15.75" thickBot="1" x14ac:dyDescent="0.3">
      <c r="A222" s="653"/>
      <c r="B222" s="1205"/>
      <c r="C222" s="1205"/>
      <c r="D222" s="1205"/>
      <c r="E222" s="1205"/>
      <c r="F222" s="1205"/>
      <c r="G222" s="1239"/>
      <c r="H222" s="1205"/>
      <c r="I222" s="1205"/>
      <c r="J222" s="1205"/>
      <c r="K222" s="1205"/>
      <c r="L222" s="1205"/>
      <c r="M222" s="1205"/>
      <c r="N222" s="1205"/>
      <c r="O222" s="1205"/>
      <c r="P222" s="1205"/>
      <c r="Q222" s="1205"/>
      <c r="R222" s="1205"/>
      <c r="S222" s="1205"/>
      <c r="T222" s="1205"/>
      <c r="U222" s="1205"/>
    </row>
    <row r="223" spans="1:21" ht="20.25" customHeight="1" thickBot="1" x14ac:dyDescent="0.3">
      <c r="A223" s="653"/>
      <c r="B223" s="1607" t="s">
        <v>1640</v>
      </c>
      <c r="C223" s="1585"/>
      <c r="D223" s="1585"/>
      <c r="E223" s="1585"/>
      <c r="F223" s="1585"/>
      <c r="G223" s="1585"/>
      <c r="H223" s="1585"/>
      <c r="I223" s="1585"/>
      <c r="J223" s="1585"/>
      <c r="K223" s="1585"/>
      <c r="L223" s="1585"/>
      <c r="M223" s="1585"/>
      <c r="N223" s="1585"/>
      <c r="O223" s="1585"/>
      <c r="P223" s="1585"/>
      <c r="Q223" s="1585"/>
      <c r="R223" s="1585"/>
      <c r="S223" s="1585"/>
      <c r="T223" s="1585"/>
      <c r="U223" s="1586"/>
    </row>
    <row r="224" spans="1:21" ht="20.25" customHeight="1" thickBot="1" x14ac:dyDescent="0.3">
      <c r="A224" s="653"/>
      <c r="B224" s="1205"/>
      <c r="C224" s="1205"/>
      <c r="D224" s="1205"/>
      <c r="E224" s="1205"/>
      <c r="F224" s="1205"/>
      <c r="G224" s="1239"/>
      <c r="H224" s="1205"/>
      <c r="I224" s="1205"/>
      <c r="J224" s="1205"/>
      <c r="K224" s="1205"/>
      <c r="L224" s="1205"/>
      <c r="M224" s="1205"/>
      <c r="N224" s="1205"/>
      <c r="O224" s="1205"/>
      <c r="P224" s="1205"/>
      <c r="Q224" s="1205"/>
      <c r="R224" s="1205"/>
      <c r="S224" s="1205"/>
      <c r="T224" s="1205"/>
      <c r="U224" s="1205"/>
    </row>
    <row r="225" spans="1:21" ht="30" customHeight="1" thickBot="1" x14ac:dyDescent="0.3">
      <c r="A225" s="494"/>
      <c r="B225" s="1205"/>
      <c r="C225" s="1198" t="s">
        <v>1482</v>
      </c>
      <c r="D225" s="1601" t="s">
        <v>1639</v>
      </c>
      <c r="E225" s="1602"/>
      <c r="F225" s="1205"/>
      <c r="G225" s="1239"/>
      <c r="H225" s="1201" t="s">
        <v>1479</v>
      </c>
      <c r="I225" s="1205"/>
      <c r="J225" s="1201" t="s">
        <v>1480</v>
      </c>
      <c r="K225" s="1205"/>
      <c r="L225" s="1201" t="s">
        <v>1496</v>
      </c>
      <c r="M225" s="1205"/>
      <c r="N225" s="1201" t="s">
        <v>1481</v>
      </c>
      <c r="O225" s="1205"/>
      <c r="P225" s="1201" t="s">
        <v>1588</v>
      </c>
      <c r="Q225" s="1205"/>
      <c r="R225" s="1201" t="s">
        <v>1589</v>
      </c>
      <c r="S225" s="1205"/>
      <c r="T225" s="1201" t="s">
        <v>1590</v>
      </c>
      <c r="U225" s="1205"/>
    </row>
    <row r="226" spans="1:21" ht="18" customHeight="1" thickBot="1" x14ac:dyDescent="0.3">
      <c r="A226" s="653"/>
      <c r="B226" s="1205"/>
      <c r="C226" s="1193"/>
      <c r="D226" s="1193"/>
      <c r="E226" s="1193"/>
      <c r="F226" s="1205"/>
      <c r="G226" s="1239"/>
      <c r="H226" s="1142"/>
      <c r="I226" s="1205"/>
      <c r="J226" s="1191"/>
      <c r="K226" s="1205"/>
      <c r="L226" s="1191"/>
      <c r="M226" s="1205"/>
      <c r="N226" s="1237"/>
      <c r="O226" s="1205"/>
      <c r="P226" s="1143" t="s">
        <v>1591</v>
      </c>
      <c r="Q226" s="1205"/>
      <c r="R226" s="1143" t="s">
        <v>1592</v>
      </c>
      <c r="S226" s="1205"/>
      <c r="T226" s="1187" t="s">
        <v>653</v>
      </c>
      <c r="U226" s="1205"/>
    </row>
    <row r="227" spans="1:21" ht="30" customHeight="1" thickBot="1" x14ac:dyDescent="0.3">
      <c r="A227" s="653"/>
      <c r="B227" s="1205"/>
      <c r="C227" s="1198" t="s">
        <v>1593</v>
      </c>
      <c r="D227" s="1603">
        <v>3602</v>
      </c>
      <c r="E227" s="1604"/>
      <c r="F227" s="1205"/>
      <c r="G227" s="1239"/>
      <c r="H227" s="1205"/>
      <c r="I227" s="1205"/>
      <c r="J227" s="1205"/>
      <c r="K227" s="1205"/>
      <c r="L227" s="1205"/>
      <c r="M227" s="1205"/>
      <c r="N227" s="1205"/>
      <c r="O227" s="1205"/>
      <c r="P227" s="1205"/>
      <c r="Q227" s="1205"/>
      <c r="R227" s="1205"/>
      <c r="S227" s="1205"/>
      <c r="T227" s="1205"/>
      <c r="U227" s="1205"/>
    </row>
    <row r="228" spans="1:21" ht="30" customHeight="1" thickBot="1" x14ac:dyDescent="0.3">
      <c r="A228" s="653"/>
      <c r="B228" s="1205"/>
      <c r="C228" s="1193"/>
      <c r="D228" s="1193"/>
      <c r="E228" s="1193"/>
      <c r="F228" s="1205"/>
      <c r="G228" s="1239"/>
      <c r="H228" s="1202" t="s">
        <v>1486</v>
      </c>
      <c r="I228" s="1205"/>
      <c r="J228" s="1201" t="s">
        <v>1487</v>
      </c>
      <c r="K228" s="1205"/>
      <c r="L228" s="1201" t="s">
        <v>1488</v>
      </c>
      <c r="M228" s="1205"/>
      <c r="N228" s="1201" t="s">
        <v>1603</v>
      </c>
      <c r="O228" s="1205"/>
      <c r="P228" s="1201" t="s">
        <v>1604</v>
      </c>
      <c r="Q228" s="1205"/>
      <c r="R228" s="1201" t="s">
        <v>1605</v>
      </c>
      <c r="S228" s="1205"/>
      <c r="T228" s="1205"/>
      <c r="U228" s="1205"/>
    </row>
    <row r="229" spans="1:21" ht="17.25" customHeight="1" thickBot="1" x14ac:dyDescent="0.3">
      <c r="A229" s="653"/>
      <c r="B229" s="1205"/>
      <c r="C229" s="1198" t="s">
        <v>1484</v>
      </c>
      <c r="D229" s="1605" t="str">
        <f>AA18</f>
        <v/>
      </c>
      <c r="E229" s="1606"/>
      <c r="F229" s="1205"/>
      <c r="G229" s="1239" t="s">
        <v>1048</v>
      </c>
      <c r="H229" s="1166"/>
      <c r="I229" s="1205"/>
      <c r="J229" s="1206"/>
      <c r="K229" s="1205"/>
      <c r="L229" s="1166"/>
      <c r="M229" s="1205"/>
      <c r="N229" s="1159" t="s">
        <v>482</v>
      </c>
      <c r="O229" s="1205"/>
      <c r="P229" s="1159" t="s">
        <v>1239</v>
      </c>
      <c r="Q229" s="1205"/>
      <c r="R229" s="1159" t="s">
        <v>1607</v>
      </c>
      <c r="S229" s="1205"/>
      <c r="T229" s="1205"/>
      <c r="U229" s="1205"/>
    </row>
    <row r="230" spans="1:21" ht="18" customHeight="1" thickBot="1" x14ac:dyDescent="0.3">
      <c r="A230" s="653"/>
      <c r="B230" s="1205"/>
      <c r="C230" s="1193"/>
      <c r="D230" s="1186"/>
      <c r="E230" s="1186"/>
      <c r="F230" s="1205"/>
      <c r="G230" s="1239" t="s">
        <v>1489</v>
      </c>
      <c r="H230" s="1166"/>
      <c r="I230" s="1205"/>
      <c r="J230" s="1206"/>
      <c r="K230" s="1205"/>
      <c r="L230" s="1166"/>
      <c r="M230" s="1205"/>
      <c r="N230" s="1159" t="s">
        <v>482</v>
      </c>
      <c r="O230" s="1205"/>
      <c r="P230" s="1159" t="s">
        <v>1239</v>
      </c>
      <c r="Q230" s="1205"/>
      <c r="R230" s="1205"/>
      <c r="S230" s="1205"/>
      <c r="T230" s="1205"/>
      <c r="U230" s="1205"/>
    </row>
    <row r="231" spans="1:21" ht="18" customHeight="1" thickBot="1" x14ac:dyDescent="0.3">
      <c r="A231" s="653"/>
      <c r="B231" s="1205"/>
      <c r="C231" s="1198" t="s">
        <v>1485</v>
      </c>
      <c r="D231" s="1605" t="str">
        <f>AB18</f>
        <v/>
      </c>
      <c r="E231" s="1606"/>
      <c r="F231" s="1205"/>
      <c r="G231" s="1239" t="s">
        <v>1490</v>
      </c>
      <c r="H231" s="1166"/>
      <c r="I231" s="1205"/>
      <c r="J231" s="1206"/>
      <c r="K231" s="1205"/>
      <c r="L231" s="1166"/>
      <c r="M231" s="1205"/>
      <c r="N231" s="1159" t="s">
        <v>482</v>
      </c>
      <c r="O231" s="1205"/>
      <c r="P231" s="1159" t="s">
        <v>1239</v>
      </c>
      <c r="Q231" s="1205"/>
      <c r="R231" s="1205"/>
      <c r="S231" s="1205"/>
      <c r="T231" s="1283" t="s">
        <v>1701</v>
      </c>
      <c r="U231" s="1205"/>
    </row>
    <row r="232" spans="1:21" ht="18" customHeight="1" x14ac:dyDescent="0.25">
      <c r="A232" s="653"/>
      <c r="B232" s="1205"/>
      <c r="C232" s="1193"/>
      <c r="D232" s="1193"/>
      <c r="E232" s="1193"/>
      <c r="F232" s="1205"/>
      <c r="G232" s="1239" t="s">
        <v>1492</v>
      </c>
      <c r="H232" s="1166"/>
      <c r="I232" s="1205"/>
      <c r="J232" s="1196"/>
      <c r="K232" s="1205"/>
      <c r="L232" s="1166"/>
      <c r="M232" s="1205"/>
      <c r="N232" s="1159" t="s">
        <v>482</v>
      </c>
      <c r="O232" s="1205"/>
      <c r="P232" s="1159" t="s">
        <v>1239</v>
      </c>
      <c r="Q232" s="1205"/>
      <c r="R232" s="1205"/>
      <c r="S232" s="1205"/>
      <c r="T232" s="1284" t="s">
        <v>651</v>
      </c>
      <c r="U232" s="1205"/>
    </row>
    <row r="233" spans="1:21" ht="18" customHeight="1" x14ac:dyDescent="0.25">
      <c r="A233" s="653"/>
      <c r="B233" s="1205"/>
      <c r="C233" s="1193"/>
      <c r="D233" s="1193"/>
      <c r="E233" s="1193"/>
      <c r="F233" s="1205"/>
      <c r="G233" s="1239" t="s">
        <v>1494</v>
      </c>
      <c r="H233" s="1166"/>
      <c r="I233" s="1205"/>
      <c r="J233" s="1196"/>
      <c r="K233" s="1205"/>
      <c r="L233" s="1166"/>
      <c r="M233" s="1205"/>
      <c r="N233" s="1159" t="s">
        <v>482</v>
      </c>
      <c r="O233" s="1205"/>
      <c r="P233" s="1159" t="s">
        <v>1239</v>
      </c>
      <c r="Q233" s="1205"/>
      <c r="R233" s="1205"/>
      <c r="S233" s="1205"/>
      <c r="T233" s="1205"/>
      <c r="U233" s="1205"/>
    </row>
    <row r="234" spans="1:21" ht="18" customHeight="1" thickBot="1" x14ac:dyDescent="0.3">
      <c r="A234" s="653"/>
      <c r="B234" s="1205"/>
      <c r="C234" s="1193"/>
      <c r="D234" s="1193"/>
      <c r="E234" s="1193"/>
      <c r="F234" s="1205"/>
      <c r="G234" s="1239"/>
      <c r="H234" s="1205"/>
      <c r="I234" s="1205"/>
      <c r="J234" s="1205"/>
      <c r="K234" s="1205"/>
      <c r="L234" s="1205"/>
      <c r="M234" s="1205"/>
      <c r="N234" s="1205"/>
      <c r="O234" s="1205"/>
      <c r="P234" s="1205"/>
      <c r="Q234" s="1205"/>
      <c r="R234" s="1205"/>
      <c r="S234" s="1205"/>
      <c r="T234" s="1205"/>
      <c r="U234" s="1205"/>
    </row>
    <row r="235" spans="1:21" ht="30" customHeight="1" thickBot="1" x14ac:dyDescent="0.3">
      <c r="A235" s="653"/>
      <c r="B235" s="1205"/>
      <c r="C235" s="1199" t="s">
        <v>1597</v>
      </c>
      <c r="D235" s="1593" t="s">
        <v>651</v>
      </c>
      <c r="E235" s="1594"/>
      <c r="F235" s="1205"/>
      <c r="G235" s="1239"/>
      <c r="H235" s="1200" t="s">
        <v>1594</v>
      </c>
      <c r="I235" s="1205"/>
      <c r="J235" s="1201" t="s">
        <v>1608</v>
      </c>
      <c r="K235" s="1205"/>
      <c r="L235" s="1201" t="s">
        <v>1595</v>
      </c>
      <c r="M235" s="1205"/>
      <c r="N235" s="1201" t="s">
        <v>1609</v>
      </c>
      <c r="O235" s="1205"/>
      <c r="P235" s="1201" t="s">
        <v>1610</v>
      </c>
      <c r="Q235" s="1205"/>
      <c r="R235" s="1205"/>
      <c r="S235" s="1205"/>
      <c r="T235" s="1201" t="s">
        <v>528</v>
      </c>
      <c r="U235" s="1205"/>
    </row>
    <row r="236" spans="1:21" ht="18" customHeight="1" thickBot="1" x14ac:dyDescent="0.3">
      <c r="A236" s="653"/>
      <c r="B236" s="1205"/>
      <c r="C236" s="1193"/>
      <c r="D236" s="1193"/>
      <c r="E236" s="1193"/>
      <c r="F236" s="1205"/>
      <c r="G236" s="1239"/>
      <c r="H236" s="1187" t="s">
        <v>651</v>
      </c>
      <c r="I236" s="1205"/>
      <c r="J236" s="1143" t="s">
        <v>1596</v>
      </c>
      <c r="K236" s="1205"/>
      <c r="L236" s="1233" t="s">
        <v>1596</v>
      </c>
      <c r="M236" s="1205"/>
      <c r="N236" s="1159" t="s">
        <v>651</v>
      </c>
      <c r="O236" s="1205"/>
      <c r="P236" s="1159" t="s">
        <v>653</v>
      </c>
      <c r="Q236" s="1205"/>
      <c r="R236" s="1205"/>
      <c r="S236" s="1205"/>
      <c r="T236" s="1233" t="str">
        <f>IF(Z18&lt;&gt;"","Yes","No")</f>
        <v>No</v>
      </c>
      <c r="U236" s="1205"/>
    </row>
    <row r="237" spans="1:21" ht="18" customHeight="1" thickBot="1" x14ac:dyDescent="0.3">
      <c r="A237" s="653"/>
      <c r="B237" s="1205"/>
      <c r="C237" s="1198" t="s">
        <v>1598</v>
      </c>
      <c r="D237" s="1603" t="s">
        <v>1633</v>
      </c>
      <c r="E237" s="1586"/>
      <c r="F237" s="1205"/>
      <c r="G237" s="1239"/>
      <c r="H237" s="1205"/>
      <c r="I237" s="1205"/>
      <c r="J237" s="1205"/>
      <c r="K237" s="1205"/>
      <c r="L237" s="1205"/>
      <c r="M237" s="1205"/>
      <c r="N237" s="1205"/>
      <c r="O237" s="1205"/>
      <c r="P237" s="1205"/>
      <c r="Q237" s="1205"/>
      <c r="R237" s="1205"/>
      <c r="S237" s="1205"/>
      <c r="T237" s="1205"/>
      <c r="U237" s="1205"/>
    </row>
    <row r="238" spans="1:21" ht="18" customHeight="1" thickBot="1" x14ac:dyDescent="0.3">
      <c r="A238" s="653"/>
      <c r="B238" s="1205"/>
      <c r="C238" s="1205"/>
      <c r="D238" s="1205"/>
      <c r="E238" s="1205"/>
      <c r="F238" s="1205"/>
      <c r="G238" s="1239"/>
      <c r="H238" s="1205"/>
      <c r="I238" s="1205"/>
      <c r="J238" s="1205"/>
      <c r="K238" s="1205"/>
      <c r="L238" s="1205"/>
      <c r="M238" s="1205"/>
      <c r="N238" s="1205"/>
      <c r="O238" s="1205"/>
      <c r="P238" s="1205"/>
      <c r="Q238" s="1205"/>
      <c r="R238" s="1205"/>
      <c r="S238" s="1205"/>
      <c r="T238" s="1205"/>
      <c r="U238" s="1205"/>
    </row>
    <row r="239" spans="1:21" ht="20.25" customHeight="1" thickBot="1" x14ac:dyDescent="0.3">
      <c r="A239" s="1197"/>
      <c r="B239" s="1598" t="s">
        <v>1784</v>
      </c>
      <c r="C239" s="1599"/>
      <c r="D239" s="1599"/>
      <c r="E239" s="1599"/>
      <c r="F239" s="1599"/>
      <c r="G239" s="1599"/>
      <c r="H239" s="1599"/>
      <c r="I239" s="1599"/>
      <c r="J239" s="1599"/>
      <c r="K239" s="1599"/>
      <c r="L239" s="1599"/>
      <c r="M239" s="1599"/>
      <c r="N239" s="1599"/>
      <c r="O239" s="1599"/>
      <c r="P239" s="1599"/>
      <c r="Q239" s="1599"/>
      <c r="R239" s="1599"/>
      <c r="S239" s="1599"/>
      <c r="T239" s="1599"/>
      <c r="U239" s="1600"/>
    </row>
    <row r="240" spans="1:21" ht="20.25" customHeight="1" thickBot="1" x14ac:dyDescent="0.3">
      <c r="A240" s="1197"/>
      <c r="B240" s="1205"/>
      <c r="C240" s="1205"/>
      <c r="D240" s="1205"/>
      <c r="E240" s="1205"/>
      <c r="F240" s="1205"/>
      <c r="G240" s="1239"/>
      <c r="H240" s="1205"/>
      <c r="I240" s="1205"/>
      <c r="J240" s="1205"/>
      <c r="K240" s="1205"/>
      <c r="L240" s="1205"/>
      <c r="M240" s="1205"/>
      <c r="N240" s="1205"/>
      <c r="O240" s="1205"/>
      <c r="P240" s="1205"/>
      <c r="Q240" s="1205"/>
      <c r="R240" s="1205"/>
      <c r="S240" s="1205"/>
      <c r="T240" s="1205"/>
      <c r="U240" s="1205"/>
    </row>
    <row r="241" spans="1:21" ht="30" customHeight="1" thickBot="1" x14ac:dyDescent="0.3">
      <c r="A241" s="134"/>
      <c r="B241" s="1205"/>
      <c r="C241" s="1198" t="s">
        <v>1482</v>
      </c>
      <c r="D241" s="1601" t="s">
        <v>1641</v>
      </c>
      <c r="E241" s="1602"/>
      <c r="F241" s="1205"/>
      <c r="G241" s="1239"/>
      <c r="H241" s="1201" t="s">
        <v>1479</v>
      </c>
      <c r="I241" s="1205"/>
      <c r="J241" s="1201" t="s">
        <v>1480</v>
      </c>
      <c r="K241" s="1205"/>
      <c r="L241" s="1201" t="s">
        <v>1496</v>
      </c>
      <c r="M241" s="1205"/>
      <c r="N241" s="1201" t="s">
        <v>1481</v>
      </c>
      <c r="O241" s="1205"/>
      <c r="P241" s="1201" t="s">
        <v>1588</v>
      </c>
      <c r="Q241" s="1205"/>
      <c r="R241" s="1201" t="s">
        <v>1589</v>
      </c>
      <c r="S241" s="1205"/>
      <c r="T241" s="1201" t="s">
        <v>1590</v>
      </c>
      <c r="U241" s="1205"/>
    </row>
    <row r="242" spans="1:21" ht="18" customHeight="1" thickBot="1" x14ac:dyDescent="0.3">
      <c r="A242" s="1197"/>
      <c r="B242" s="1205"/>
      <c r="C242" s="1193"/>
      <c r="D242" s="1193"/>
      <c r="E242" s="1193"/>
      <c r="F242" s="1205"/>
      <c r="G242" s="1239"/>
      <c r="H242" s="1142"/>
      <c r="I242" s="1205"/>
      <c r="J242" s="1191"/>
      <c r="K242" s="1205"/>
      <c r="L242" s="1191"/>
      <c r="M242" s="1205"/>
      <c r="N242" s="1237"/>
      <c r="O242" s="1205"/>
      <c r="P242" s="1143" t="s">
        <v>1591</v>
      </c>
      <c r="Q242" s="1205"/>
      <c r="R242" s="1143" t="s">
        <v>1592</v>
      </c>
      <c r="S242" s="1205"/>
      <c r="T242" s="1187" t="s">
        <v>653</v>
      </c>
      <c r="U242" s="1205"/>
    </row>
    <row r="243" spans="1:21" ht="30" customHeight="1" thickBot="1" x14ac:dyDescent="0.3">
      <c r="A243" s="1197"/>
      <c r="B243" s="1205"/>
      <c r="C243" s="1198" t="s">
        <v>1593</v>
      </c>
      <c r="D243" s="1603">
        <v>1301</v>
      </c>
      <c r="E243" s="1604"/>
      <c r="F243" s="1205"/>
      <c r="G243" s="1239"/>
      <c r="H243" s="1205"/>
      <c r="I243" s="1205"/>
      <c r="J243" s="1205"/>
      <c r="K243" s="1205"/>
      <c r="L243" s="1205"/>
      <c r="M243" s="1205"/>
      <c r="N243" s="1205"/>
      <c r="O243" s="1205"/>
      <c r="P243" s="1205"/>
      <c r="Q243" s="1205"/>
      <c r="R243" s="1205"/>
      <c r="S243" s="1205"/>
      <c r="T243" s="1205"/>
      <c r="U243" s="1205"/>
    </row>
    <row r="244" spans="1:21" ht="30" customHeight="1" thickBot="1" x14ac:dyDescent="0.3">
      <c r="A244" s="1197"/>
      <c r="B244" s="1205"/>
      <c r="C244" s="1193"/>
      <c r="D244" s="1193"/>
      <c r="E244" s="1193"/>
      <c r="F244" s="1205"/>
      <c r="G244" s="1239"/>
      <c r="H244" s="1202" t="s">
        <v>1486</v>
      </c>
      <c r="I244" s="1205"/>
      <c r="J244" s="1201" t="s">
        <v>1487</v>
      </c>
      <c r="K244" s="1205"/>
      <c r="L244" s="1201" t="s">
        <v>1488</v>
      </c>
      <c r="M244" s="1205"/>
      <c r="N244" s="1201" t="s">
        <v>1603</v>
      </c>
      <c r="O244" s="1205"/>
      <c r="P244" s="1201" t="s">
        <v>1604</v>
      </c>
      <c r="Q244" s="1205"/>
      <c r="R244" s="1201" t="s">
        <v>1605</v>
      </c>
      <c r="S244" s="1205"/>
      <c r="T244" s="1205"/>
      <c r="U244" s="1205"/>
    </row>
    <row r="245" spans="1:21" ht="28.5" customHeight="1" thickBot="1" x14ac:dyDescent="0.3">
      <c r="A245" s="1197"/>
      <c r="B245" s="1205"/>
      <c r="C245" s="1198" t="s">
        <v>1484</v>
      </c>
      <c r="D245" s="1605" t="str">
        <f>AA19</f>
        <v/>
      </c>
      <c r="E245" s="1606"/>
      <c r="F245" s="1205"/>
      <c r="G245" s="1296" t="str">
        <f>IF(P248="Yes","Weekly Baseline","Baseline")</f>
        <v>Weekly Baseline</v>
      </c>
      <c r="H245" s="1166"/>
      <c r="I245" s="1205"/>
      <c r="J245" s="1195"/>
      <c r="K245" s="1205"/>
      <c r="L245" s="1166"/>
      <c r="M245" s="1205"/>
      <c r="N245" s="1159" t="s">
        <v>482</v>
      </c>
      <c r="O245" s="1205"/>
      <c r="P245" s="1159" t="s">
        <v>1606</v>
      </c>
      <c r="Q245" s="1205"/>
      <c r="R245" s="1159" t="s">
        <v>1607</v>
      </c>
      <c r="S245" s="1205"/>
      <c r="T245" s="1205"/>
      <c r="U245" s="1205"/>
    </row>
    <row r="246" spans="1:21" ht="18" customHeight="1" thickBot="1" x14ac:dyDescent="0.3">
      <c r="A246" s="1197"/>
      <c r="B246" s="1205"/>
      <c r="C246" s="1193"/>
      <c r="D246" s="1186"/>
      <c r="E246" s="1186"/>
      <c r="F246" s="1205"/>
      <c r="G246" s="1239"/>
      <c r="H246" s="1205"/>
      <c r="I246" s="1205"/>
      <c r="J246" s="1205"/>
      <c r="K246" s="1205"/>
      <c r="L246" s="1205"/>
      <c r="M246" s="1205"/>
      <c r="N246" s="1205"/>
      <c r="O246" s="1205"/>
      <c r="P246" s="1205"/>
      <c r="Q246" s="1205"/>
      <c r="R246" s="1205"/>
      <c r="S246" s="1205"/>
      <c r="T246" s="1205"/>
      <c r="U246" s="1205"/>
    </row>
    <row r="247" spans="1:21" ht="30" customHeight="1" thickBot="1" x14ac:dyDescent="0.3">
      <c r="A247" s="1197"/>
      <c r="B247" s="1205"/>
      <c r="C247" s="1198" t="s">
        <v>1485</v>
      </c>
      <c r="D247" s="1605" t="str">
        <f>AB19</f>
        <v/>
      </c>
      <c r="E247" s="1606"/>
      <c r="F247" s="1205"/>
      <c r="G247" s="1239"/>
      <c r="H247" s="1200" t="s">
        <v>1594</v>
      </c>
      <c r="I247" s="1205"/>
      <c r="J247" s="1201" t="s">
        <v>1608</v>
      </c>
      <c r="K247" s="1205"/>
      <c r="L247" s="1201" t="s">
        <v>1595</v>
      </c>
      <c r="M247" s="1205"/>
      <c r="N247" s="1201" t="s">
        <v>1609</v>
      </c>
      <c r="O247" s="1205"/>
      <c r="P247" s="1201" t="s">
        <v>1610</v>
      </c>
      <c r="Q247" s="1205"/>
      <c r="R247" s="1201" t="s">
        <v>1611</v>
      </c>
      <c r="S247" s="1205"/>
      <c r="T247" s="1283" t="s">
        <v>1701</v>
      </c>
      <c r="U247" s="1205"/>
    </row>
    <row r="248" spans="1:21" ht="18" customHeight="1" thickBot="1" x14ac:dyDescent="0.3">
      <c r="A248" s="1197"/>
      <c r="B248" s="1205"/>
      <c r="C248" s="1193"/>
      <c r="D248" s="1193"/>
      <c r="E248" s="1193"/>
      <c r="F248" s="1205"/>
      <c r="G248" s="1239"/>
      <c r="H248" s="1187" t="s">
        <v>651</v>
      </c>
      <c r="I248" s="1205"/>
      <c r="J248" s="1143" t="s">
        <v>1596</v>
      </c>
      <c r="K248" s="1205"/>
      <c r="L248" s="1159" t="s">
        <v>1596</v>
      </c>
      <c r="M248" s="1205"/>
      <c r="N248" s="1159" t="s">
        <v>651</v>
      </c>
      <c r="O248" s="1205"/>
      <c r="P248" s="1187" t="s">
        <v>651</v>
      </c>
      <c r="Q248" s="1205"/>
      <c r="R248" s="1159" t="s">
        <v>1612</v>
      </c>
      <c r="S248" s="1205"/>
      <c r="T248" s="1284" t="s">
        <v>651</v>
      </c>
      <c r="U248" s="1205"/>
    </row>
    <row r="249" spans="1:21" ht="30" customHeight="1" thickBot="1" x14ac:dyDescent="0.3">
      <c r="A249" s="1197"/>
      <c r="B249" s="1205"/>
      <c r="C249" s="1199" t="s">
        <v>1597</v>
      </c>
      <c r="D249" s="1593" t="s">
        <v>651</v>
      </c>
      <c r="E249" s="1594"/>
      <c r="F249" s="1205"/>
      <c r="G249" s="1239"/>
      <c r="H249" s="1205"/>
      <c r="I249" s="1205"/>
      <c r="J249" s="1205"/>
      <c r="K249" s="1205"/>
      <c r="L249" s="1205"/>
      <c r="M249" s="1205"/>
      <c r="N249" s="1205"/>
      <c r="O249" s="1205"/>
      <c r="P249" s="1205"/>
      <c r="Q249" s="1205"/>
      <c r="R249" s="1205"/>
      <c r="S249" s="1205"/>
      <c r="T249" s="1205"/>
      <c r="U249" s="1205"/>
    </row>
    <row r="250" spans="1:21" ht="18" customHeight="1" thickBot="1" x14ac:dyDescent="0.3">
      <c r="A250" s="1197"/>
      <c r="B250" s="1205"/>
      <c r="C250" s="1193"/>
      <c r="D250" s="1193"/>
      <c r="E250" s="1193"/>
      <c r="F250" s="1205"/>
      <c r="G250" s="1239"/>
      <c r="H250" s="1205"/>
      <c r="I250" s="1205"/>
      <c r="J250" s="1205"/>
      <c r="K250" s="1205"/>
      <c r="L250" s="1205"/>
      <c r="M250" s="1205"/>
      <c r="N250" s="1205"/>
      <c r="O250" s="1205"/>
      <c r="P250" s="1205"/>
      <c r="Q250" s="1205"/>
      <c r="R250" s="1205"/>
      <c r="S250" s="1205"/>
      <c r="T250" s="1201" t="s">
        <v>528</v>
      </c>
      <c r="U250" s="1205"/>
    </row>
    <row r="251" spans="1:21" ht="18" customHeight="1" thickBot="1" x14ac:dyDescent="0.3">
      <c r="A251" s="1197"/>
      <c r="B251" s="1205"/>
      <c r="C251" s="1198" t="s">
        <v>1598</v>
      </c>
      <c r="D251" s="1603" t="s">
        <v>1599</v>
      </c>
      <c r="E251" s="1586"/>
      <c r="F251" s="1205"/>
      <c r="G251" s="1239"/>
      <c r="H251" s="1205"/>
      <c r="I251" s="1205"/>
      <c r="J251" s="1205"/>
      <c r="K251" s="1205"/>
      <c r="L251" s="1205"/>
      <c r="M251" s="1205"/>
      <c r="N251" s="1205"/>
      <c r="O251" s="1205"/>
      <c r="P251" s="1205"/>
      <c r="Q251" s="1205"/>
      <c r="R251" s="1205"/>
      <c r="S251" s="1205"/>
      <c r="T251" s="1233" t="str">
        <f>IF(Z19&lt;&gt;"","Yes","No")</f>
        <v>No</v>
      </c>
      <c r="U251" s="1205"/>
    </row>
    <row r="252" spans="1:21" ht="20.25" customHeight="1" thickBot="1" x14ac:dyDescent="0.3">
      <c r="A252" s="1197"/>
      <c r="B252" s="1205"/>
      <c r="C252" s="1205"/>
      <c r="D252" s="1205"/>
      <c r="E252" s="1205"/>
      <c r="F252" s="1205"/>
      <c r="G252" s="1239"/>
      <c r="H252" s="1205"/>
      <c r="I252" s="1205"/>
      <c r="J252" s="1205"/>
      <c r="K252" s="1205"/>
      <c r="L252" s="1205"/>
      <c r="M252" s="1205"/>
      <c r="N252" s="1205"/>
      <c r="O252" s="1205"/>
      <c r="P252" s="1205"/>
      <c r="Q252" s="1205"/>
      <c r="R252" s="1205"/>
      <c r="S252" s="1205"/>
      <c r="T252" s="1205"/>
      <c r="U252" s="1205"/>
    </row>
    <row r="253" spans="1:21" s="1290" customFormat="1" ht="20.25" customHeight="1" thickBot="1" x14ac:dyDescent="0.3">
      <c r="B253" s="1598" t="s">
        <v>1783</v>
      </c>
      <c r="C253" s="1599"/>
      <c r="D253" s="1599"/>
      <c r="E253" s="1599"/>
      <c r="F253" s="1599"/>
      <c r="G253" s="1599"/>
      <c r="H253" s="1599"/>
      <c r="I253" s="1599"/>
      <c r="J253" s="1599"/>
      <c r="K253" s="1599"/>
      <c r="L253" s="1599"/>
      <c r="M253" s="1599"/>
      <c r="N253" s="1599"/>
      <c r="O253" s="1599"/>
      <c r="P253" s="1599"/>
      <c r="Q253" s="1599"/>
      <c r="R253" s="1599"/>
      <c r="S253" s="1599"/>
      <c r="T253" s="1599"/>
      <c r="U253" s="1600"/>
    </row>
    <row r="254" spans="1:21" s="1290" customFormat="1" ht="20.25" customHeight="1" thickBot="1" x14ac:dyDescent="0.3">
      <c r="B254" s="1205"/>
      <c r="C254" s="1205"/>
      <c r="D254" s="1205"/>
      <c r="E254" s="1205"/>
      <c r="F254" s="1205"/>
      <c r="G254" s="1239"/>
      <c r="H254" s="1205"/>
      <c r="I254" s="1205"/>
      <c r="J254" s="1205"/>
      <c r="K254" s="1205"/>
      <c r="L254" s="1205"/>
      <c r="M254" s="1205"/>
      <c r="N254" s="1205"/>
      <c r="O254" s="1205"/>
      <c r="P254" s="1205"/>
      <c r="Q254" s="1205"/>
      <c r="R254" s="1205"/>
      <c r="S254" s="1205"/>
      <c r="T254" s="1205"/>
      <c r="U254" s="1205"/>
    </row>
    <row r="255" spans="1:21" s="1290" customFormat="1" ht="30" customHeight="1" thickBot="1" x14ac:dyDescent="0.3">
      <c r="A255" s="134"/>
      <c r="B255" s="1205"/>
      <c r="C255" s="1198" t="s">
        <v>1482</v>
      </c>
      <c r="D255" s="1601" t="s">
        <v>1641</v>
      </c>
      <c r="E255" s="1602"/>
      <c r="F255" s="1205"/>
      <c r="G255" s="1239"/>
      <c r="H255" s="1201" t="s">
        <v>1479</v>
      </c>
      <c r="I255" s="1205"/>
      <c r="J255" s="1201" t="s">
        <v>1480</v>
      </c>
      <c r="K255" s="1205"/>
      <c r="L255" s="1201" t="s">
        <v>1496</v>
      </c>
      <c r="M255" s="1205"/>
      <c r="N255" s="1201" t="s">
        <v>1481</v>
      </c>
      <c r="O255" s="1205"/>
      <c r="P255" s="1201" t="s">
        <v>1588</v>
      </c>
      <c r="Q255" s="1205"/>
      <c r="R255" s="1201" t="s">
        <v>1589</v>
      </c>
      <c r="S255" s="1205"/>
      <c r="T255" s="1201" t="s">
        <v>1590</v>
      </c>
      <c r="U255" s="1205"/>
    </row>
    <row r="256" spans="1:21" s="1290" customFormat="1" ht="18" customHeight="1" thickBot="1" x14ac:dyDescent="0.3">
      <c r="B256" s="1205"/>
      <c r="C256" s="1193"/>
      <c r="D256" s="1193"/>
      <c r="E256" s="1193"/>
      <c r="F256" s="1205"/>
      <c r="G256" s="1239"/>
      <c r="H256" s="1142"/>
      <c r="I256" s="1205"/>
      <c r="J256" s="1191"/>
      <c r="K256" s="1205"/>
      <c r="L256" s="1191"/>
      <c r="M256" s="1205"/>
      <c r="N256" s="1237"/>
      <c r="O256" s="1205"/>
      <c r="P256" s="1143" t="s">
        <v>1591</v>
      </c>
      <c r="Q256" s="1205"/>
      <c r="R256" s="1143" t="s">
        <v>1592</v>
      </c>
      <c r="S256" s="1205"/>
      <c r="T256" s="1187" t="s">
        <v>653</v>
      </c>
      <c r="U256" s="1205"/>
    </row>
    <row r="257" spans="1:21" s="1290" customFormat="1" ht="30" customHeight="1" thickBot="1" x14ac:dyDescent="0.3">
      <c r="B257" s="1205"/>
      <c r="C257" s="1198" t="s">
        <v>1593</v>
      </c>
      <c r="D257" s="1603">
        <v>1302</v>
      </c>
      <c r="E257" s="1604"/>
      <c r="F257" s="1205"/>
      <c r="G257" s="1239"/>
      <c r="H257" s="1205"/>
      <c r="I257" s="1205"/>
      <c r="J257" s="1205"/>
      <c r="K257" s="1205"/>
      <c r="L257" s="1205"/>
      <c r="M257" s="1205"/>
      <c r="N257" s="1205"/>
      <c r="O257" s="1205"/>
      <c r="P257" s="1205"/>
      <c r="Q257" s="1205"/>
      <c r="R257" s="1205"/>
      <c r="S257" s="1205"/>
      <c r="T257" s="1205"/>
      <c r="U257" s="1205"/>
    </row>
    <row r="258" spans="1:21" s="1290" customFormat="1" ht="30" customHeight="1" thickBot="1" x14ac:dyDescent="0.3">
      <c r="B258" s="1205"/>
      <c r="C258" s="1193"/>
      <c r="D258" s="1193"/>
      <c r="E258" s="1193"/>
      <c r="F258" s="1205"/>
      <c r="G258" s="1239"/>
      <c r="H258" s="1202" t="s">
        <v>1486</v>
      </c>
      <c r="I258" s="1205"/>
      <c r="J258" s="1201" t="s">
        <v>1487</v>
      </c>
      <c r="K258" s="1205"/>
      <c r="L258" s="1201" t="s">
        <v>1488</v>
      </c>
      <c r="M258" s="1205"/>
      <c r="N258" s="1201" t="s">
        <v>1603</v>
      </c>
      <c r="O258" s="1205"/>
      <c r="P258" s="1201" t="s">
        <v>1604</v>
      </c>
      <c r="Q258" s="1205"/>
      <c r="R258" s="1201" t="s">
        <v>1605</v>
      </c>
      <c r="S258" s="1205"/>
      <c r="T258" s="1205"/>
      <c r="U258" s="1205"/>
    </row>
    <row r="259" spans="1:21" s="1290" customFormat="1" ht="26.25" customHeight="1" thickBot="1" x14ac:dyDescent="0.3">
      <c r="B259" s="1205"/>
      <c r="C259" s="1198" t="s">
        <v>1484</v>
      </c>
      <c r="D259" s="1605" t="str">
        <f>AA20</f>
        <v/>
      </c>
      <c r="E259" s="1606"/>
      <c r="F259" s="1205"/>
      <c r="G259" s="1296" t="str">
        <f>IF(P262="Yes","Weekly Baseline","Baseline")</f>
        <v>Weekly Baseline</v>
      </c>
      <c r="H259" s="1166"/>
      <c r="I259" s="1205"/>
      <c r="J259" s="1195"/>
      <c r="K259" s="1205"/>
      <c r="L259" s="1166"/>
      <c r="M259" s="1205"/>
      <c r="N259" s="1233" t="s">
        <v>482</v>
      </c>
      <c r="O259" s="1205"/>
      <c r="P259" s="1233" t="s">
        <v>1606</v>
      </c>
      <c r="Q259" s="1205"/>
      <c r="R259" s="1233" t="s">
        <v>1607</v>
      </c>
      <c r="S259" s="1205"/>
      <c r="T259" s="1205"/>
      <c r="U259" s="1205"/>
    </row>
    <row r="260" spans="1:21" s="1290" customFormat="1" ht="18" customHeight="1" thickBot="1" x14ac:dyDescent="0.3">
      <c r="B260" s="1205"/>
      <c r="C260" s="1193"/>
      <c r="D260" s="1186"/>
      <c r="E260" s="1186"/>
      <c r="F260" s="1205"/>
      <c r="G260" s="1239"/>
      <c r="H260" s="1205"/>
      <c r="I260" s="1205"/>
      <c r="J260" s="1205"/>
      <c r="K260" s="1205"/>
      <c r="L260" s="1205"/>
      <c r="M260" s="1205"/>
      <c r="N260" s="1205"/>
      <c r="O260" s="1205"/>
      <c r="P260" s="1205"/>
      <c r="Q260" s="1205"/>
      <c r="R260" s="1205"/>
      <c r="S260" s="1205"/>
      <c r="T260" s="1205"/>
      <c r="U260" s="1205"/>
    </row>
    <row r="261" spans="1:21" s="1290" customFormat="1" ht="30" customHeight="1" thickBot="1" x14ac:dyDescent="0.3">
      <c r="B261" s="1205"/>
      <c r="C261" s="1198" t="s">
        <v>1485</v>
      </c>
      <c r="D261" s="1605" t="str">
        <f>AB20</f>
        <v/>
      </c>
      <c r="E261" s="1606"/>
      <c r="F261" s="1205"/>
      <c r="G261" s="1239"/>
      <c r="H261" s="1291" t="s">
        <v>1594</v>
      </c>
      <c r="I261" s="1205"/>
      <c r="J261" s="1201" t="s">
        <v>1608</v>
      </c>
      <c r="K261" s="1205"/>
      <c r="L261" s="1201" t="s">
        <v>1595</v>
      </c>
      <c r="M261" s="1205"/>
      <c r="N261" s="1201" t="s">
        <v>1609</v>
      </c>
      <c r="O261" s="1205"/>
      <c r="P261" s="1201" t="s">
        <v>1610</v>
      </c>
      <c r="Q261" s="1205"/>
      <c r="R261" s="1201" t="s">
        <v>1611</v>
      </c>
      <c r="S261" s="1205"/>
      <c r="T261" s="1283" t="s">
        <v>1701</v>
      </c>
      <c r="U261" s="1205"/>
    </row>
    <row r="262" spans="1:21" s="1290" customFormat="1" ht="18" customHeight="1" thickBot="1" x14ac:dyDescent="0.3">
      <c r="B262" s="1205"/>
      <c r="C262" s="1193"/>
      <c r="D262" s="1193"/>
      <c r="E262" s="1193"/>
      <c r="F262" s="1205"/>
      <c r="G262" s="1239"/>
      <c r="H262" s="1187" t="s">
        <v>651</v>
      </c>
      <c r="I262" s="1205"/>
      <c r="J262" s="1143" t="s">
        <v>1596</v>
      </c>
      <c r="K262" s="1205"/>
      <c r="L262" s="1233" t="s">
        <v>1596</v>
      </c>
      <c r="M262" s="1205"/>
      <c r="N262" s="1233" t="s">
        <v>651</v>
      </c>
      <c r="O262" s="1205"/>
      <c r="P262" s="1187" t="s">
        <v>651</v>
      </c>
      <c r="Q262" s="1205"/>
      <c r="R262" s="1233" t="s">
        <v>1612</v>
      </c>
      <c r="S262" s="1205"/>
      <c r="T262" s="1284" t="s">
        <v>651</v>
      </c>
      <c r="U262" s="1205"/>
    </row>
    <row r="263" spans="1:21" s="1290" customFormat="1" ht="30" customHeight="1" thickBot="1" x14ac:dyDescent="0.3">
      <c r="B263" s="1205"/>
      <c r="C263" s="1199" t="s">
        <v>1597</v>
      </c>
      <c r="D263" s="1593" t="s">
        <v>651</v>
      </c>
      <c r="E263" s="1594"/>
      <c r="F263" s="1205"/>
      <c r="G263" s="1239"/>
      <c r="H263" s="1205"/>
      <c r="I263" s="1205"/>
      <c r="J263" s="1205"/>
      <c r="K263" s="1205"/>
      <c r="L263" s="1205"/>
      <c r="M263" s="1205"/>
      <c r="N263" s="1205"/>
      <c r="O263" s="1205"/>
      <c r="P263" s="1205"/>
      <c r="Q263" s="1205"/>
      <c r="R263" s="1205"/>
      <c r="S263" s="1205"/>
      <c r="T263" s="1205"/>
      <c r="U263" s="1205"/>
    </row>
    <row r="264" spans="1:21" s="1290" customFormat="1" ht="18" customHeight="1" thickBot="1" x14ac:dyDescent="0.3">
      <c r="B264" s="1205"/>
      <c r="C264" s="1193"/>
      <c r="D264" s="1193"/>
      <c r="E264" s="1193"/>
      <c r="F264" s="1205"/>
      <c r="G264" s="1239"/>
      <c r="H264" s="1205"/>
      <c r="I264" s="1205"/>
      <c r="J264" s="1205"/>
      <c r="K264" s="1205"/>
      <c r="L264" s="1205"/>
      <c r="M264" s="1205"/>
      <c r="N264" s="1205"/>
      <c r="O264" s="1205"/>
      <c r="P264" s="1205"/>
      <c r="Q264" s="1205"/>
      <c r="R264" s="1205"/>
      <c r="S264" s="1205"/>
      <c r="T264" s="1201" t="s">
        <v>528</v>
      </c>
      <c r="U264" s="1205"/>
    </row>
    <row r="265" spans="1:21" s="1290" customFormat="1" ht="18" customHeight="1" thickBot="1" x14ac:dyDescent="0.3">
      <c r="B265" s="1205"/>
      <c r="C265" s="1198" t="s">
        <v>1598</v>
      </c>
      <c r="D265" s="1603" t="s">
        <v>1599</v>
      </c>
      <c r="E265" s="1586"/>
      <c r="F265" s="1205"/>
      <c r="G265" s="1239"/>
      <c r="H265" s="1205"/>
      <c r="I265" s="1205"/>
      <c r="J265" s="1205"/>
      <c r="K265" s="1205"/>
      <c r="L265" s="1205"/>
      <c r="M265" s="1205"/>
      <c r="N265" s="1205"/>
      <c r="O265" s="1205"/>
      <c r="P265" s="1205"/>
      <c r="Q265" s="1205"/>
      <c r="R265" s="1205"/>
      <c r="S265" s="1205"/>
      <c r="T265" s="1233" t="str">
        <f>IF(Z20&lt;&gt;"","Yes","No")</f>
        <v>No</v>
      </c>
      <c r="U265" s="1205"/>
    </row>
    <row r="266" spans="1:21" s="1290" customFormat="1" ht="20.25" customHeight="1" thickBot="1" x14ac:dyDescent="0.3">
      <c r="B266" s="1205"/>
      <c r="C266" s="1205"/>
      <c r="D266" s="1205"/>
      <c r="E266" s="1205"/>
      <c r="F266" s="1205"/>
      <c r="G266" s="1239"/>
      <c r="H266" s="1205"/>
      <c r="I266" s="1205"/>
      <c r="J266" s="1205"/>
      <c r="K266" s="1205"/>
      <c r="L266" s="1205"/>
      <c r="M266" s="1205"/>
      <c r="N266" s="1205"/>
      <c r="O266" s="1205"/>
      <c r="P266" s="1205"/>
      <c r="Q266" s="1205"/>
      <c r="R266" s="1205"/>
      <c r="S266" s="1205"/>
      <c r="T266" s="1205"/>
      <c r="U266" s="1205"/>
    </row>
    <row r="267" spans="1:21" s="1290" customFormat="1" ht="20.25" customHeight="1" thickBot="1" x14ac:dyDescent="0.3">
      <c r="B267" s="1598" t="s">
        <v>1785</v>
      </c>
      <c r="C267" s="1599"/>
      <c r="D267" s="1599"/>
      <c r="E267" s="1599"/>
      <c r="F267" s="1599"/>
      <c r="G267" s="1599"/>
      <c r="H267" s="1599"/>
      <c r="I267" s="1599"/>
      <c r="J267" s="1599"/>
      <c r="K267" s="1599"/>
      <c r="L267" s="1599"/>
      <c r="M267" s="1599"/>
      <c r="N267" s="1599"/>
      <c r="O267" s="1599"/>
      <c r="P267" s="1599"/>
      <c r="Q267" s="1599"/>
      <c r="R267" s="1599"/>
      <c r="S267" s="1599"/>
      <c r="T267" s="1599"/>
      <c r="U267" s="1600"/>
    </row>
    <row r="268" spans="1:21" s="1290" customFormat="1" ht="20.25" customHeight="1" thickBot="1" x14ac:dyDescent="0.3">
      <c r="B268" s="1205"/>
      <c r="C268" s="1205"/>
      <c r="D268" s="1205"/>
      <c r="E268" s="1205"/>
      <c r="F268" s="1205"/>
      <c r="G268" s="1239"/>
      <c r="H268" s="1205"/>
      <c r="I268" s="1205"/>
      <c r="J268" s="1205"/>
      <c r="K268" s="1205"/>
      <c r="L268" s="1205"/>
      <c r="M268" s="1205"/>
      <c r="N268" s="1205"/>
      <c r="O268" s="1205"/>
      <c r="P268" s="1205"/>
      <c r="Q268" s="1205"/>
      <c r="R268" s="1205"/>
      <c r="S268" s="1205"/>
      <c r="T268" s="1205"/>
      <c r="U268" s="1205"/>
    </row>
    <row r="269" spans="1:21" s="1290" customFormat="1" ht="30" customHeight="1" thickBot="1" x14ac:dyDescent="0.3">
      <c r="A269" s="134"/>
      <c r="B269" s="1205"/>
      <c r="C269" s="1198" t="s">
        <v>1482</v>
      </c>
      <c r="D269" s="1601" t="s">
        <v>1641</v>
      </c>
      <c r="E269" s="1602"/>
      <c r="F269" s="1205"/>
      <c r="G269" s="1239"/>
      <c r="H269" s="1201" t="s">
        <v>1479</v>
      </c>
      <c r="I269" s="1205"/>
      <c r="J269" s="1201" t="s">
        <v>1480</v>
      </c>
      <c r="K269" s="1205"/>
      <c r="L269" s="1201" t="s">
        <v>1496</v>
      </c>
      <c r="M269" s="1205"/>
      <c r="N269" s="1201" t="s">
        <v>1481</v>
      </c>
      <c r="O269" s="1205"/>
      <c r="P269" s="1201" t="s">
        <v>1588</v>
      </c>
      <c r="Q269" s="1205"/>
      <c r="R269" s="1201" t="s">
        <v>1589</v>
      </c>
      <c r="S269" s="1205"/>
      <c r="T269" s="1201" t="s">
        <v>1590</v>
      </c>
      <c r="U269" s="1205"/>
    </row>
    <row r="270" spans="1:21" s="1290" customFormat="1" ht="18" customHeight="1" thickBot="1" x14ac:dyDescent="0.3">
      <c r="B270" s="1205"/>
      <c r="C270" s="1193"/>
      <c r="D270" s="1193"/>
      <c r="E270" s="1193"/>
      <c r="F270" s="1205"/>
      <c r="G270" s="1239"/>
      <c r="H270" s="1142"/>
      <c r="I270" s="1205"/>
      <c r="J270" s="1191"/>
      <c r="K270" s="1205"/>
      <c r="L270" s="1191"/>
      <c r="M270" s="1205"/>
      <c r="N270" s="1237"/>
      <c r="O270" s="1205"/>
      <c r="P270" s="1143" t="s">
        <v>1591</v>
      </c>
      <c r="Q270" s="1205"/>
      <c r="R270" s="1143" t="s">
        <v>1592</v>
      </c>
      <c r="S270" s="1205"/>
      <c r="T270" s="1187" t="s">
        <v>653</v>
      </c>
      <c r="U270" s="1205"/>
    </row>
    <row r="271" spans="1:21" s="1290" customFormat="1" ht="30" customHeight="1" thickBot="1" x14ac:dyDescent="0.3">
      <c r="B271" s="1205"/>
      <c r="C271" s="1198" t="s">
        <v>1593</v>
      </c>
      <c r="D271" s="1603">
        <v>1303</v>
      </c>
      <c r="E271" s="1604"/>
      <c r="F271" s="1205"/>
      <c r="G271" s="1239"/>
      <c r="H271" s="1205"/>
      <c r="I271" s="1205"/>
      <c r="J271" s="1205"/>
      <c r="K271" s="1205"/>
      <c r="L271" s="1205"/>
      <c r="M271" s="1205"/>
      <c r="N271" s="1205"/>
      <c r="O271" s="1205"/>
      <c r="P271" s="1205"/>
      <c r="Q271" s="1205"/>
      <c r="R271" s="1205"/>
      <c r="S271" s="1205"/>
      <c r="T271" s="1205"/>
      <c r="U271" s="1205"/>
    </row>
    <row r="272" spans="1:21" s="1290" customFormat="1" ht="30" customHeight="1" thickBot="1" x14ac:dyDescent="0.3">
      <c r="B272" s="1205"/>
      <c r="C272" s="1193"/>
      <c r="D272" s="1193"/>
      <c r="E272" s="1193"/>
      <c r="F272" s="1205"/>
      <c r="G272" s="1239"/>
      <c r="H272" s="1202" t="s">
        <v>1486</v>
      </c>
      <c r="I272" s="1205"/>
      <c r="J272" s="1201" t="s">
        <v>1487</v>
      </c>
      <c r="K272" s="1205"/>
      <c r="L272" s="1201" t="s">
        <v>1488</v>
      </c>
      <c r="M272" s="1205"/>
      <c r="N272" s="1201" t="s">
        <v>1603</v>
      </c>
      <c r="O272" s="1205"/>
      <c r="P272" s="1201" t="s">
        <v>1604</v>
      </c>
      <c r="Q272" s="1205"/>
      <c r="R272" s="1201" t="s">
        <v>1605</v>
      </c>
      <c r="S272" s="1205"/>
      <c r="T272" s="1205"/>
      <c r="U272" s="1205"/>
    </row>
    <row r="273" spans="1:21" s="1290" customFormat="1" ht="26.25" customHeight="1" thickBot="1" x14ac:dyDescent="0.3">
      <c r="B273" s="1205"/>
      <c r="C273" s="1198" t="s">
        <v>1484</v>
      </c>
      <c r="D273" s="1605" t="str">
        <f>AA21</f>
        <v/>
      </c>
      <c r="E273" s="1606"/>
      <c r="F273" s="1205"/>
      <c r="G273" s="1296" t="str">
        <f>IF(P276="Yes","Weekly Baseline","Baseline")</f>
        <v>Weekly Baseline</v>
      </c>
      <c r="H273" s="1166"/>
      <c r="I273" s="1205"/>
      <c r="J273" s="1195"/>
      <c r="K273" s="1205"/>
      <c r="L273" s="1166"/>
      <c r="M273" s="1205"/>
      <c r="N273" s="1233" t="s">
        <v>482</v>
      </c>
      <c r="O273" s="1205"/>
      <c r="P273" s="1233" t="s">
        <v>1606</v>
      </c>
      <c r="Q273" s="1205"/>
      <c r="R273" s="1233" t="s">
        <v>1707</v>
      </c>
      <c r="S273" s="1205"/>
      <c r="T273" s="1205"/>
      <c r="U273" s="1205"/>
    </row>
    <row r="274" spans="1:21" s="1290" customFormat="1" ht="18" customHeight="1" thickBot="1" x14ac:dyDescent="0.3">
      <c r="B274" s="1205"/>
      <c r="C274" s="1193"/>
      <c r="D274" s="1186"/>
      <c r="E274" s="1186"/>
      <c r="F274" s="1205"/>
      <c r="G274" s="1239"/>
      <c r="H274" s="1205"/>
      <c r="I274" s="1205"/>
      <c r="J274" s="1205"/>
      <c r="K274" s="1205"/>
      <c r="L274" s="1205"/>
      <c r="M274" s="1205"/>
      <c r="N274" s="1205"/>
      <c r="O274" s="1205"/>
      <c r="P274" s="1205"/>
      <c r="Q274" s="1205"/>
      <c r="R274" s="1205"/>
      <c r="S274" s="1205"/>
      <c r="T274" s="1205"/>
      <c r="U274" s="1205"/>
    </row>
    <row r="275" spans="1:21" s="1290" customFormat="1" ht="30" customHeight="1" thickBot="1" x14ac:dyDescent="0.3">
      <c r="B275" s="1205"/>
      <c r="C275" s="1198" t="s">
        <v>1485</v>
      </c>
      <c r="D275" s="1605" t="str">
        <f>AB21</f>
        <v/>
      </c>
      <c r="E275" s="1606"/>
      <c r="F275" s="1205"/>
      <c r="G275" s="1239"/>
      <c r="H275" s="1291" t="s">
        <v>1594</v>
      </c>
      <c r="I275" s="1205"/>
      <c r="J275" s="1201" t="s">
        <v>1608</v>
      </c>
      <c r="K275" s="1205"/>
      <c r="L275" s="1201" t="s">
        <v>1595</v>
      </c>
      <c r="M275" s="1205"/>
      <c r="N275" s="1201" t="s">
        <v>1609</v>
      </c>
      <c r="O275" s="1205"/>
      <c r="P275" s="1201" t="s">
        <v>1610</v>
      </c>
      <c r="Q275" s="1205"/>
      <c r="R275" s="1201" t="s">
        <v>1611</v>
      </c>
      <c r="S275" s="1205"/>
      <c r="T275" s="1283" t="s">
        <v>1701</v>
      </c>
      <c r="U275" s="1205"/>
    </row>
    <row r="276" spans="1:21" s="1290" customFormat="1" ht="18" customHeight="1" thickBot="1" x14ac:dyDescent="0.3">
      <c r="B276" s="1205"/>
      <c r="C276" s="1193"/>
      <c r="D276" s="1193"/>
      <c r="E276" s="1193"/>
      <c r="F276" s="1205"/>
      <c r="G276" s="1239"/>
      <c r="H276" s="1187" t="s">
        <v>651</v>
      </c>
      <c r="I276" s="1205"/>
      <c r="J276" s="1143" t="s">
        <v>1596</v>
      </c>
      <c r="K276" s="1205"/>
      <c r="L276" s="1233" t="s">
        <v>1596</v>
      </c>
      <c r="M276" s="1205"/>
      <c r="N276" s="1233" t="s">
        <v>651</v>
      </c>
      <c r="O276" s="1205"/>
      <c r="P276" s="1187" t="s">
        <v>651</v>
      </c>
      <c r="Q276" s="1205"/>
      <c r="R276" s="1233" t="s">
        <v>1612</v>
      </c>
      <c r="S276" s="1205"/>
      <c r="T276" s="1284" t="s">
        <v>653</v>
      </c>
      <c r="U276" s="1205"/>
    </row>
    <row r="277" spans="1:21" s="1290" customFormat="1" ht="30" customHeight="1" thickBot="1" x14ac:dyDescent="0.3">
      <c r="B277" s="1205"/>
      <c r="C277" s="1199" t="s">
        <v>1597</v>
      </c>
      <c r="D277" s="1593" t="s">
        <v>651</v>
      </c>
      <c r="E277" s="1594"/>
      <c r="F277" s="1205"/>
      <c r="G277" s="1239"/>
      <c r="H277" s="1205"/>
      <c r="I277" s="1205"/>
      <c r="J277" s="1205"/>
      <c r="K277" s="1205"/>
      <c r="L277" s="1205"/>
      <c r="M277" s="1205"/>
      <c r="N277" s="1205"/>
      <c r="O277" s="1205"/>
      <c r="P277" s="1205"/>
      <c r="Q277" s="1205"/>
      <c r="R277" s="1205"/>
      <c r="S277" s="1205"/>
      <c r="T277" s="1205"/>
      <c r="U277" s="1205"/>
    </row>
    <row r="278" spans="1:21" s="1290" customFormat="1" ht="18" customHeight="1" thickBot="1" x14ac:dyDescent="0.3">
      <c r="B278" s="1205"/>
      <c r="C278" s="1193"/>
      <c r="D278" s="1193"/>
      <c r="E278" s="1193"/>
      <c r="F278" s="1205"/>
      <c r="G278" s="1239"/>
      <c r="H278" s="1205"/>
      <c r="I278" s="1205"/>
      <c r="J278" s="1205"/>
      <c r="K278" s="1205"/>
      <c r="L278" s="1205"/>
      <c r="M278" s="1205"/>
      <c r="N278" s="1205"/>
      <c r="O278" s="1205"/>
      <c r="P278" s="1205"/>
      <c r="Q278" s="1205"/>
      <c r="R278" s="1205"/>
      <c r="S278" s="1205"/>
      <c r="T278" s="1201" t="s">
        <v>528</v>
      </c>
      <c r="U278" s="1205"/>
    </row>
    <row r="279" spans="1:21" s="1290" customFormat="1" ht="18" customHeight="1" thickBot="1" x14ac:dyDescent="0.3">
      <c r="B279" s="1205"/>
      <c r="C279" s="1198" t="s">
        <v>1598</v>
      </c>
      <c r="D279" s="1603" t="s">
        <v>1599</v>
      </c>
      <c r="E279" s="1586"/>
      <c r="F279" s="1205"/>
      <c r="G279" s="1239"/>
      <c r="H279" s="1205"/>
      <c r="I279" s="1205"/>
      <c r="J279" s="1205"/>
      <c r="K279" s="1205"/>
      <c r="L279" s="1205"/>
      <c r="M279" s="1205"/>
      <c r="N279" s="1205"/>
      <c r="O279" s="1205"/>
      <c r="P279" s="1205"/>
      <c r="Q279" s="1205"/>
      <c r="R279" s="1205"/>
      <c r="S279" s="1205"/>
      <c r="T279" s="1233" t="str">
        <f>IF(Z21&lt;&gt;"","Yes","No")</f>
        <v>No</v>
      </c>
      <c r="U279" s="1205"/>
    </row>
    <row r="280" spans="1:21" s="1290" customFormat="1" ht="20.25" customHeight="1" thickBot="1" x14ac:dyDescent="0.3">
      <c r="B280" s="1205"/>
      <c r="C280" s="1205"/>
      <c r="D280" s="1205"/>
      <c r="E280" s="1205"/>
      <c r="F280" s="1205"/>
      <c r="G280" s="1239"/>
      <c r="H280" s="1205"/>
      <c r="I280" s="1205"/>
      <c r="J280" s="1205"/>
      <c r="K280" s="1205"/>
      <c r="L280" s="1205"/>
      <c r="M280" s="1205"/>
      <c r="N280" s="1205"/>
      <c r="O280" s="1205"/>
      <c r="P280" s="1205"/>
      <c r="Q280" s="1205"/>
      <c r="R280" s="1205"/>
      <c r="S280" s="1205"/>
      <c r="T280" s="1205"/>
      <c r="U280" s="1205"/>
    </row>
    <row r="281" spans="1:21" s="1290" customFormat="1" ht="20.25" customHeight="1" thickBot="1" x14ac:dyDescent="0.3">
      <c r="B281" s="1598" t="s">
        <v>1786</v>
      </c>
      <c r="C281" s="1599"/>
      <c r="D281" s="1599"/>
      <c r="E281" s="1599"/>
      <c r="F281" s="1599"/>
      <c r="G281" s="1599"/>
      <c r="H281" s="1599"/>
      <c r="I281" s="1599"/>
      <c r="J281" s="1599"/>
      <c r="K281" s="1599"/>
      <c r="L281" s="1599"/>
      <c r="M281" s="1599"/>
      <c r="N281" s="1599"/>
      <c r="O281" s="1599"/>
      <c r="P281" s="1599"/>
      <c r="Q281" s="1599"/>
      <c r="R281" s="1599"/>
      <c r="S281" s="1599"/>
      <c r="T281" s="1599"/>
      <c r="U281" s="1600"/>
    </row>
    <row r="282" spans="1:21" s="1290" customFormat="1" ht="20.25" customHeight="1" thickBot="1" x14ac:dyDescent="0.3">
      <c r="B282" s="1205"/>
      <c r="C282" s="1205"/>
      <c r="D282" s="1205"/>
      <c r="E282" s="1205"/>
      <c r="F282" s="1205"/>
      <c r="G282" s="1239"/>
      <c r="H282" s="1205"/>
      <c r="I282" s="1205"/>
      <c r="J282" s="1205"/>
      <c r="K282" s="1205"/>
      <c r="L282" s="1205"/>
      <c r="M282" s="1205"/>
      <c r="N282" s="1205"/>
      <c r="O282" s="1205"/>
      <c r="P282" s="1205"/>
      <c r="Q282" s="1205"/>
      <c r="R282" s="1205"/>
      <c r="S282" s="1205"/>
      <c r="T282" s="1205"/>
      <c r="U282" s="1205"/>
    </row>
    <row r="283" spans="1:21" s="1290" customFormat="1" ht="30" customHeight="1" thickBot="1" x14ac:dyDescent="0.3">
      <c r="A283" s="134"/>
      <c r="B283" s="1205"/>
      <c r="C283" s="1198" t="s">
        <v>1482</v>
      </c>
      <c r="D283" s="1601" t="s">
        <v>1641</v>
      </c>
      <c r="E283" s="1602"/>
      <c r="F283" s="1205"/>
      <c r="G283" s="1239"/>
      <c r="H283" s="1201" t="s">
        <v>1479</v>
      </c>
      <c r="I283" s="1205"/>
      <c r="J283" s="1201" t="s">
        <v>1480</v>
      </c>
      <c r="K283" s="1205"/>
      <c r="L283" s="1201" t="s">
        <v>1496</v>
      </c>
      <c r="M283" s="1205"/>
      <c r="N283" s="1201" t="s">
        <v>1481</v>
      </c>
      <c r="O283" s="1205"/>
      <c r="P283" s="1201" t="s">
        <v>1588</v>
      </c>
      <c r="Q283" s="1205"/>
      <c r="R283" s="1201" t="s">
        <v>1589</v>
      </c>
      <c r="S283" s="1205"/>
      <c r="T283" s="1201" t="s">
        <v>1590</v>
      </c>
      <c r="U283" s="1205"/>
    </row>
    <row r="284" spans="1:21" s="1290" customFormat="1" ht="18" customHeight="1" thickBot="1" x14ac:dyDescent="0.3">
      <c r="B284" s="1205"/>
      <c r="C284" s="1193"/>
      <c r="D284" s="1193"/>
      <c r="E284" s="1193"/>
      <c r="F284" s="1205"/>
      <c r="G284" s="1239"/>
      <c r="H284" s="1142"/>
      <c r="I284" s="1205"/>
      <c r="J284" s="1191"/>
      <c r="K284" s="1205"/>
      <c r="L284" s="1191"/>
      <c r="M284" s="1205"/>
      <c r="N284" s="1237"/>
      <c r="O284" s="1205"/>
      <c r="P284" s="1143" t="s">
        <v>1591</v>
      </c>
      <c r="Q284" s="1205"/>
      <c r="R284" s="1143" t="s">
        <v>1592</v>
      </c>
      <c r="S284" s="1205"/>
      <c r="T284" s="1187" t="s">
        <v>653</v>
      </c>
      <c r="U284" s="1205"/>
    </row>
    <row r="285" spans="1:21" s="1290" customFormat="1" ht="30" customHeight="1" thickBot="1" x14ac:dyDescent="0.3">
      <c r="B285" s="1205"/>
      <c r="C285" s="1198" t="s">
        <v>1593</v>
      </c>
      <c r="D285" s="1603">
        <v>1304</v>
      </c>
      <c r="E285" s="1604"/>
      <c r="F285" s="1205"/>
      <c r="G285" s="1239"/>
      <c r="H285" s="1205"/>
      <c r="I285" s="1205"/>
      <c r="J285" s="1205"/>
      <c r="K285" s="1205"/>
      <c r="L285" s="1205"/>
      <c r="M285" s="1205"/>
      <c r="N285" s="1205"/>
      <c r="O285" s="1205"/>
      <c r="P285" s="1205"/>
      <c r="Q285" s="1205"/>
      <c r="R285" s="1205"/>
      <c r="S285" s="1205"/>
      <c r="T285" s="1205"/>
      <c r="U285" s="1205"/>
    </row>
    <row r="286" spans="1:21" s="1290" customFormat="1" ht="30" customHeight="1" thickBot="1" x14ac:dyDescent="0.3">
      <c r="B286" s="1205"/>
      <c r="C286" s="1193"/>
      <c r="D286" s="1193"/>
      <c r="E286" s="1193"/>
      <c r="F286" s="1205"/>
      <c r="G286" s="1239"/>
      <c r="H286" s="1202" t="s">
        <v>1486</v>
      </c>
      <c r="I286" s="1205"/>
      <c r="J286" s="1201" t="s">
        <v>1487</v>
      </c>
      <c r="K286" s="1205"/>
      <c r="L286" s="1201" t="s">
        <v>1488</v>
      </c>
      <c r="M286" s="1205"/>
      <c r="N286" s="1201" t="s">
        <v>1603</v>
      </c>
      <c r="O286" s="1205"/>
      <c r="P286" s="1201" t="s">
        <v>1604</v>
      </c>
      <c r="Q286" s="1205"/>
      <c r="R286" s="1201" t="s">
        <v>1605</v>
      </c>
      <c r="S286" s="1205"/>
      <c r="T286" s="1205"/>
      <c r="U286" s="1205"/>
    </row>
    <row r="287" spans="1:21" s="1290" customFormat="1" ht="26.25" customHeight="1" thickBot="1" x14ac:dyDescent="0.3">
      <c r="B287" s="1205"/>
      <c r="C287" s="1198" t="s">
        <v>1484</v>
      </c>
      <c r="D287" s="1605" t="str">
        <f>AA22</f>
        <v/>
      </c>
      <c r="E287" s="1606"/>
      <c r="F287" s="1205"/>
      <c r="G287" s="1296" t="str">
        <f>IF(P290="Yes","Weekly Baseline","Baseline")</f>
        <v>Weekly Baseline</v>
      </c>
      <c r="H287" s="1166"/>
      <c r="I287" s="1205"/>
      <c r="J287" s="1195"/>
      <c r="K287" s="1205"/>
      <c r="L287" s="1166"/>
      <c r="M287" s="1205"/>
      <c r="N287" s="1233" t="s">
        <v>482</v>
      </c>
      <c r="O287" s="1205"/>
      <c r="P287" s="1233" t="s">
        <v>1606</v>
      </c>
      <c r="Q287" s="1205"/>
      <c r="R287" s="1233" t="s">
        <v>1707</v>
      </c>
      <c r="S287" s="1205"/>
      <c r="T287" s="1205"/>
      <c r="U287" s="1205"/>
    </row>
    <row r="288" spans="1:21" s="1290" customFormat="1" ht="18" customHeight="1" thickBot="1" x14ac:dyDescent="0.3">
      <c r="B288" s="1205"/>
      <c r="C288" s="1193"/>
      <c r="D288" s="1186"/>
      <c r="E288" s="1186"/>
      <c r="F288" s="1205"/>
      <c r="G288" s="1239"/>
      <c r="H288" s="1205"/>
      <c r="I288" s="1205"/>
      <c r="J288" s="1205"/>
      <c r="K288" s="1205"/>
      <c r="L288" s="1205"/>
      <c r="M288" s="1205"/>
      <c r="N288" s="1205"/>
      <c r="O288" s="1205"/>
      <c r="P288" s="1205"/>
      <c r="Q288" s="1205"/>
      <c r="R288" s="1205"/>
      <c r="S288" s="1205"/>
      <c r="T288" s="1205"/>
      <c r="U288" s="1205"/>
    </row>
    <row r="289" spans="1:21" s="1290" customFormat="1" ht="30" customHeight="1" thickBot="1" x14ac:dyDescent="0.3">
      <c r="B289" s="1205"/>
      <c r="C289" s="1198" t="s">
        <v>1485</v>
      </c>
      <c r="D289" s="1605" t="str">
        <f>AB22</f>
        <v/>
      </c>
      <c r="E289" s="1606"/>
      <c r="F289" s="1205"/>
      <c r="G289" s="1239"/>
      <c r="H289" s="1291" t="s">
        <v>1594</v>
      </c>
      <c r="I289" s="1205"/>
      <c r="J289" s="1201" t="s">
        <v>1608</v>
      </c>
      <c r="K289" s="1205"/>
      <c r="L289" s="1201" t="s">
        <v>1595</v>
      </c>
      <c r="M289" s="1205"/>
      <c r="N289" s="1201" t="s">
        <v>1609</v>
      </c>
      <c r="O289" s="1205"/>
      <c r="P289" s="1201" t="s">
        <v>1610</v>
      </c>
      <c r="Q289" s="1205"/>
      <c r="R289" s="1201" t="s">
        <v>1611</v>
      </c>
      <c r="S289" s="1205"/>
      <c r="T289" s="1283" t="s">
        <v>1701</v>
      </c>
      <c r="U289" s="1205"/>
    </row>
    <row r="290" spans="1:21" s="1290" customFormat="1" ht="18" customHeight="1" thickBot="1" x14ac:dyDescent="0.3">
      <c r="B290" s="1205"/>
      <c r="C290" s="1193"/>
      <c r="D290" s="1193"/>
      <c r="E290" s="1193"/>
      <c r="F290" s="1205"/>
      <c r="G290" s="1239"/>
      <c r="H290" s="1187" t="s">
        <v>651</v>
      </c>
      <c r="I290" s="1205"/>
      <c r="J290" s="1143" t="s">
        <v>1596</v>
      </c>
      <c r="K290" s="1205"/>
      <c r="L290" s="1233" t="s">
        <v>1596</v>
      </c>
      <c r="M290" s="1205"/>
      <c r="N290" s="1233" t="s">
        <v>651</v>
      </c>
      <c r="O290" s="1205"/>
      <c r="P290" s="1187" t="s">
        <v>651</v>
      </c>
      <c r="Q290" s="1205"/>
      <c r="R290" s="1233" t="s">
        <v>1612</v>
      </c>
      <c r="S290" s="1205"/>
      <c r="T290" s="1284" t="s">
        <v>653</v>
      </c>
      <c r="U290" s="1205"/>
    </row>
    <row r="291" spans="1:21" s="1290" customFormat="1" ht="30" customHeight="1" thickBot="1" x14ac:dyDescent="0.3">
      <c r="B291" s="1205"/>
      <c r="C291" s="1199" t="s">
        <v>1597</v>
      </c>
      <c r="D291" s="1593" t="s">
        <v>651</v>
      </c>
      <c r="E291" s="1594"/>
      <c r="F291" s="1205"/>
      <c r="G291" s="1239"/>
      <c r="H291" s="1205"/>
      <c r="I291" s="1205"/>
      <c r="J291" s="1205"/>
      <c r="K291" s="1205"/>
      <c r="L291" s="1205"/>
      <c r="M291" s="1205"/>
      <c r="N291" s="1205"/>
      <c r="O291" s="1205"/>
      <c r="P291" s="1205"/>
      <c r="Q291" s="1205"/>
      <c r="R291" s="1205"/>
      <c r="S291" s="1205"/>
      <c r="T291" s="1205"/>
      <c r="U291" s="1205"/>
    </row>
    <row r="292" spans="1:21" s="1290" customFormat="1" ht="18" customHeight="1" thickBot="1" x14ac:dyDescent="0.3">
      <c r="B292" s="1205"/>
      <c r="C292" s="1193"/>
      <c r="D292" s="1193"/>
      <c r="E292" s="1193"/>
      <c r="F292" s="1205"/>
      <c r="G292" s="1239"/>
      <c r="H292" s="1205"/>
      <c r="I292" s="1205"/>
      <c r="J292" s="1205"/>
      <c r="K292" s="1205"/>
      <c r="L292" s="1205"/>
      <c r="M292" s="1205"/>
      <c r="N292" s="1205"/>
      <c r="O292" s="1205"/>
      <c r="P292" s="1205"/>
      <c r="Q292" s="1205"/>
      <c r="R292" s="1205"/>
      <c r="S292" s="1205"/>
      <c r="T292" s="1201" t="s">
        <v>528</v>
      </c>
      <c r="U292" s="1205"/>
    </row>
    <row r="293" spans="1:21" s="1290" customFormat="1" ht="18" customHeight="1" thickBot="1" x14ac:dyDescent="0.3">
      <c r="B293" s="1205"/>
      <c r="C293" s="1198" t="s">
        <v>1598</v>
      </c>
      <c r="D293" s="1603" t="s">
        <v>1599</v>
      </c>
      <c r="E293" s="1586"/>
      <c r="F293" s="1205"/>
      <c r="G293" s="1239"/>
      <c r="H293" s="1205"/>
      <c r="I293" s="1205"/>
      <c r="J293" s="1205"/>
      <c r="K293" s="1205"/>
      <c r="L293" s="1205"/>
      <c r="M293" s="1205"/>
      <c r="N293" s="1205"/>
      <c r="O293" s="1205"/>
      <c r="P293" s="1205"/>
      <c r="Q293" s="1205"/>
      <c r="R293" s="1205"/>
      <c r="S293" s="1205"/>
      <c r="T293" s="1233" t="str">
        <f>IF(Z22&lt;&gt;"","Yes","No")</f>
        <v>No</v>
      </c>
      <c r="U293" s="1205"/>
    </row>
    <row r="294" spans="1:21" s="1290" customFormat="1" ht="20.25" customHeight="1" thickBot="1" x14ac:dyDescent="0.3">
      <c r="B294" s="1205"/>
      <c r="C294" s="1205"/>
      <c r="D294" s="1205"/>
      <c r="E294" s="1205"/>
      <c r="F294" s="1205"/>
      <c r="G294" s="1239"/>
      <c r="H294" s="1205"/>
      <c r="I294" s="1205"/>
      <c r="J294" s="1205"/>
      <c r="K294" s="1205"/>
      <c r="L294" s="1205"/>
      <c r="M294" s="1205"/>
      <c r="N294" s="1205"/>
      <c r="O294" s="1205"/>
      <c r="P294" s="1205"/>
      <c r="Q294" s="1205"/>
      <c r="R294" s="1205"/>
      <c r="S294" s="1205"/>
      <c r="T294" s="1205"/>
      <c r="U294" s="1205"/>
    </row>
    <row r="295" spans="1:21" s="1290" customFormat="1" ht="20.25" customHeight="1" thickBot="1" x14ac:dyDescent="0.3">
      <c r="B295" s="1598" t="s">
        <v>1787</v>
      </c>
      <c r="C295" s="1599"/>
      <c r="D295" s="1599"/>
      <c r="E295" s="1599"/>
      <c r="F295" s="1599"/>
      <c r="G295" s="1599"/>
      <c r="H295" s="1599"/>
      <c r="I295" s="1599"/>
      <c r="J295" s="1599"/>
      <c r="K295" s="1599"/>
      <c r="L295" s="1599"/>
      <c r="M295" s="1599"/>
      <c r="N295" s="1599"/>
      <c r="O295" s="1599"/>
      <c r="P295" s="1599"/>
      <c r="Q295" s="1599"/>
      <c r="R295" s="1599"/>
      <c r="S295" s="1599"/>
      <c r="T295" s="1599"/>
      <c r="U295" s="1600"/>
    </row>
    <row r="296" spans="1:21" s="1290" customFormat="1" ht="20.25" customHeight="1" thickBot="1" x14ac:dyDescent="0.3">
      <c r="B296" s="1205"/>
      <c r="C296" s="1205"/>
      <c r="D296" s="1205"/>
      <c r="E296" s="1205"/>
      <c r="F296" s="1205"/>
      <c r="G296" s="1239"/>
      <c r="H296" s="1205"/>
      <c r="I296" s="1205"/>
      <c r="J296" s="1205"/>
      <c r="K296" s="1205"/>
      <c r="L296" s="1205"/>
      <c r="M296" s="1205"/>
      <c r="N296" s="1205"/>
      <c r="O296" s="1205"/>
      <c r="P296" s="1205"/>
      <c r="Q296" s="1205"/>
      <c r="R296" s="1205"/>
      <c r="S296" s="1205"/>
      <c r="T296" s="1205"/>
      <c r="U296" s="1205"/>
    </row>
    <row r="297" spans="1:21" s="1290" customFormat="1" ht="30" customHeight="1" thickBot="1" x14ac:dyDescent="0.3">
      <c r="A297" s="134"/>
      <c r="B297" s="1205"/>
      <c r="C297" s="1198" t="s">
        <v>1482</v>
      </c>
      <c r="D297" s="1601" t="s">
        <v>1641</v>
      </c>
      <c r="E297" s="1602"/>
      <c r="F297" s="1205"/>
      <c r="G297" s="1239"/>
      <c r="H297" s="1201" t="s">
        <v>1479</v>
      </c>
      <c r="I297" s="1205"/>
      <c r="J297" s="1201" t="s">
        <v>1480</v>
      </c>
      <c r="K297" s="1205"/>
      <c r="L297" s="1201" t="s">
        <v>1496</v>
      </c>
      <c r="M297" s="1205"/>
      <c r="N297" s="1201" t="s">
        <v>1481</v>
      </c>
      <c r="O297" s="1205"/>
      <c r="P297" s="1201" t="s">
        <v>1588</v>
      </c>
      <c r="Q297" s="1205"/>
      <c r="R297" s="1201" t="s">
        <v>1589</v>
      </c>
      <c r="S297" s="1205"/>
      <c r="T297" s="1201" t="s">
        <v>1590</v>
      </c>
      <c r="U297" s="1205"/>
    </row>
    <row r="298" spans="1:21" s="1290" customFormat="1" ht="18" customHeight="1" thickBot="1" x14ac:dyDescent="0.3">
      <c r="B298" s="1205"/>
      <c r="C298" s="1193"/>
      <c r="D298" s="1193"/>
      <c r="E298" s="1193"/>
      <c r="F298" s="1205"/>
      <c r="G298" s="1239"/>
      <c r="H298" s="1142"/>
      <c r="I298" s="1205"/>
      <c r="J298" s="1191"/>
      <c r="K298" s="1205"/>
      <c r="L298" s="1191"/>
      <c r="M298" s="1205"/>
      <c r="N298" s="1237"/>
      <c r="O298" s="1205"/>
      <c r="P298" s="1143" t="s">
        <v>1591</v>
      </c>
      <c r="Q298" s="1205"/>
      <c r="R298" s="1143" t="s">
        <v>1592</v>
      </c>
      <c r="S298" s="1205"/>
      <c r="T298" s="1187" t="s">
        <v>653</v>
      </c>
      <c r="U298" s="1205"/>
    </row>
    <row r="299" spans="1:21" s="1290" customFormat="1" ht="30" customHeight="1" thickBot="1" x14ac:dyDescent="0.3">
      <c r="B299" s="1205"/>
      <c r="C299" s="1198" t="s">
        <v>1593</v>
      </c>
      <c r="D299" s="1603">
        <v>1305</v>
      </c>
      <c r="E299" s="1604"/>
      <c r="F299" s="1205"/>
      <c r="G299" s="1239"/>
      <c r="H299" s="1205"/>
      <c r="I299" s="1205"/>
      <c r="J299" s="1205"/>
      <c r="K299" s="1205"/>
      <c r="L299" s="1205"/>
      <c r="M299" s="1205"/>
      <c r="N299" s="1205"/>
      <c r="O299" s="1205"/>
      <c r="P299" s="1205"/>
      <c r="Q299" s="1205"/>
      <c r="R299" s="1205"/>
      <c r="S299" s="1205"/>
      <c r="T299" s="1205"/>
      <c r="U299" s="1205"/>
    </row>
    <row r="300" spans="1:21" s="1290" customFormat="1" ht="30" customHeight="1" thickBot="1" x14ac:dyDescent="0.3">
      <c r="B300" s="1205"/>
      <c r="C300" s="1193"/>
      <c r="D300" s="1193"/>
      <c r="E300" s="1193"/>
      <c r="F300" s="1205"/>
      <c r="G300" s="1239"/>
      <c r="H300" s="1202" t="s">
        <v>1486</v>
      </c>
      <c r="I300" s="1205"/>
      <c r="J300" s="1201" t="s">
        <v>1487</v>
      </c>
      <c r="K300" s="1205"/>
      <c r="L300" s="1201" t="s">
        <v>1488</v>
      </c>
      <c r="M300" s="1205"/>
      <c r="N300" s="1201" t="s">
        <v>1603</v>
      </c>
      <c r="O300" s="1205"/>
      <c r="P300" s="1201" t="s">
        <v>1604</v>
      </c>
      <c r="Q300" s="1205"/>
      <c r="R300" s="1201" t="s">
        <v>1605</v>
      </c>
      <c r="S300" s="1205"/>
      <c r="T300" s="1205"/>
      <c r="U300" s="1205"/>
    </row>
    <row r="301" spans="1:21" s="1290" customFormat="1" ht="29.25" customHeight="1" thickBot="1" x14ac:dyDescent="0.3">
      <c r="B301" s="1205"/>
      <c r="C301" s="1198" t="s">
        <v>1484</v>
      </c>
      <c r="D301" s="1605" t="str">
        <f>AA23</f>
        <v/>
      </c>
      <c r="E301" s="1606"/>
      <c r="F301" s="1205"/>
      <c r="G301" s="1296" t="str">
        <f>IF(P304="Yes","Weekly Baseline","Baseline")</f>
        <v>Weekly Baseline</v>
      </c>
      <c r="H301" s="1166"/>
      <c r="I301" s="1205"/>
      <c r="J301" s="1195"/>
      <c r="K301" s="1205"/>
      <c r="L301" s="1166"/>
      <c r="M301" s="1205"/>
      <c r="N301" s="1233" t="s">
        <v>482</v>
      </c>
      <c r="O301" s="1205"/>
      <c r="P301" s="1233" t="s">
        <v>1606</v>
      </c>
      <c r="Q301" s="1205"/>
      <c r="R301" s="1233" t="s">
        <v>1707</v>
      </c>
      <c r="S301" s="1205"/>
      <c r="T301" s="1205"/>
      <c r="U301" s="1205"/>
    </row>
    <row r="302" spans="1:21" s="1290" customFormat="1" ht="18" customHeight="1" thickBot="1" x14ac:dyDescent="0.3">
      <c r="B302" s="1205"/>
      <c r="C302" s="1193"/>
      <c r="D302" s="1186"/>
      <c r="E302" s="1186"/>
      <c r="F302" s="1205"/>
      <c r="G302" s="1239"/>
      <c r="H302" s="1205"/>
      <c r="I302" s="1205"/>
      <c r="J302" s="1205"/>
      <c r="K302" s="1205"/>
      <c r="L302" s="1205"/>
      <c r="M302" s="1205"/>
      <c r="N302" s="1205"/>
      <c r="O302" s="1205"/>
      <c r="P302" s="1205"/>
      <c r="Q302" s="1205"/>
      <c r="R302" s="1205"/>
      <c r="S302" s="1205"/>
      <c r="T302" s="1205"/>
      <c r="U302" s="1205"/>
    </row>
    <row r="303" spans="1:21" s="1290" customFormat="1" ht="30" customHeight="1" thickBot="1" x14ac:dyDescent="0.3">
      <c r="B303" s="1205"/>
      <c r="C303" s="1198" t="s">
        <v>1485</v>
      </c>
      <c r="D303" s="1605" t="str">
        <f>AB23</f>
        <v/>
      </c>
      <c r="E303" s="1606"/>
      <c r="F303" s="1205"/>
      <c r="G303" s="1239"/>
      <c r="H303" s="1291" t="s">
        <v>1594</v>
      </c>
      <c r="I303" s="1205"/>
      <c r="J303" s="1201" t="s">
        <v>1608</v>
      </c>
      <c r="K303" s="1205"/>
      <c r="L303" s="1201" t="s">
        <v>1595</v>
      </c>
      <c r="M303" s="1205"/>
      <c r="N303" s="1201" t="s">
        <v>1609</v>
      </c>
      <c r="O303" s="1205"/>
      <c r="P303" s="1201" t="s">
        <v>1610</v>
      </c>
      <c r="Q303" s="1205"/>
      <c r="R303" s="1201" t="s">
        <v>1611</v>
      </c>
      <c r="S303" s="1205"/>
      <c r="T303" s="1283" t="s">
        <v>1701</v>
      </c>
      <c r="U303" s="1205"/>
    </row>
    <row r="304" spans="1:21" s="1290" customFormat="1" ht="18" customHeight="1" thickBot="1" x14ac:dyDescent="0.3">
      <c r="B304" s="1205"/>
      <c r="C304" s="1193"/>
      <c r="D304" s="1193"/>
      <c r="E304" s="1193"/>
      <c r="F304" s="1205"/>
      <c r="G304" s="1239"/>
      <c r="H304" s="1187" t="s">
        <v>651</v>
      </c>
      <c r="I304" s="1205"/>
      <c r="J304" s="1143" t="s">
        <v>1596</v>
      </c>
      <c r="K304" s="1205"/>
      <c r="L304" s="1233" t="s">
        <v>1596</v>
      </c>
      <c r="M304" s="1205"/>
      <c r="N304" s="1233" t="s">
        <v>651</v>
      </c>
      <c r="O304" s="1205"/>
      <c r="P304" s="1187" t="s">
        <v>651</v>
      </c>
      <c r="Q304" s="1205"/>
      <c r="R304" s="1233" t="s">
        <v>1612</v>
      </c>
      <c r="S304" s="1205"/>
      <c r="T304" s="1284" t="s">
        <v>653</v>
      </c>
      <c r="U304" s="1205"/>
    </row>
    <row r="305" spans="1:21" s="1290" customFormat="1" ht="30" customHeight="1" thickBot="1" x14ac:dyDescent="0.3">
      <c r="B305" s="1205"/>
      <c r="C305" s="1199" t="s">
        <v>1597</v>
      </c>
      <c r="D305" s="1593" t="s">
        <v>651</v>
      </c>
      <c r="E305" s="1594"/>
      <c r="F305" s="1205"/>
      <c r="G305" s="1239"/>
      <c r="H305" s="1205"/>
      <c r="I305" s="1205"/>
      <c r="J305" s="1205"/>
      <c r="K305" s="1205"/>
      <c r="L305" s="1205"/>
      <c r="M305" s="1205"/>
      <c r="N305" s="1205"/>
      <c r="O305" s="1205"/>
      <c r="P305" s="1205"/>
      <c r="Q305" s="1205"/>
      <c r="R305" s="1205"/>
      <c r="S305" s="1205"/>
      <c r="T305" s="1205"/>
      <c r="U305" s="1205"/>
    </row>
    <row r="306" spans="1:21" s="1290" customFormat="1" ht="18" customHeight="1" thickBot="1" x14ac:dyDescent="0.3">
      <c r="B306" s="1205"/>
      <c r="C306" s="1193"/>
      <c r="D306" s="1193"/>
      <c r="E306" s="1193"/>
      <c r="F306" s="1205"/>
      <c r="G306" s="1239"/>
      <c r="H306" s="1205"/>
      <c r="I306" s="1205"/>
      <c r="J306" s="1205"/>
      <c r="K306" s="1205"/>
      <c r="L306" s="1205"/>
      <c r="M306" s="1205"/>
      <c r="N306" s="1205"/>
      <c r="O306" s="1205"/>
      <c r="P306" s="1205"/>
      <c r="Q306" s="1205"/>
      <c r="R306" s="1205"/>
      <c r="S306" s="1205"/>
      <c r="T306" s="1201" t="s">
        <v>528</v>
      </c>
      <c r="U306" s="1205"/>
    </row>
    <row r="307" spans="1:21" s="1290" customFormat="1" ht="18" customHeight="1" thickBot="1" x14ac:dyDescent="0.3">
      <c r="B307" s="1205"/>
      <c r="C307" s="1198" t="s">
        <v>1598</v>
      </c>
      <c r="D307" s="1603" t="s">
        <v>1599</v>
      </c>
      <c r="E307" s="1586"/>
      <c r="F307" s="1205"/>
      <c r="G307" s="1239"/>
      <c r="H307" s="1205"/>
      <c r="I307" s="1205"/>
      <c r="J307" s="1205"/>
      <c r="K307" s="1205"/>
      <c r="L307" s="1205"/>
      <c r="M307" s="1205"/>
      <c r="N307" s="1205"/>
      <c r="O307" s="1205"/>
      <c r="P307" s="1205"/>
      <c r="Q307" s="1205"/>
      <c r="R307" s="1205"/>
      <c r="S307" s="1205"/>
      <c r="T307" s="1233" t="str">
        <f>IF(Z23&lt;&gt;"","Yes","No")</f>
        <v>No</v>
      </c>
      <c r="U307" s="1205"/>
    </row>
    <row r="308" spans="1:21" s="1290" customFormat="1" ht="20.25" customHeight="1" thickBot="1" x14ac:dyDescent="0.3">
      <c r="B308" s="1205"/>
      <c r="C308" s="1205"/>
      <c r="D308" s="1205"/>
      <c r="E308" s="1205"/>
      <c r="F308" s="1205"/>
      <c r="G308" s="1239"/>
      <c r="H308" s="1205"/>
      <c r="I308" s="1205"/>
      <c r="J308" s="1205"/>
      <c r="K308" s="1205"/>
      <c r="L308" s="1205"/>
      <c r="M308" s="1205"/>
      <c r="N308" s="1205"/>
      <c r="O308" s="1205"/>
      <c r="P308" s="1205"/>
      <c r="Q308" s="1205"/>
      <c r="R308" s="1205"/>
      <c r="S308" s="1205"/>
      <c r="T308" s="1205"/>
      <c r="U308" s="1205"/>
    </row>
    <row r="309" spans="1:21" ht="20.25" customHeight="1" thickBot="1" x14ac:dyDescent="0.3">
      <c r="A309" s="1245"/>
      <c r="B309" s="1607" t="s">
        <v>1644</v>
      </c>
      <c r="C309" s="1585"/>
      <c r="D309" s="1585"/>
      <c r="E309" s="1585"/>
      <c r="F309" s="1585"/>
      <c r="G309" s="1585"/>
      <c r="H309" s="1585"/>
      <c r="I309" s="1585"/>
      <c r="J309" s="1585"/>
      <c r="K309" s="1585"/>
      <c r="L309" s="1585"/>
      <c r="M309" s="1585"/>
      <c r="N309" s="1585"/>
      <c r="O309" s="1585"/>
      <c r="P309" s="1585"/>
      <c r="Q309" s="1585"/>
      <c r="R309" s="1585"/>
      <c r="S309" s="1585"/>
      <c r="T309" s="1585"/>
      <c r="U309" s="1586"/>
    </row>
    <row r="310" spans="1:21" ht="20.25" customHeight="1" thickBot="1" x14ac:dyDescent="0.3">
      <c r="A310" s="1245"/>
      <c r="B310" s="1205"/>
      <c r="C310" s="1205"/>
      <c r="D310" s="1205"/>
      <c r="E310" s="1205"/>
      <c r="F310" s="1205"/>
      <c r="G310" s="1205"/>
      <c r="H310" s="1205"/>
      <c r="I310" s="1205"/>
      <c r="J310" s="1205"/>
      <c r="K310" s="1205"/>
      <c r="L310" s="1205"/>
      <c r="M310" s="1205"/>
      <c r="N310" s="1205"/>
      <c r="O310" s="1205"/>
      <c r="P310" s="1205"/>
      <c r="Q310" s="1205"/>
      <c r="R310" s="1205"/>
      <c r="S310" s="1205"/>
      <c r="T310" s="1205"/>
      <c r="U310" s="1205"/>
    </row>
    <row r="311" spans="1:21" ht="30" customHeight="1" thickBot="1" x14ac:dyDescent="0.3">
      <c r="A311" s="134"/>
      <c r="B311" s="1205"/>
      <c r="C311" s="1198" t="s">
        <v>1482</v>
      </c>
      <c r="D311" s="1601" t="s">
        <v>1642</v>
      </c>
      <c r="E311" s="1602"/>
      <c r="F311" s="1205"/>
      <c r="G311" s="1205"/>
      <c r="H311" s="1201" t="s">
        <v>1479</v>
      </c>
      <c r="I311" s="1205"/>
      <c r="J311" s="1201" t="s">
        <v>1480</v>
      </c>
      <c r="K311" s="1205"/>
      <c r="L311" s="1201" t="s">
        <v>1496</v>
      </c>
      <c r="M311" s="1205"/>
      <c r="N311" s="1201" t="s">
        <v>1481</v>
      </c>
      <c r="O311" s="1205"/>
      <c r="P311" s="1201" t="s">
        <v>1588</v>
      </c>
      <c r="Q311" s="1205"/>
      <c r="R311" s="1201" t="s">
        <v>1589</v>
      </c>
      <c r="S311" s="1205"/>
      <c r="T311" s="1201" t="s">
        <v>1590</v>
      </c>
      <c r="U311" s="1205"/>
    </row>
    <row r="312" spans="1:21" ht="18" customHeight="1" thickBot="1" x14ac:dyDescent="0.3">
      <c r="A312" s="1245"/>
      <c r="B312" s="1205"/>
      <c r="C312" s="1193"/>
      <c r="D312" s="1193"/>
      <c r="E312" s="1193"/>
      <c r="F312" s="1205"/>
      <c r="G312" s="1205"/>
      <c r="H312" s="1142"/>
      <c r="I312" s="1205"/>
      <c r="J312" s="1191"/>
      <c r="K312" s="1205"/>
      <c r="L312" s="1191"/>
      <c r="M312" s="1205"/>
      <c r="N312" s="1237"/>
      <c r="O312" s="1205"/>
      <c r="P312" s="1143" t="s">
        <v>1591</v>
      </c>
      <c r="Q312" s="1205"/>
      <c r="R312" s="1143" t="s">
        <v>1592</v>
      </c>
      <c r="S312" s="1205"/>
      <c r="T312" s="1187" t="s">
        <v>653</v>
      </c>
      <c r="U312" s="1205"/>
    </row>
    <row r="313" spans="1:21" ht="30" customHeight="1" thickBot="1" x14ac:dyDescent="0.3">
      <c r="A313" s="1245"/>
      <c r="B313" s="1205"/>
      <c r="C313" s="1198" t="s">
        <v>1593</v>
      </c>
      <c r="D313" s="1603">
        <v>4001</v>
      </c>
      <c r="E313" s="1604"/>
      <c r="F313" s="1205"/>
      <c r="G313" s="1205"/>
      <c r="H313" s="1205"/>
      <c r="I313" s="1205"/>
      <c r="J313" s="1205"/>
      <c r="K313" s="1205"/>
      <c r="L313" s="1205"/>
      <c r="M313" s="1205"/>
      <c r="N313" s="1205"/>
      <c r="O313" s="1205"/>
      <c r="P313" s="1205"/>
      <c r="Q313" s="1205"/>
      <c r="R313" s="1205"/>
      <c r="S313" s="1205"/>
      <c r="T313" s="1205"/>
      <c r="U313" s="1205"/>
    </row>
    <row r="314" spans="1:21" ht="30" customHeight="1" thickBot="1" x14ac:dyDescent="0.3">
      <c r="A314" s="1245"/>
      <c r="B314" s="1205"/>
      <c r="C314" s="1193"/>
      <c r="D314" s="1193"/>
      <c r="E314" s="1193"/>
      <c r="F314" s="1205"/>
      <c r="G314" s="1205"/>
      <c r="H314" s="1202" t="s">
        <v>1486</v>
      </c>
      <c r="I314" s="1205"/>
      <c r="J314" s="1201" t="s">
        <v>1487</v>
      </c>
      <c r="K314" s="1205"/>
      <c r="L314" s="1201" t="s">
        <v>1488</v>
      </c>
      <c r="M314" s="1205"/>
      <c r="N314" s="1201" t="s">
        <v>1603</v>
      </c>
      <c r="O314" s="1205"/>
      <c r="P314" s="1201" t="s">
        <v>1604</v>
      </c>
      <c r="Q314" s="1205"/>
      <c r="R314" s="1201" t="s">
        <v>1605</v>
      </c>
      <c r="S314" s="1205"/>
      <c r="T314" s="1205"/>
      <c r="U314" s="1205"/>
    </row>
    <row r="315" spans="1:21" ht="18" customHeight="1" thickBot="1" x14ac:dyDescent="0.3">
      <c r="A315" s="1245"/>
      <c r="B315" s="1205"/>
      <c r="C315" s="1198" t="s">
        <v>1484</v>
      </c>
      <c r="D315" s="1605" t="str">
        <f>AA24</f>
        <v/>
      </c>
      <c r="E315" s="1606"/>
      <c r="F315" s="1205"/>
      <c r="G315" s="1239" t="s">
        <v>1048</v>
      </c>
      <c r="H315" s="1166"/>
      <c r="I315" s="1205"/>
      <c r="J315" s="1206"/>
      <c r="K315" s="1205"/>
      <c r="L315" s="1166"/>
      <c r="M315" s="1205"/>
      <c r="N315" s="1233" t="s">
        <v>482</v>
      </c>
      <c r="O315" s="1205"/>
      <c r="P315" s="1233" t="s">
        <v>1239</v>
      </c>
      <c r="Q315" s="1205"/>
      <c r="R315" s="1233" t="s">
        <v>1607</v>
      </c>
      <c r="S315" s="1205"/>
      <c r="T315" s="1205"/>
      <c r="U315" s="1205"/>
    </row>
    <row r="316" spans="1:21" ht="18" customHeight="1" thickBot="1" x14ac:dyDescent="0.3">
      <c r="A316" s="1245"/>
      <c r="B316" s="1205"/>
      <c r="C316" s="1193"/>
      <c r="D316" s="1186"/>
      <c r="E316" s="1186"/>
      <c r="F316" s="1205"/>
      <c r="G316" s="1205"/>
      <c r="H316" s="1205"/>
      <c r="I316" s="1205"/>
      <c r="J316" s="1205"/>
      <c r="K316" s="1205"/>
      <c r="L316" s="1205"/>
      <c r="M316" s="1205"/>
      <c r="N316" s="1205"/>
      <c r="O316" s="1205"/>
      <c r="P316" s="1205"/>
      <c r="Q316" s="1205"/>
      <c r="R316" s="1205"/>
      <c r="S316" s="1205"/>
      <c r="T316" s="1205"/>
      <c r="U316" s="1205"/>
    </row>
    <row r="317" spans="1:21" ht="30.75" thickBot="1" x14ac:dyDescent="0.3">
      <c r="A317" s="1245"/>
      <c r="B317" s="1205"/>
      <c r="C317" s="1198" t="s">
        <v>1485</v>
      </c>
      <c r="D317" s="1605" t="str">
        <f>AB24</f>
        <v/>
      </c>
      <c r="E317" s="1606"/>
      <c r="F317" s="1205"/>
      <c r="G317" s="1205"/>
      <c r="H317" s="1200" t="s">
        <v>1594</v>
      </c>
      <c r="I317" s="1205"/>
      <c r="J317" s="1201" t="s">
        <v>1608</v>
      </c>
      <c r="K317" s="1205"/>
      <c r="L317" s="1201" t="s">
        <v>1595</v>
      </c>
      <c r="M317" s="1205"/>
      <c r="N317" s="1201" t="s">
        <v>1609</v>
      </c>
      <c r="O317" s="1205"/>
      <c r="P317" s="1201" t="s">
        <v>1610</v>
      </c>
      <c r="Q317" s="1205"/>
      <c r="R317" s="1205"/>
      <c r="S317" s="1205"/>
      <c r="T317" s="1201" t="s">
        <v>1701</v>
      </c>
      <c r="U317" s="1205"/>
    </row>
    <row r="318" spans="1:21" ht="18" customHeight="1" thickBot="1" x14ac:dyDescent="0.3">
      <c r="A318" s="1245"/>
      <c r="B318" s="1205"/>
      <c r="C318" s="1193"/>
      <c r="D318" s="1193"/>
      <c r="E318" s="1193"/>
      <c r="F318" s="1205"/>
      <c r="G318" s="1205"/>
      <c r="H318" s="1187" t="s">
        <v>651</v>
      </c>
      <c r="I318" s="1205"/>
      <c r="J318" s="1143" t="s">
        <v>1596</v>
      </c>
      <c r="K318" s="1205"/>
      <c r="L318" s="1233" t="s">
        <v>1596</v>
      </c>
      <c r="M318" s="1205"/>
      <c r="N318" s="1233" t="s">
        <v>653</v>
      </c>
      <c r="O318" s="1205"/>
      <c r="P318" s="1233" t="s">
        <v>653</v>
      </c>
      <c r="Q318" s="1205"/>
      <c r="R318" s="1205"/>
      <c r="S318" s="1205"/>
      <c r="T318" s="1233" t="s">
        <v>651</v>
      </c>
      <c r="U318" s="1205"/>
    </row>
    <row r="319" spans="1:21" ht="30" customHeight="1" thickBot="1" x14ac:dyDescent="0.3">
      <c r="A319" s="1245"/>
      <c r="B319" s="1205"/>
      <c r="C319" s="1199" t="s">
        <v>1597</v>
      </c>
      <c r="D319" s="1593" t="s">
        <v>651</v>
      </c>
      <c r="E319" s="1594"/>
      <c r="F319" s="1205"/>
      <c r="G319" s="1205"/>
      <c r="H319" s="1205"/>
      <c r="I319" s="1205"/>
      <c r="J319" s="1205"/>
      <c r="K319" s="1205"/>
      <c r="L319" s="1205"/>
      <c r="M319" s="1205"/>
      <c r="N319" s="1205"/>
      <c r="O319" s="1205"/>
      <c r="P319" s="1205"/>
      <c r="Q319" s="1205"/>
      <c r="R319" s="1205"/>
      <c r="S319" s="1205"/>
      <c r="T319" s="1205"/>
      <c r="U319" s="1205"/>
    </row>
    <row r="320" spans="1:21" ht="18" customHeight="1" thickBot="1" x14ac:dyDescent="0.3">
      <c r="A320" s="1245"/>
      <c r="B320" s="1205"/>
      <c r="C320" s="1193"/>
      <c r="D320" s="1193"/>
      <c r="E320" s="1193"/>
      <c r="F320" s="1205"/>
      <c r="G320" s="1205"/>
      <c r="H320" s="1205"/>
      <c r="I320" s="1205"/>
      <c r="J320" s="1205"/>
      <c r="K320" s="1205"/>
      <c r="L320" s="1205"/>
      <c r="M320" s="1205"/>
      <c r="N320" s="1205"/>
      <c r="O320" s="1205"/>
      <c r="P320" s="1205"/>
      <c r="Q320" s="1205"/>
      <c r="R320" s="1205"/>
      <c r="S320" s="1205"/>
      <c r="T320" s="1201" t="s">
        <v>528</v>
      </c>
      <c r="U320" s="1205"/>
    </row>
    <row r="321" spans="1:21" ht="18" customHeight="1" thickBot="1" x14ac:dyDescent="0.3">
      <c r="A321" s="1245"/>
      <c r="B321" s="1205"/>
      <c r="C321" s="1198" t="s">
        <v>1598</v>
      </c>
      <c r="D321" s="1603" t="s">
        <v>1599</v>
      </c>
      <c r="E321" s="1586"/>
      <c r="F321" s="1205"/>
      <c r="G321" s="1205"/>
      <c r="H321" s="1205"/>
      <c r="I321" s="1205"/>
      <c r="J321" s="1205"/>
      <c r="K321" s="1205"/>
      <c r="L321" s="1205"/>
      <c r="M321" s="1205"/>
      <c r="N321" s="1205"/>
      <c r="O321" s="1205"/>
      <c r="P321" s="1205"/>
      <c r="Q321" s="1205"/>
      <c r="R321" s="1205"/>
      <c r="S321" s="1205"/>
      <c r="T321" s="1233" t="str">
        <f>IF(Z24&lt;&gt;"","Yes","No")</f>
        <v>No</v>
      </c>
      <c r="U321" s="1205"/>
    </row>
    <row r="322" spans="1:21" ht="21" customHeight="1" thickBot="1" x14ac:dyDescent="0.3">
      <c r="A322" s="1245"/>
      <c r="B322" s="1205"/>
      <c r="C322" s="1205"/>
      <c r="D322" s="1205"/>
      <c r="E322" s="1205"/>
      <c r="F322" s="1205"/>
      <c r="G322" s="1205"/>
      <c r="H322" s="1205"/>
      <c r="I322" s="1205"/>
      <c r="J322" s="1205"/>
      <c r="K322" s="1205"/>
      <c r="L322" s="1205"/>
      <c r="M322" s="1205"/>
      <c r="N322" s="1205"/>
      <c r="O322" s="1205"/>
      <c r="P322" s="1205"/>
      <c r="Q322" s="1205"/>
      <c r="R322" s="1205"/>
      <c r="S322" s="1205"/>
      <c r="T322" s="1205"/>
      <c r="U322" s="1205"/>
    </row>
    <row r="323" spans="1:21" ht="20.25" customHeight="1" thickBot="1" x14ac:dyDescent="0.3">
      <c r="A323" s="1248"/>
      <c r="B323" s="1598" t="s">
        <v>1807</v>
      </c>
      <c r="C323" s="1599"/>
      <c r="D323" s="1599"/>
      <c r="E323" s="1599"/>
      <c r="F323" s="1599"/>
      <c r="G323" s="1599"/>
      <c r="H323" s="1599"/>
      <c r="I323" s="1599"/>
      <c r="J323" s="1599"/>
      <c r="K323" s="1599"/>
      <c r="L323" s="1599"/>
      <c r="M323" s="1599"/>
      <c r="N323" s="1599"/>
      <c r="O323" s="1599"/>
      <c r="P323" s="1599"/>
      <c r="Q323" s="1599"/>
      <c r="R323" s="1599"/>
      <c r="S323" s="1599"/>
      <c r="T323" s="1599"/>
      <c r="U323" s="1600"/>
    </row>
    <row r="324" spans="1:21" ht="15.75" thickBot="1" x14ac:dyDescent="0.3">
      <c r="A324" s="1248"/>
      <c r="B324" s="1249"/>
      <c r="C324" s="1249"/>
      <c r="D324" s="1249"/>
      <c r="E324" s="1249"/>
      <c r="F324" s="1249"/>
      <c r="G324" s="1249"/>
      <c r="H324" s="1249"/>
      <c r="I324" s="1249"/>
      <c r="J324" s="1249"/>
      <c r="K324" s="1249"/>
      <c r="L324" s="1249"/>
      <c r="M324" s="1249"/>
      <c r="N324" s="1249"/>
      <c r="O324" s="1249"/>
      <c r="P324" s="1249"/>
      <c r="Q324" s="1249"/>
      <c r="R324" s="1249"/>
      <c r="S324" s="1249"/>
      <c r="T324" s="1249"/>
      <c r="U324" s="1249"/>
    </row>
    <row r="325" spans="1:21" ht="30.75" thickBot="1" x14ac:dyDescent="0.3">
      <c r="A325" s="134"/>
      <c r="B325" s="1249"/>
      <c r="C325" s="1250" t="s">
        <v>1482</v>
      </c>
      <c r="D325" s="1610" t="s">
        <v>1702</v>
      </c>
      <c r="E325" s="1611"/>
      <c r="F325" s="1249"/>
      <c r="G325" s="1249"/>
      <c r="H325" s="194" t="s">
        <v>1479</v>
      </c>
      <c r="I325" s="1249"/>
      <c r="J325" s="194" t="s">
        <v>1480</v>
      </c>
      <c r="K325" s="1249"/>
      <c r="L325" s="194" t="s">
        <v>1496</v>
      </c>
      <c r="M325" s="1249"/>
      <c r="N325" s="194" t="s">
        <v>1481</v>
      </c>
      <c r="O325" s="1249"/>
      <c r="P325" s="1249"/>
      <c r="Q325" s="1249"/>
      <c r="R325" s="194" t="s">
        <v>1589</v>
      </c>
      <c r="S325" s="1249"/>
      <c r="T325" s="194" t="s">
        <v>1590</v>
      </c>
      <c r="U325" s="1249"/>
    </row>
    <row r="326" spans="1:21" ht="15.75" thickBot="1" x14ac:dyDescent="0.3">
      <c r="A326" s="1248"/>
      <c r="B326" s="1249"/>
      <c r="C326" s="1260"/>
      <c r="D326" s="1260"/>
      <c r="E326" s="1260"/>
      <c r="F326" s="1249"/>
      <c r="G326" s="1249"/>
      <c r="H326" s="1237" t="s">
        <v>1703</v>
      </c>
      <c r="I326" s="1249"/>
      <c r="J326" s="1191"/>
      <c r="K326" s="1249"/>
      <c r="L326" s="1191"/>
      <c r="M326" s="1249"/>
      <c r="N326" s="1237"/>
      <c r="O326" s="1249"/>
      <c r="P326" s="1249"/>
      <c r="Q326" s="1249"/>
      <c r="R326" s="1233" t="s">
        <v>1704</v>
      </c>
      <c r="S326" s="1249"/>
      <c r="T326" s="1233" t="s">
        <v>651</v>
      </c>
      <c r="U326" s="1249"/>
    </row>
    <row r="327" spans="1:21" ht="30.75" thickBot="1" x14ac:dyDescent="0.3">
      <c r="A327" s="1248"/>
      <c r="B327" s="1249"/>
      <c r="C327" s="1250" t="s">
        <v>1593</v>
      </c>
      <c r="D327" s="1609">
        <v>4601</v>
      </c>
      <c r="E327" s="1612"/>
      <c r="F327" s="1249"/>
      <c r="G327" s="1249"/>
      <c r="H327" s="1249"/>
      <c r="I327" s="1249"/>
      <c r="J327" s="1249"/>
      <c r="K327" s="1249"/>
      <c r="L327" s="1249"/>
      <c r="M327" s="1249"/>
      <c r="N327" s="1249"/>
      <c r="O327" s="1249"/>
      <c r="P327" s="1249"/>
      <c r="Q327" s="1249"/>
      <c r="R327" s="1249"/>
      <c r="S327" s="1249"/>
      <c r="T327" s="1249"/>
      <c r="U327" s="1249"/>
    </row>
    <row r="328" spans="1:21" ht="15.75" thickBot="1" x14ac:dyDescent="0.3">
      <c r="A328" s="1248"/>
      <c r="B328" s="1249"/>
      <c r="C328" s="1260"/>
      <c r="D328" s="1260"/>
      <c r="E328" s="1260"/>
      <c r="F328" s="1249"/>
      <c r="G328" s="1249"/>
      <c r="H328" s="229" t="s">
        <v>1495</v>
      </c>
      <c r="I328" s="1249"/>
      <c r="J328" s="1249"/>
      <c r="K328" s="1249"/>
      <c r="L328" s="1249"/>
      <c r="M328" s="1249"/>
      <c r="N328" s="1249"/>
      <c r="O328" s="1249"/>
      <c r="P328" s="1249"/>
      <c r="Q328" s="1249"/>
      <c r="R328" s="194" t="s">
        <v>1705</v>
      </c>
      <c r="S328" s="1249"/>
      <c r="T328" s="194" t="s">
        <v>1706</v>
      </c>
      <c r="U328" s="1249"/>
    </row>
    <row r="329" spans="1:21" ht="15.75" thickBot="1" x14ac:dyDescent="0.3">
      <c r="A329" s="1248"/>
      <c r="B329" s="1249"/>
      <c r="C329" s="1250" t="s">
        <v>1484</v>
      </c>
      <c r="D329" s="1605" t="str">
        <f>AA25</f>
        <v/>
      </c>
      <c r="E329" s="1606"/>
      <c r="F329" s="1249"/>
      <c r="G329" s="1249"/>
      <c r="H329" s="1166"/>
      <c r="I329" s="1249"/>
      <c r="J329" s="1249"/>
      <c r="K329" s="1249"/>
      <c r="L329" s="1249"/>
      <c r="M329" s="1249"/>
      <c r="N329" s="1249"/>
      <c r="O329" s="1249"/>
      <c r="P329" s="1249"/>
      <c r="Q329" s="1249"/>
      <c r="R329" s="1233" t="s">
        <v>1707</v>
      </c>
      <c r="S329" s="1249"/>
      <c r="T329" s="1233">
        <v>1</v>
      </c>
      <c r="U329" s="1249"/>
    </row>
    <row r="330" spans="1:21" ht="15.75" thickBot="1" x14ac:dyDescent="0.3">
      <c r="A330" s="1248"/>
      <c r="B330" s="1249"/>
      <c r="C330" s="1260"/>
      <c r="D330" s="1186"/>
      <c r="E330" s="1186"/>
      <c r="F330" s="1249"/>
      <c r="G330" s="1249"/>
      <c r="H330" s="1249"/>
      <c r="I330" s="1249"/>
      <c r="J330" s="1249"/>
      <c r="K330" s="1249"/>
      <c r="L330" s="1249"/>
      <c r="M330" s="1249"/>
      <c r="N330" s="1249"/>
      <c r="O330" s="1249"/>
      <c r="P330" s="1249"/>
      <c r="Q330" s="1249"/>
      <c r="R330" s="1249"/>
      <c r="S330" s="1249"/>
      <c r="T330" s="1249"/>
      <c r="U330" s="1249"/>
    </row>
    <row r="331" spans="1:21" ht="30.75" thickBot="1" x14ac:dyDescent="0.3">
      <c r="A331" s="1248"/>
      <c r="B331" s="1249"/>
      <c r="C331" s="1250" t="s">
        <v>1485</v>
      </c>
      <c r="D331" s="1605" t="str">
        <f>AB25</f>
        <v/>
      </c>
      <c r="E331" s="1606"/>
      <c r="F331" s="1249"/>
      <c r="G331" s="1249"/>
      <c r="H331" s="229" t="s">
        <v>1594</v>
      </c>
      <c r="I331" s="1249"/>
      <c r="J331" s="1249"/>
      <c r="K331" s="1249"/>
      <c r="L331" s="1249"/>
      <c r="M331" s="1249"/>
      <c r="N331" s="1249"/>
      <c r="O331" s="1249"/>
      <c r="P331" s="1249"/>
      <c r="Q331" s="1249"/>
      <c r="R331" s="1249"/>
      <c r="S331" s="1249"/>
      <c r="T331" s="194" t="s">
        <v>1701</v>
      </c>
      <c r="U331" s="1249"/>
    </row>
    <row r="332" spans="1:21" ht="15.75" thickBot="1" x14ac:dyDescent="0.3">
      <c r="A332" s="1248"/>
      <c r="B332" s="1249"/>
      <c r="C332" s="1260"/>
      <c r="D332" s="1260"/>
      <c r="E332" s="1260"/>
      <c r="F332" s="1249"/>
      <c r="G332" s="1249"/>
      <c r="H332" s="1187" t="s">
        <v>651</v>
      </c>
      <c r="I332" s="1249"/>
      <c r="J332" s="1249"/>
      <c r="K332" s="1249"/>
      <c r="L332" s="1249"/>
      <c r="M332" s="1249"/>
      <c r="N332" s="1249"/>
      <c r="O332" s="1249"/>
      <c r="P332" s="1249"/>
      <c r="Q332" s="1249"/>
      <c r="R332" s="1249"/>
      <c r="S332" s="1249"/>
      <c r="T332" s="1233" t="s">
        <v>653</v>
      </c>
      <c r="U332" s="1249"/>
    </row>
    <row r="333" spans="1:21" ht="30" customHeight="1" thickBot="1" x14ac:dyDescent="0.3">
      <c r="A333" s="1248"/>
      <c r="B333" s="1249"/>
      <c r="C333" s="1261" t="s">
        <v>1597</v>
      </c>
      <c r="D333" s="1593" t="s">
        <v>651</v>
      </c>
      <c r="E333" s="1594"/>
      <c r="F333" s="1249"/>
      <c r="G333" s="1249"/>
      <c r="H333" s="1249"/>
      <c r="I333" s="1249"/>
      <c r="J333" s="1249"/>
      <c r="K333" s="1249"/>
      <c r="L333" s="1249"/>
      <c r="M333" s="1249"/>
      <c r="N333" s="1249"/>
      <c r="O333" s="1249"/>
      <c r="P333" s="1249"/>
      <c r="Q333" s="1249"/>
      <c r="R333" s="1249"/>
      <c r="S333" s="1249"/>
      <c r="T333" s="1249"/>
      <c r="U333" s="1249"/>
    </row>
    <row r="334" spans="1:21" ht="15.75" thickBot="1" x14ac:dyDescent="0.3">
      <c r="A334" s="1248"/>
      <c r="B334" s="1249"/>
      <c r="C334" s="1260"/>
      <c r="D334" s="1260"/>
      <c r="E334" s="1260"/>
      <c r="F334" s="1249"/>
      <c r="G334" s="1249"/>
      <c r="H334" s="1249"/>
      <c r="I334" s="1249"/>
      <c r="J334" s="1249"/>
      <c r="K334" s="1249"/>
      <c r="L334" s="1249"/>
      <c r="M334" s="1249"/>
      <c r="N334" s="1249"/>
      <c r="O334" s="1249"/>
      <c r="P334" s="1249"/>
      <c r="Q334" s="1249"/>
      <c r="R334" s="1249"/>
      <c r="S334" s="1249"/>
      <c r="T334" s="1201" t="s">
        <v>528</v>
      </c>
      <c r="U334" s="1249"/>
    </row>
    <row r="335" spans="1:21" ht="15.75" thickBot="1" x14ac:dyDescent="0.3">
      <c r="A335" s="1248"/>
      <c r="B335" s="1249"/>
      <c r="C335" s="1250" t="s">
        <v>1598</v>
      </c>
      <c r="D335" s="1609" t="s">
        <v>1708</v>
      </c>
      <c r="E335" s="1600"/>
      <c r="F335" s="1249"/>
      <c r="G335" s="1249"/>
      <c r="H335" s="1249"/>
      <c r="I335" s="1249"/>
      <c r="J335" s="1249"/>
      <c r="K335" s="1249"/>
      <c r="L335" s="1249"/>
      <c r="M335" s="1249"/>
      <c r="N335" s="1249"/>
      <c r="O335" s="1249"/>
      <c r="P335" s="1249"/>
      <c r="Q335" s="1249"/>
      <c r="R335" s="1249"/>
      <c r="S335" s="1249"/>
      <c r="T335" s="1233" t="str">
        <f>IF(Z25&lt;&gt;"","Yes","No")</f>
        <v>No</v>
      </c>
      <c r="U335" s="1249"/>
    </row>
    <row r="336" spans="1:21" ht="20.25" customHeight="1" thickBot="1" x14ac:dyDescent="0.3">
      <c r="A336" s="1248"/>
      <c r="B336" s="1249"/>
      <c r="C336" s="1249"/>
      <c r="D336" s="1249"/>
      <c r="E336" s="1249"/>
      <c r="F336" s="1249"/>
      <c r="G336" s="1249"/>
      <c r="H336" s="1249"/>
      <c r="I336" s="1249"/>
      <c r="J336" s="1249"/>
      <c r="K336" s="1249"/>
      <c r="L336" s="1249"/>
      <c r="M336" s="1249"/>
      <c r="N336" s="1249"/>
      <c r="O336" s="1249"/>
      <c r="P336" s="1249"/>
      <c r="Q336" s="1249"/>
      <c r="R336" s="1249"/>
      <c r="S336" s="1249"/>
      <c r="T336" s="1249"/>
      <c r="U336" s="1249"/>
    </row>
    <row r="337" spans="1:21" ht="20.25" customHeight="1" thickBot="1" x14ac:dyDescent="0.3">
      <c r="A337" s="1248"/>
      <c r="B337" s="1598" t="s">
        <v>1808</v>
      </c>
      <c r="C337" s="1599"/>
      <c r="D337" s="1599"/>
      <c r="E337" s="1599"/>
      <c r="F337" s="1599"/>
      <c r="G337" s="1599"/>
      <c r="H337" s="1599"/>
      <c r="I337" s="1599"/>
      <c r="J337" s="1599"/>
      <c r="K337" s="1599"/>
      <c r="L337" s="1599"/>
      <c r="M337" s="1599"/>
      <c r="N337" s="1599"/>
      <c r="O337" s="1599"/>
      <c r="P337" s="1599"/>
      <c r="Q337" s="1599"/>
      <c r="R337" s="1599"/>
      <c r="S337" s="1599"/>
      <c r="T337" s="1599"/>
      <c r="U337" s="1600"/>
    </row>
    <row r="338" spans="1:21" ht="20.25" customHeight="1" thickBot="1" x14ac:dyDescent="0.3">
      <c r="A338" s="1248"/>
      <c r="B338" s="1249"/>
      <c r="C338" s="1249"/>
      <c r="D338" s="1249"/>
      <c r="E338" s="1249"/>
      <c r="F338" s="1249"/>
      <c r="G338" s="1249"/>
      <c r="H338" s="1249"/>
      <c r="I338" s="1249"/>
      <c r="J338" s="1249"/>
      <c r="K338" s="1249"/>
      <c r="L338" s="1249"/>
      <c r="M338" s="1249"/>
      <c r="N338" s="1249"/>
      <c r="O338" s="1249"/>
      <c r="P338" s="1249"/>
      <c r="Q338" s="1249"/>
      <c r="R338" s="1249"/>
      <c r="S338" s="1249"/>
      <c r="T338" s="1249"/>
      <c r="U338" s="1249"/>
    </row>
    <row r="339" spans="1:21" ht="30.75" thickBot="1" x14ac:dyDescent="0.3">
      <c r="A339" s="134"/>
      <c r="B339" s="1249"/>
      <c r="C339" s="1250" t="s">
        <v>1482</v>
      </c>
      <c r="D339" s="1610" t="s">
        <v>1702</v>
      </c>
      <c r="E339" s="1611"/>
      <c r="F339" s="1249"/>
      <c r="G339" s="1249"/>
      <c r="H339" s="194" t="s">
        <v>1479</v>
      </c>
      <c r="I339" s="1249"/>
      <c r="J339" s="194" t="s">
        <v>1480</v>
      </c>
      <c r="K339" s="1249"/>
      <c r="L339" s="194" t="s">
        <v>1496</v>
      </c>
      <c r="M339" s="1249"/>
      <c r="N339" s="194" t="s">
        <v>1481</v>
      </c>
      <c r="O339" s="1249"/>
      <c r="P339" s="1249"/>
      <c r="Q339" s="1249"/>
      <c r="R339" s="194" t="s">
        <v>1589</v>
      </c>
      <c r="S339" s="1249"/>
      <c r="T339" s="194" t="s">
        <v>1590</v>
      </c>
      <c r="U339" s="1249"/>
    </row>
    <row r="340" spans="1:21" ht="15.75" thickBot="1" x14ac:dyDescent="0.3">
      <c r="A340" s="1248"/>
      <c r="B340" s="1249"/>
      <c r="C340" s="1260"/>
      <c r="D340" s="1260"/>
      <c r="E340" s="1260"/>
      <c r="F340" s="1249"/>
      <c r="G340" s="1249"/>
      <c r="H340" s="1237" t="s">
        <v>1703</v>
      </c>
      <c r="I340" s="1249"/>
      <c r="J340" s="1191"/>
      <c r="K340" s="1249"/>
      <c r="L340" s="1191"/>
      <c r="M340" s="1249"/>
      <c r="N340" s="1237"/>
      <c r="O340" s="1249"/>
      <c r="P340" s="1249"/>
      <c r="Q340" s="1249"/>
      <c r="R340" s="1233" t="s">
        <v>1704</v>
      </c>
      <c r="S340" s="1249"/>
      <c r="T340" s="1233" t="s">
        <v>651</v>
      </c>
      <c r="U340" s="1249"/>
    </row>
    <row r="341" spans="1:21" ht="30.75" thickBot="1" x14ac:dyDescent="0.3">
      <c r="A341" s="1248"/>
      <c r="B341" s="1249"/>
      <c r="C341" s="1250" t="s">
        <v>1593</v>
      </c>
      <c r="D341" s="1609">
        <v>4602</v>
      </c>
      <c r="E341" s="1612"/>
      <c r="F341" s="1249"/>
      <c r="G341" s="1249"/>
      <c r="H341" s="1249"/>
      <c r="I341" s="1249"/>
      <c r="J341" s="1249"/>
      <c r="K341" s="1249"/>
      <c r="L341" s="1249"/>
      <c r="M341" s="1249"/>
      <c r="N341" s="1249"/>
      <c r="O341" s="1249"/>
      <c r="P341" s="1249"/>
      <c r="Q341" s="1249"/>
      <c r="R341" s="1249"/>
      <c r="S341" s="1249"/>
      <c r="T341" s="1249"/>
      <c r="U341" s="1249"/>
    </row>
    <row r="342" spans="1:21" ht="15.75" thickBot="1" x14ac:dyDescent="0.3">
      <c r="A342" s="1248"/>
      <c r="B342" s="1249"/>
      <c r="C342" s="1260"/>
      <c r="D342" s="1260"/>
      <c r="E342" s="1260"/>
      <c r="F342" s="1249"/>
      <c r="G342" s="1249"/>
      <c r="H342" s="229" t="s">
        <v>1495</v>
      </c>
      <c r="I342" s="1249"/>
      <c r="J342" s="1249"/>
      <c r="K342" s="1249"/>
      <c r="L342" s="1249"/>
      <c r="M342" s="1249"/>
      <c r="N342" s="1249"/>
      <c r="O342" s="1249"/>
      <c r="P342" s="1249"/>
      <c r="Q342" s="1249"/>
      <c r="R342" s="194" t="s">
        <v>1705</v>
      </c>
      <c r="S342" s="1249"/>
      <c r="T342" s="194" t="s">
        <v>1706</v>
      </c>
      <c r="U342" s="1249"/>
    </row>
    <row r="343" spans="1:21" ht="15.75" thickBot="1" x14ac:dyDescent="0.3">
      <c r="A343" s="1248"/>
      <c r="B343" s="1249"/>
      <c r="C343" s="1250" t="s">
        <v>1484</v>
      </c>
      <c r="D343" s="1605" t="str">
        <f>AA26</f>
        <v/>
      </c>
      <c r="E343" s="1606"/>
      <c r="F343" s="1249"/>
      <c r="G343" s="1249"/>
      <c r="H343" s="1166"/>
      <c r="I343" s="1249"/>
      <c r="J343" s="1249"/>
      <c r="K343" s="1249"/>
      <c r="L343" s="1249"/>
      <c r="M343" s="1249"/>
      <c r="N343" s="1249"/>
      <c r="O343" s="1249"/>
      <c r="P343" s="1249"/>
      <c r="Q343" s="1249"/>
      <c r="R343" s="1233" t="s">
        <v>1707</v>
      </c>
      <c r="S343" s="1249"/>
      <c r="T343" s="1233">
        <v>1</v>
      </c>
      <c r="U343" s="1249"/>
    </row>
    <row r="344" spans="1:21" ht="15.75" thickBot="1" x14ac:dyDescent="0.3">
      <c r="A344" s="1248"/>
      <c r="B344" s="1249"/>
      <c r="C344" s="1260"/>
      <c r="D344" s="1186"/>
      <c r="E344" s="1186"/>
      <c r="F344" s="1249"/>
      <c r="G344" s="1249"/>
      <c r="H344" s="1249"/>
      <c r="I344" s="1249"/>
      <c r="J344" s="1249"/>
      <c r="K344" s="1249"/>
      <c r="L344" s="1249"/>
      <c r="M344" s="1249"/>
      <c r="N344" s="1249"/>
      <c r="O344" s="1249"/>
      <c r="P344" s="1249"/>
      <c r="Q344" s="1249"/>
      <c r="R344" s="1249"/>
      <c r="S344" s="1249"/>
      <c r="T344" s="1249"/>
      <c r="U344" s="1249"/>
    </row>
    <row r="345" spans="1:21" ht="30.75" thickBot="1" x14ac:dyDescent="0.3">
      <c r="A345" s="1248"/>
      <c r="B345" s="1249"/>
      <c r="C345" s="1250" t="s">
        <v>1485</v>
      </c>
      <c r="D345" s="1605" t="str">
        <f>AB26</f>
        <v/>
      </c>
      <c r="E345" s="1606"/>
      <c r="F345" s="1249"/>
      <c r="G345" s="1249"/>
      <c r="H345" s="229" t="s">
        <v>1594</v>
      </c>
      <c r="I345" s="1249"/>
      <c r="J345" s="1249"/>
      <c r="K345" s="1249"/>
      <c r="L345" s="1249"/>
      <c r="M345" s="1249"/>
      <c r="N345" s="1249"/>
      <c r="O345" s="1249"/>
      <c r="P345" s="1249"/>
      <c r="Q345" s="1249"/>
      <c r="R345" s="1249"/>
      <c r="S345" s="1249"/>
      <c r="T345" s="194" t="s">
        <v>1701</v>
      </c>
      <c r="U345" s="1249"/>
    </row>
    <row r="346" spans="1:21" ht="15.75" thickBot="1" x14ac:dyDescent="0.3">
      <c r="A346" s="1248"/>
      <c r="B346" s="1249"/>
      <c r="C346" s="1260"/>
      <c r="D346" s="1260"/>
      <c r="E346" s="1260"/>
      <c r="F346" s="1249"/>
      <c r="G346" s="1249"/>
      <c r="H346" s="1187" t="s">
        <v>651</v>
      </c>
      <c r="I346" s="1249"/>
      <c r="J346" s="1249"/>
      <c r="K346" s="1249"/>
      <c r="L346" s="1249"/>
      <c r="M346" s="1249"/>
      <c r="N346" s="1249"/>
      <c r="O346" s="1249"/>
      <c r="P346" s="1249"/>
      <c r="Q346" s="1249"/>
      <c r="R346" s="1249"/>
      <c r="S346" s="1249"/>
      <c r="T346" s="1233" t="s">
        <v>653</v>
      </c>
      <c r="U346" s="1249"/>
    </row>
    <row r="347" spans="1:21" ht="30" customHeight="1" thickBot="1" x14ac:dyDescent="0.3">
      <c r="A347" s="1248"/>
      <c r="B347" s="1249"/>
      <c r="C347" s="1261" t="s">
        <v>1597</v>
      </c>
      <c r="D347" s="1593" t="s">
        <v>651</v>
      </c>
      <c r="E347" s="1594"/>
      <c r="F347" s="1249"/>
      <c r="G347" s="1249"/>
      <c r="H347" s="1249"/>
      <c r="I347" s="1249"/>
      <c r="J347" s="1249"/>
      <c r="K347" s="1249"/>
      <c r="L347" s="1249"/>
      <c r="M347" s="1249"/>
      <c r="N347" s="1249"/>
      <c r="O347" s="1249"/>
      <c r="P347" s="1249"/>
      <c r="Q347" s="1249"/>
      <c r="R347" s="1249"/>
      <c r="S347" s="1249"/>
      <c r="T347" s="1249"/>
      <c r="U347" s="1249"/>
    </row>
    <row r="348" spans="1:21" ht="15.75" thickBot="1" x14ac:dyDescent="0.3">
      <c r="A348" s="1248"/>
      <c r="B348" s="1249"/>
      <c r="C348" s="1260"/>
      <c r="D348" s="1260"/>
      <c r="E348" s="1260"/>
      <c r="F348" s="1249"/>
      <c r="G348" s="1249"/>
      <c r="H348" s="1249"/>
      <c r="I348" s="1249"/>
      <c r="J348" s="1249"/>
      <c r="K348" s="1249"/>
      <c r="L348" s="1249"/>
      <c r="M348" s="1249"/>
      <c r="N348" s="1249"/>
      <c r="O348" s="1249"/>
      <c r="P348" s="1249"/>
      <c r="Q348" s="1249"/>
      <c r="R348" s="1249"/>
      <c r="S348" s="1249"/>
      <c r="T348" s="1201" t="s">
        <v>528</v>
      </c>
      <c r="U348" s="1249"/>
    </row>
    <row r="349" spans="1:21" ht="15.75" thickBot="1" x14ac:dyDescent="0.3">
      <c r="A349" s="1248"/>
      <c r="B349" s="1249"/>
      <c r="C349" s="1250" t="s">
        <v>1598</v>
      </c>
      <c r="D349" s="1609" t="s">
        <v>1708</v>
      </c>
      <c r="E349" s="1600"/>
      <c r="F349" s="1249"/>
      <c r="G349" s="1249"/>
      <c r="H349" s="1249"/>
      <c r="I349" s="1249"/>
      <c r="J349" s="1249"/>
      <c r="K349" s="1249"/>
      <c r="L349" s="1249"/>
      <c r="M349" s="1249"/>
      <c r="N349" s="1249"/>
      <c r="O349" s="1249"/>
      <c r="P349" s="1249"/>
      <c r="Q349" s="1249"/>
      <c r="R349" s="1249"/>
      <c r="S349" s="1249"/>
      <c r="T349" s="1233" t="str">
        <f>IF(Z26&lt;&gt;"","Yes","No")</f>
        <v>No</v>
      </c>
      <c r="U349" s="1249"/>
    </row>
    <row r="350" spans="1:21" ht="15.75" thickBot="1" x14ac:dyDescent="0.3">
      <c r="A350" s="1248"/>
      <c r="B350" s="1249"/>
      <c r="C350" s="1249"/>
      <c r="D350" s="1249"/>
      <c r="E350" s="1249"/>
      <c r="F350" s="1249"/>
      <c r="G350" s="1249"/>
      <c r="H350" s="1249"/>
      <c r="I350" s="1249"/>
      <c r="J350" s="1249"/>
      <c r="K350" s="1249"/>
      <c r="L350" s="1249"/>
      <c r="M350" s="1249"/>
      <c r="N350" s="1249"/>
      <c r="O350" s="1249"/>
      <c r="P350" s="1249"/>
      <c r="Q350" s="1249"/>
      <c r="R350" s="1249"/>
      <c r="S350" s="1249"/>
      <c r="T350" s="1249"/>
      <c r="U350" s="1249"/>
    </row>
    <row r="351" spans="1:21" ht="20.25" customHeight="1" thickBot="1" x14ac:dyDescent="0.3">
      <c r="A351" s="1248"/>
      <c r="B351" s="1613" t="s">
        <v>1709</v>
      </c>
      <c r="C351" s="1614"/>
      <c r="D351" s="1614"/>
      <c r="E351" s="1614"/>
      <c r="F351" s="1614"/>
      <c r="G351" s="1614"/>
      <c r="H351" s="1614"/>
      <c r="I351" s="1614"/>
      <c r="J351" s="1614"/>
      <c r="K351" s="1614"/>
      <c r="L351" s="1614"/>
      <c r="M351" s="1614"/>
      <c r="N351" s="1614"/>
      <c r="O351" s="1614"/>
      <c r="P351" s="1614"/>
      <c r="Q351" s="1614"/>
      <c r="R351" s="1614"/>
      <c r="S351" s="1614"/>
      <c r="T351" s="1614"/>
      <c r="U351" s="1615"/>
    </row>
    <row r="352" spans="1:21" ht="15.75" thickBot="1" x14ac:dyDescent="0.3">
      <c r="A352" s="1248"/>
      <c r="B352" s="1249"/>
      <c r="C352" s="1249"/>
      <c r="D352" s="1249"/>
      <c r="E352" s="1249"/>
      <c r="F352" s="1249"/>
      <c r="G352" s="1249"/>
      <c r="H352" s="1249"/>
      <c r="I352" s="1249"/>
      <c r="J352" s="1249"/>
      <c r="K352" s="1249"/>
      <c r="L352" s="1249"/>
      <c r="M352" s="1249"/>
      <c r="N352" s="1249"/>
      <c r="O352" s="1249"/>
      <c r="P352" s="1249"/>
      <c r="Q352" s="1249"/>
      <c r="R352" s="1249"/>
      <c r="S352" s="1249"/>
      <c r="T352" s="1249"/>
      <c r="U352" s="1249"/>
    </row>
    <row r="353" spans="1:21" ht="30.75" thickBot="1" x14ac:dyDescent="0.3">
      <c r="A353" s="134"/>
      <c r="B353" s="1249"/>
      <c r="C353" s="1250" t="s">
        <v>1482</v>
      </c>
      <c r="D353" s="1610" t="s">
        <v>1710</v>
      </c>
      <c r="E353" s="1611"/>
      <c r="F353" s="1249"/>
      <c r="G353" s="1249"/>
      <c r="H353" s="194" t="s">
        <v>1479</v>
      </c>
      <c r="I353" s="1249"/>
      <c r="J353" s="194" t="s">
        <v>1480</v>
      </c>
      <c r="K353" s="1249"/>
      <c r="L353" s="194" t="s">
        <v>1496</v>
      </c>
      <c r="M353" s="1249"/>
      <c r="N353" s="194" t="s">
        <v>1481</v>
      </c>
      <c r="O353" s="1249"/>
      <c r="P353" s="1249"/>
      <c r="Q353" s="1249"/>
      <c r="R353" s="194" t="s">
        <v>1589</v>
      </c>
      <c r="S353" s="1249"/>
      <c r="T353" s="194" t="s">
        <v>1590</v>
      </c>
      <c r="U353" s="1249"/>
    </row>
    <row r="354" spans="1:21" ht="15.75" thickBot="1" x14ac:dyDescent="0.3">
      <c r="A354" s="1248"/>
      <c r="B354" s="1249"/>
      <c r="C354" s="1260"/>
      <c r="D354" s="1260"/>
      <c r="E354" s="1260"/>
      <c r="F354" s="1249"/>
      <c r="G354" s="1249"/>
      <c r="H354" s="1251" t="s">
        <v>1703</v>
      </c>
      <c r="I354" s="1249"/>
      <c r="J354" s="1252"/>
      <c r="K354" s="1249"/>
      <c r="L354" s="1252"/>
      <c r="M354" s="1249"/>
      <c r="N354" s="1237"/>
      <c r="O354" s="1249"/>
      <c r="P354" s="1249"/>
      <c r="Q354" s="1249"/>
      <c r="R354" s="1253" t="s">
        <v>1704</v>
      </c>
      <c r="S354" s="1249"/>
      <c r="T354" s="1253" t="s">
        <v>651</v>
      </c>
      <c r="U354" s="1249"/>
    </row>
    <row r="355" spans="1:21" ht="30.75" thickBot="1" x14ac:dyDescent="0.3">
      <c r="A355" s="1248"/>
      <c r="B355" s="1249"/>
      <c r="C355" s="1250" t="s">
        <v>1593</v>
      </c>
      <c r="D355" s="1609">
        <v>4901</v>
      </c>
      <c r="E355" s="1612"/>
      <c r="F355" s="1249"/>
      <c r="G355" s="1249"/>
      <c r="H355" s="1249"/>
      <c r="I355" s="1249"/>
      <c r="J355" s="1249"/>
      <c r="K355" s="1249"/>
      <c r="L355" s="1249"/>
      <c r="M355" s="1249"/>
      <c r="N355" s="1249"/>
      <c r="O355" s="1249"/>
      <c r="P355" s="1249"/>
      <c r="Q355" s="1249"/>
      <c r="R355" s="1249"/>
      <c r="S355" s="1249"/>
      <c r="T355" s="1249"/>
      <c r="U355" s="1249"/>
    </row>
    <row r="356" spans="1:21" ht="15.75" thickBot="1" x14ac:dyDescent="0.3">
      <c r="A356" s="1248"/>
      <c r="B356" s="1249"/>
      <c r="C356" s="1260"/>
      <c r="D356" s="1260"/>
      <c r="E356" s="1260"/>
      <c r="F356" s="1249"/>
      <c r="G356" s="1249"/>
      <c r="H356" s="229" t="s">
        <v>1495</v>
      </c>
      <c r="I356" s="1249"/>
      <c r="J356" s="1249"/>
      <c r="K356" s="1249"/>
      <c r="L356" s="1249"/>
      <c r="M356" s="1249"/>
      <c r="N356" s="1249"/>
      <c r="O356" s="1249"/>
      <c r="P356" s="1249"/>
      <c r="Q356" s="1249"/>
      <c r="R356" s="194" t="s">
        <v>1705</v>
      </c>
      <c r="S356" s="1249"/>
      <c r="T356" s="194" t="s">
        <v>1706</v>
      </c>
      <c r="U356" s="1249"/>
    </row>
    <row r="357" spans="1:21" ht="15.75" thickBot="1" x14ac:dyDescent="0.3">
      <c r="A357" s="1248"/>
      <c r="B357" s="1249"/>
      <c r="C357" s="1250" t="s">
        <v>1484</v>
      </c>
      <c r="D357" s="1605" t="str">
        <f>AA27</f>
        <v/>
      </c>
      <c r="E357" s="1606"/>
      <c r="F357" s="1249"/>
      <c r="G357" s="1249"/>
      <c r="H357" s="1254"/>
      <c r="I357" s="1249"/>
      <c r="J357" s="1249"/>
      <c r="K357" s="1249"/>
      <c r="L357" s="1249"/>
      <c r="M357" s="1249"/>
      <c r="N357" s="1249"/>
      <c r="O357" s="1249"/>
      <c r="P357" s="1249"/>
      <c r="Q357" s="1249"/>
      <c r="R357" s="1253" t="s">
        <v>1707</v>
      </c>
      <c r="S357" s="1249"/>
      <c r="T357" s="1253">
        <v>1</v>
      </c>
      <c r="U357" s="1249"/>
    </row>
    <row r="358" spans="1:21" ht="15.75" thickBot="1" x14ac:dyDescent="0.3">
      <c r="A358" s="1248"/>
      <c r="B358" s="1249"/>
      <c r="C358" s="1260"/>
      <c r="D358" s="1186"/>
      <c r="E358" s="1186"/>
      <c r="F358" s="1249"/>
      <c r="G358" s="1249"/>
      <c r="H358" s="1249"/>
      <c r="I358" s="1249"/>
      <c r="J358" s="1249"/>
      <c r="K358" s="1249"/>
      <c r="L358" s="1249"/>
      <c r="M358" s="1249"/>
      <c r="N358" s="1249"/>
      <c r="O358" s="1249"/>
      <c r="P358" s="1249"/>
      <c r="Q358" s="1249"/>
      <c r="R358" s="1249"/>
      <c r="S358" s="1249"/>
      <c r="T358" s="1249"/>
      <c r="U358" s="1249"/>
    </row>
    <row r="359" spans="1:21" ht="30.75" thickBot="1" x14ac:dyDescent="0.3">
      <c r="A359" s="1248"/>
      <c r="B359" s="1249"/>
      <c r="C359" s="1250" t="s">
        <v>1485</v>
      </c>
      <c r="D359" s="1605" t="str">
        <f>AB27</f>
        <v/>
      </c>
      <c r="E359" s="1606"/>
      <c r="F359" s="1249"/>
      <c r="G359" s="1249"/>
      <c r="H359" s="229" t="s">
        <v>1594</v>
      </c>
      <c r="I359" s="1249"/>
      <c r="J359" s="1249"/>
      <c r="K359" s="1249"/>
      <c r="L359" s="1249"/>
      <c r="M359" s="1249"/>
      <c r="N359" s="1249"/>
      <c r="O359" s="1249"/>
      <c r="P359" s="1249"/>
      <c r="Q359" s="1249"/>
      <c r="R359" s="1249"/>
      <c r="S359" s="1249"/>
      <c r="T359" s="194" t="s">
        <v>1701</v>
      </c>
      <c r="U359" s="1249"/>
    </row>
    <row r="360" spans="1:21" ht="15.75" thickBot="1" x14ac:dyDescent="0.3">
      <c r="A360" s="1248"/>
      <c r="B360" s="1249"/>
      <c r="C360" s="1260"/>
      <c r="D360" s="1260"/>
      <c r="E360" s="1260"/>
      <c r="F360" s="1249"/>
      <c r="G360" s="1249"/>
      <c r="H360" s="1187" t="s">
        <v>651</v>
      </c>
      <c r="I360" s="1249"/>
      <c r="J360" s="1249"/>
      <c r="K360" s="1249"/>
      <c r="L360" s="1249"/>
      <c r="M360" s="1249"/>
      <c r="N360" s="1249"/>
      <c r="O360" s="1249"/>
      <c r="P360" s="1249"/>
      <c r="Q360" s="1249"/>
      <c r="R360" s="1249"/>
      <c r="S360" s="1249"/>
      <c r="T360" s="1253" t="s">
        <v>653</v>
      </c>
      <c r="U360" s="1249"/>
    </row>
    <row r="361" spans="1:21" ht="29.25" customHeight="1" thickBot="1" x14ac:dyDescent="0.3">
      <c r="A361" s="1248"/>
      <c r="B361" s="1249"/>
      <c r="C361" s="1261" t="s">
        <v>1597</v>
      </c>
      <c r="D361" s="1593" t="s">
        <v>651</v>
      </c>
      <c r="E361" s="1594"/>
      <c r="F361" s="1249"/>
      <c r="G361" s="1249"/>
      <c r="H361" s="1249"/>
      <c r="I361" s="1249"/>
      <c r="J361" s="1249"/>
      <c r="K361" s="1249"/>
      <c r="L361" s="1249"/>
      <c r="M361" s="1249"/>
      <c r="N361" s="1249"/>
      <c r="O361" s="1249"/>
      <c r="P361" s="1249"/>
      <c r="Q361" s="1249"/>
      <c r="R361" s="1249"/>
      <c r="S361" s="1249"/>
      <c r="T361" s="1249"/>
      <c r="U361" s="1249"/>
    </row>
    <row r="362" spans="1:21" ht="15.75" thickBot="1" x14ac:dyDescent="0.3">
      <c r="A362" s="1248"/>
      <c r="B362" s="1249"/>
      <c r="C362" s="1260"/>
      <c r="D362" s="1260"/>
      <c r="E362" s="1260"/>
      <c r="F362" s="1249"/>
      <c r="G362" s="1249"/>
      <c r="H362" s="1249"/>
      <c r="I362" s="1249"/>
      <c r="J362" s="1249"/>
      <c r="K362" s="1249"/>
      <c r="L362" s="1249"/>
      <c r="M362" s="1249"/>
      <c r="N362" s="1249"/>
      <c r="O362" s="1249"/>
      <c r="P362" s="1249"/>
      <c r="Q362" s="1249"/>
      <c r="R362" s="1249"/>
      <c r="S362" s="1249"/>
      <c r="T362" s="1201" t="s">
        <v>528</v>
      </c>
      <c r="U362" s="1249"/>
    </row>
    <row r="363" spans="1:21" ht="15.75" thickBot="1" x14ac:dyDescent="0.3">
      <c r="A363" s="1248"/>
      <c r="B363" s="1249"/>
      <c r="C363" s="1250" t="s">
        <v>1598</v>
      </c>
      <c r="D363" s="1609" t="s">
        <v>1708</v>
      </c>
      <c r="E363" s="1600"/>
      <c r="F363" s="1249"/>
      <c r="G363" s="1249"/>
      <c r="H363" s="1249"/>
      <c r="I363" s="1249"/>
      <c r="J363" s="1249"/>
      <c r="K363" s="1249"/>
      <c r="L363" s="1249"/>
      <c r="M363" s="1249"/>
      <c r="N363" s="1249"/>
      <c r="O363" s="1249"/>
      <c r="P363" s="1249"/>
      <c r="Q363" s="1249"/>
      <c r="R363" s="1249"/>
      <c r="S363" s="1249"/>
      <c r="T363" s="1233" t="str">
        <f>IF(Z27&lt;&gt;"","Yes","No")</f>
        <v>No</v>
      </c>
      <c r="U363" s="1249"/>
    </row>
    <row r="364" spans="1:21" ht="15.75" thickBot="1" x14ac:dyDescent="0.3">
      <c r="A364" s="1248"/>
      <c r="B364" s="1249"/>
      <c r="C364" s="1249"/>
      <c r="D364" s="1249"/>
      <c r="E364" s="1249"/>
      <c r="F364" s="1249"/>
      <c r="G364" s="1249"/>
      <c r="H364" s="1249"/>
      <c r="I364" s="1249"/>
      <c r="J364" s="1249"/>
      <c r="K364" s="1249"/>
      <c r="L364" s="1249"/>
      <c r="M364" s="1249"/>
      <c r="N364" s="1249"/>
      <c r="O364" s="1249"/>
      <c r="P364" s="1249"/>
      <c r="Q364" s="1249"/>
      <c r="R364" s="1249"/>
      <c r="S364" s="1249"/>
      <c r="T364" s="1249"/>
      <c r="U364" s="1249"/>
    </row>
    <row r="365" spans="1:21" ht="21" customHeight="1" thickBot="1" x14ac:dyDescent="0.3">
      <c r="A365" s="1248"/>
      <c r="B365" s="1598" t="s">
        <v>1711</v>
      </c>
      <c r="C365" s="1599"/>
      <c r="D365" s="1599"/>
      <c r="E365" s="1599"/>
      <c r="F365" s="1599"/>
      <c r="G365" s="1599"/>
      <c r="H365" s="1599"/>
      <c r="I365" s="1599"/>
      <c r="J365" s="1599"/>
      <c r="K365" s="1599"/>
      <c r="L365" s="1599"/>
      <c r="M365" s="1599"/>
      <c r="N365" s="1599"/>
      <c r="O365" s="1599"/>
      <c r="P365" s="1599"/>
      <c r="Q365" s="1599"/>
      <c r="R365" s="1599"/>
      <c r="S365" s="1599"/>
      <c r="T365" s="1599"/>
      <c r="U365" s="1600"/>
    </row>
    <row r="366" spans="1:21" ht="15.75" thickBot="1" x14ac:dyDescent="0.3">
      <c r="A366" s="1248"/>
      <c r="B366" s="1249"/>
      <c r="C366" s="1249"/>
      <c r="D366" s="1249"/>
      <c r="E366" s="1249"/>
      <c r="F366" s="1249"/>
      <c r="G366" s="1249"/>
      <c r="H366" s="1249"/>
      <c r="I366" s="1249"/>
      <c r="J366" s="1249"/>
      <c r="K366" s="1249"/>
      <c r="L366" s="1249"/>
      <c r="M366" s="1249"/>
      <c r="N366" s="1249"/>
      <c r="O366" s="1249"/>
      <c r="P366" s="1249"/>
      <c r="Q366" s="1249"/>
      <c r="R366" s="1249"/>
      <c r="S366" s="1249"/>
      <c r="T366" s="1249"/>
      <c r="U366" s="1249"/>
    </row>
    <row r="367" spans="1:21" ht="30.75" thickBot="1" x14ac:dyDescent="0.3">
      <c r="A367" s="134"/>
      <c r="B367" s="1249"/>
      <c r="C367" s="1250" t="s">
        <v>1482</v>
      </c>
      <c r="D367" s="1610" t="s">
        <v>1712</v>
      </c>
      <c r="E367" s="1611"/>
      <c r="F367" s="1249"/>
      <c r="G367" s="1249"/>
      <c r="H367" s="194" t="s">
        <v>1479</v>
      </c>
      <c r="I367" s="1249"/>
      <c r="J367" s="194" t="s">
        <v>1480</v>
      </c>
      <c r="K367" s="1249"/>
      <c r="L367" s="194" t="s">
        <v>1496</v>
      </c>
      <c r="M367" s="1249"/>
      <c r="N367" s="194" t="s">
        <v>1481</v>
      </c>
      <c r="O367" s="1249"/>
      <c r="P367" s="194" t="s">
        <v>1588</v>
      </c>
      <c r="Q367" s="1249"/>
      <c r="R367" s="194" t="s">
        <v>1589</v>
      </c>
      <c r="S367" s="1249"/>
      <c r="T367" s="194" t="s">
        <v>1590</v>
      </c>
      <c r="U367" s="1249"/>
    </row>
    <row r="368" spans="1:21" ht="15.75" thickBot="1" x14ac:dyDescent="0.3">
      <c r="A368" s="1248"/>
      <c r="B368" s="1249"/>
      <c r="C368" s="1260"/>
      <c r="D368" s="1260"/>
      <c r="E368" s="1260"/>
      <c r="F368" s="1249"/>
      <c r="G368" s="1249"/>
      <c r="H368" s="1142"/>
      <c r="I368" s="1249"/>
      <c r="J368" s="1252"/>
      <c r="K368" s="1249"/>
      <c r="L368" s="1252"/>
      <c r="M368" s="1249"/>
      <c r="N368" s="1237"/>
      <c r="O368" s="1249"/>
      <c r="P368" s="1143" t="s">
        <v>1591</v>
      </c>
      <c r="Q368" s="1249"/>
      <c r="R368" s="1143" t="s">
        <v>1592</v>
      </c>
      <c r="S368" s="1249"/>
      <c r="T368" s="1187" t="s">
        <v>653</v>
      </c>
      <c r="U368" s="1249"/>
    </row>
    <row r="369" spans="1:21" ht="30.75" thickBot="1" x14ac:dyDescent="0.3">
      <c r="A369" s="1248"/>
      <c r="B369" s="1249"/>
      <c r="C369" s="1250" t="s">
        <v>1593</v>
      </c>
      <c r="D369" s="1609">
        <v>5001</v>
      </c>
      <c r="E369" s="1612"/>
      <c r="F369" s="1249"/>
      <c r="G369" s="1249"/>
      <c r="H369" s="1249"/>
      <c r="I369" s="1249"/>
      <c r="J369" s="1249"/>
      <c r="K369" s="1249"/>
      <c r="L369" s="1249"/>
      <c r="M369" s="1249"/>
      <c r="N369" s="1249"/>
      <c r="O369" s="1249"/>
      <c r="P369" s="1249"/>
      <c r="Q369" s="1249"/>
      <c r="R369" s="1249"/>
      <c r="S369" s="1249"/>
      <c r="T369" s="1249"/>
      <c r="U369" s="1249"/>
    </row>
    <row r="370" spans="1:21" ht="15.75" thickBot="1" x14ac:dyDescent="0.3">
      <c r="A370" s="1248"/>
      <c r="B370" s="1249"/>
      <c r="C370" s="1260"/>
      <c r="D370" s="1260"/>
      <c r="E370" s="1260"/>
      <c r="F370" s="1249"/>
      <c r="G370" s="1249"/>
      <c r="H370" s="1249"/>
      <c r="I370" s="1249"/>
      <c r="J370" s="1249"/>
      <c r="K370" s="1249"/>
      <c r="L370" s="194" t="s">
        <v>1488</v>
      </c>
      <c r="M370" s="1249"/>
      <c r="N370" s="1249"/>
      <c r="O370" s="1249"/>
      <c r="P370" s="1249"/>
      <c r="Q370" s="1249"/>
      <c r="R370" s="1249"/>
      <c r="S370" s="1249"/>
      <c r="T370" s="1249"/>
      <c r="U370" s="1249"/>
    </row>
    <row r="371" spans="1:21" ht="18" customHeight="1" thickBot="1" x14ac:dyDescent="0.3">
      <c r="A371" s="1248"/>
      <c r="B371" s="1249"/>
      <c r="C371" s="1250" t="s">
        <v>1484</v>
      </c>
      <c r="D371" s="1605" t="str">
        <f>AA28</f>
        <v/>
      </c>
      <c r="E371" s="1606"/>
      <c r="F371" s="1249"/>
      <c r="G371" s="1249"/>
      <c r="H371" s="1249"/>
      <c r="I371" s="1249"/>
      <c r="J371" s="1249"/>
      <c r="K371" s="1249"/>
      <c r="L371" s="1254"/>
      <c r="M371" s="1249"/>
      <c r="N371" s="1249"/>
      <c r="O371" s="1249"/>
      <c r="P371" s="1249"/>
      <c r="Q371" s="1249"/>
      <c r="R371" s="1249"/>
      <c r="S371" s="1249"/>
      <c r="T371" s="1249"/>
      <c r="U371" s="1249"/>
    </row>
    <row r="372" spans="1:21" ht="16.5" customHeight="1" thickBot="1" x14ac:dyDescent="0.3">
      <c r="A372" s="1248"/>
      <c r="B372" s="1249"/>
      <c r="C372" s="1260"/>
      <c r="D372" s="1186"/>
      <c r="E372" s="1186"/>
      <c r="F372" s="1249"/>
      <c r="G372" s="1249"/>
      <c r="H372" s="1249"/>
      <c r="I372" s="1249"/>
      <c r="J372" s="1249"/>
      <c r="K372" s="1249"/>
      <c r="L372" s="1249"/>
      <c r="M372" s="1249"/>
      <c r="N372" s="1249"/>
      <c r="O372" s="1249"/>
      <c r="P372" s="1249"/>
      <c r="Q372" s="1249"/>
      <c r="R372" s="1249"/>
      <c r="S372" s="1249"/>
      <c r="T372" s="1249"/>
      <c r="U372" s="1249"/>
    </row>
    <row r="373" spans="1:21" ht="30.75" thickBot="1" x14ac:dyDescent="0.3">
      <c r="A373" s="1248"/>
      <c r="B373" s="1249"/>
      <c r="C373" s="1250" t="s">
        <v>1485</v>
      </c>
      <c r="D373" s="1605" t="str">
        <f>AB28</f>
        <v/>
      </c>
      <c r="E373" s="1606"/>
      <c r="F373" s="1249"/>
      <c r="G373" s="1249"/>
      <c r="H373" s="229" t="s">
        <v>1594</v>
      </c>
      <c r="I373" s="1249"/>
      <c r="J373" s="1249"/>
      <c r="K373" s="1249"/>
      <c r="L373" s="194" t="s">
        <v>1595</v>
      </c>
      <c r="M373" s="1249"/>
      <c r="N373" s="1249"/>
      <c r="O373" s="1249"/>
      <c r="P373" s="1249"/>
      <c r="Q373" s="1249"/>
      <c r="R373" s="1249"/>
      <c r="S373" s="1249"/>
      <c r="T373" s="194" t="s">
        <v>1701</v>
      </c>
      <c r="U373" s="1249"/>
    </row>
    <row r="374" spans="1:21" ht="18" customHeight="1" thickBot="1" x14ac:dyDescent="0.3">
      <c r="A374" s="1248"/>
      <c r="B374" s="1249"/>
      <c r="C374" s="1260"/>
      <c r="D374" s="1260"/>
      <c r="E374" s="1260"/>
      <c r="F374" s="1249"/>
      <c r="G374" s="1249"/>
      <c r="H374" s="1187" t="s">
        <v>651</v>
      </c>
      <c r="I374" s="1249"/>
      <c r="J374" s="1249"/>
      <c r="K374" s="1249"/>
      <c r="L374" s="1253" t="s">
        <v>1596</v>
      </c>
      <c r="M374" s="1249"/>
      <c r="N374" s="1249"/>
      <c r="O374" s="1249"/>
      <c r="P374" s="1249"/>
      <c r="Q374" s="1249"/>
      <c r="R374" s="1249"/>
      <c r="S374" s="1249"/>
      <c r="T374" s="1253" t="s">
        <v>653</v>
      </c>
      <c r="U374" s="1249"/>
    </row>
    <row r="375" spans="1:21" ht="30" customHeight="1" thickBot="1" x14ac:dyDescent="0.3">
      <c r="A375" s="1248"/>
      <c r="B375" s="1249"/>
      <c r="C375" s="1261" t="s">
        <v>1597</v>
      </c>
      <c r="D375" s="1593" t="s">
        <v>651</v>
      </c>
      <c r="E375" s="1594"/>
      <c r="F375" s="1249"/>
      <c r="G375" s="1249"/>
      <c r="H375" s="1249"/>
      <c r="I375" s="1249"/>
      <c r="J375" s="1249"/>
      <c r="K375" s="1249"/>
      <c r="L375" s="1249"/>
      <c r="M375" s="1249"/>
      <c r="N375" s="1249"/>
      <c r="O375" s="1249"/>
      <c r="P375" s="1249"/>
      <c r="Q375" s="1249"/>
      <c r="R375" s="1249"/>
      <c r="S375" s="1249"/>
      <c r="T375" s="1249"/>
      <c r="U375" s="1249"/>
    </row>
    <row r="376" spans="1:21" ht="18" customHeight="1" thickBot="1" x14ac:dyDescent="0.3">
      <c r="A376" s="1248"/>
      <c r="B376" s="1249"/>
      <c r="C376" s="1260"/>
      <c r="D376" s="1260"/>
      <c r="E376" s="1260"/>
      <c r="F376" s="1249"/>
      <c r="G376" s="1249"/>
      <c r="H376" s="1249"/>
      <c r="I376" s="1249"/>
      <c r="J376" s="1249"/>
      <c r="K376" s="1249"/>
      <c r="L376" s="1249"/>
      <c r="M376" s="1249"/>
      <c r="N376" s="1249"/>
      <c r="O376" s="1249"/>
      <c r="P376" s="1249"/>
      <c r="Q376" s="1249"/>
      <c r="R376" s="1249"/>
      <c r="S376" s="1249"/>
      <c r="T376" s="1201" t="s">
        <v>528</v>
      </c>
      <c r="U376" s="1249"/>
    </row>
    <row r="377" spans="1:21" ht="18" customHeight="1" thickBot="1" x14ac:dyDescent="0.3">
      <c r="A377" s="1248"/>
      <c r="B377" s="1249"/>
      <c r="C377" s="1250" t="s">
        <v>1598</v>
      </c>
      <c r="D377" s="1609" t="s">
        <v>1599</v>
      </c>
      <c r="E377" s="1600"/>
      <c r="F377" s="1249"/>
      <c r="G377" s="1249"/>
      <c r="H377" s="1249"/>
      <c r="I377" s="1249"/>
      <c r="J377" s="1249"/>
      <c r="K377" s="1249"/>
      <c r="L377" s="1249"/>
      <c r="M377" s="1249"/>
      <c r="N377" s="1249"/>
      <c r="O377" s="1249"/>
      <c r="P377" s="1249"/>
      <c r="Q377" s="1249"/>
      <c r="R377" s="1249"/>
      <c r="S377" s="1249"/>
      <c r="T377" s="1233" t="str">
        <f>IF(Z28&lt;&gt;"","Yes","No")</f>
        <v>No</v>
      </c>
      <c r="U377" s="1249"/>
    </row>
    <row r="378" spans="1:21" ht="20.25" customHeight="1" thickBot="1" x14ac:dyDescent="0.3">
      <c r="A378" s="1248"/>
      <c r="B378" s="1249"/>
      <c r="C378" s="1249"/>
      <c r="D378" s="1249"/>
      <c r="E378" s="1249"/>
      <c r="F378" s="1249"/>
      <c r="G378" s="1249"/>
      <c r="H378" s="1249"/>
      <c r="I378" s="1249"/>
      <c r="J378" s="1249"/>
      <c r="K378" s="1249"/>
      <c r="L378" s="1249"/>
      <c r="M378" s="1249"/>
      <c r="N378" s="1249"/>
      <c r="O378" s="1249"/>
      <c r="P378" s="1249"/>
      <c r="Q378" s="1249"/>
      <c r="R378" s="1249"/>
      <c r="S378" s="1249"/>
      <c r="T378" s="1249"/>
      <c r="U378" s="1249"/>
    </row>
    <row r="379" spans="1:21" ht="20.25" customHeight="1" thickBot="1" x14ac:dyDescent="0.3">
      <c r="A379" s="1248"/>
      <c r="B379" s="1598" t="s">
        <v>1713</v>
      </c>
      <c r="C379" s="1599"/>
      <c r="D379" s="1599"/>
      <c r="E379" s="1599"/>
      <c r="F379" s="1599"/>
      <c r="G379" s="1599"/>
      <c r="H379" s="1599"/>
      <c r="I379" s="1599"/>
      <c r="J379" s="1599"/>
      <c r="K379" s="1599"/>
      <c r="L379" s="1599"/>
      <c r="M379" s="1599"/>
      <c r="N379" s="1599"/>
      <c r="O379" s="1599"/>
      <c r="P379" s="1599"/>
      <c r="Q379" s="1599"/>
      <c r="R379" s="1599"/>
      <c r="S379" s="1599"/>
      <c r="T379" s="1599"/>
      <c r="U379" s="1600"/>
    </row>
    <row r="380" spans="1:21" ht="15.75" thickBot="1" x14ac:dyDescent="0.3">
      <c r="A380" s="1248"/>
      <c r="B380" s="1205"/>
      <c r="C380" s="1205"/>
      <c r="D380" s="1205"/>
      <c r="E380" s="1205"/>
      <c r="F380" s="1205"/>
      <c r="G380" s="1205"/>
      <c r="H380" s="1205"/>
      <c r="I380" s="1205"/>
      <c r="J380" s="1205"/>
      <c r="K380" s="1205"/>
      <c r="L380" s="1205"/>
      <c r="M380" s="1205"/>
      <c r="N380" s="1205"/>
      <c r="O380" s="1205"/>
      <c r="P380" s="1205"/>
      <c r="Q380" s="1205"/>
      <c r="R380" s="1205"/>
      <c r="S380" s="1205"/>
      <c r="T380" s="1205"/>
      <c r="U380" s="1205"/>
    </row>
    <row r="381" spans="1:21" ht="30.75" thickBot="1" x14ac:dyDescent="0.3">
      <c r="A381" s="134"/>
      <c r="B381" s="1205"/>
      <c r="C381" s="1198" t="s">
        <v>1482</v>
      </c>
      <c r="D381" s="1601" t="s">
        <v>1210</v>
      </c>
      <c r="E381" s="1602"/>
      <c r="F381" s="1205"/>
      <c r="G381" s="1205"/>
      <c r="H381" s="1201" t="s">
        <v>1479</v>
      </c>
      <c r="I381" s="1205"/>
      <c r="J381" s="1201" t="s">
        <v>1480</v>
      </c>
      <c r="K381" s="1205"/>
      <c r="L381" s="1201" t="s">
        <v>1496</v>
      </c>
      <c r="M381" s="1205"/>
      <c r="N381" s="1201" t="s">
        <v>1481</v>
      </c>
      <c r="O381" s="1205"/>
      <c r="P381" s="1205"/>
      <c r="Q381" s="1205"/>
      <c r="R381" s="1201" t="s">
        <v>1589</v>
      </c>
      <c r="S381" s="1205"/>
      <c r="T381" s="1201" t="s">
        <v>1590</v>
      </c>
      <c r="U381" s="1205"/>
    </row>
    <row r="382" spans="1:21" ht="15.75" thickBot="1" x14ac:dyDescent="0.3">
      <c r="A382" s="1248"/>
      <c r="B382" s="1205"/>
      <c r="C382" s="1193"/>
      <c r="D382" s="1193"/>
      <c r="E382" s="1193"/>
      <c r="F382" s="1205"/>
      <c r="G382" s="1205"/>
      <c r="H382" s="1237"/>
      <c r="I382" s="1205"/>
      <c r="J382" s="1191"/>
      <c r="K382" s="1205"/>
      <c r="L382" s="1191"/>
      <c r="M382" s="1205"/>
      <c r="N382" s="1237"/>
      <c r="O382" s="1205"/>
      <c r="P382" s="1205"/>
      <c r="Q382" s="1205"/>
      <c r="R382" s="1233" t="s">
        <v>1704</v>
      </c>
      <c r="S382" s="1205"/>
      <c r="T382" s="1233" t="s">
        <v>651</v>
      </c>
      <c r="U382" s="1205"/>
    </row>
    <row r="383" spans="1:21" ht="30.75" thickBot="1" x14ac:dyDescent="0.3">
      <c r="A383" s="1248"/>
      <c r="B383" s="1205"/>
      <c r="C383" s="1201" t="s">
        <v>1593</v>
      </c>
      <c r="D383" s="1603">
        <v>801</v>
      </c>
      <c r="E383" s="1604"/>
      <c r="F383" s="1205"/>
      <c r="G383" s="1205"/>
      <c r="H383" s="1205"/>
      <c r="I383" s="1205"/>
      <c r="J383" s="1205"/>
      <c r="K383" s="1205"/>
      <c r="L383" s="1205"/>
      <c r="M383" s="1205"/>
      <c r="N383" s="1205"/>
      <c r="O383" s="1205"/>
      <c r="P383" s="1205"/>
      <c r="Q383" s="1205"/>
      <c r="R383" s="1205"/>
      <c r="S383" s="1205"/>
      <c r="T383" s="1205"/>
      <c r="U383" s="1205"/>
    </row>
    <row r="384" spans="1:21" ht="30.75" thickBot="1" x14ac:dyDescent="0.3">
      <c r="A384" s="1248"/>
      <c r="B384" s="1205"/>
      <c r="C384" s="1193"/>
      <c r="D384" s="1193"/>
      <c r="E384" s="1193"/>
      <c r="F384" s="1205"/>
      <c r="G384" s="1205"/>
      <c r="H384" s="1200" t="s">
        <v>1495</v>
      </c>
      <c r="I384" s="1205"/>
      <c r="J384" s="1200" t="s">
        <v>1576</v>
      </c>
      <c r="K384" s="1205"/>
      <c r="L384" s="1200" t="s">
        <v>1577</v>
      </c>
      <c r="M384" s="1205"/>
      <c r="N384" s="1205"/>
      <c r="O384" s="1205"/>
      <c r="P384" s="1205"/>
      <c r="Q384" s="1205"/>
      <c r="R384" s="1201" t="s">
        <v>1705</v>
      </c>
      <c r="S384" s="1205"/>
      <c r="T384" s="1201" t="s">
        <v>1706</v>
      </c>
      <c r="U384" s="1205"/>
    </row>
    <row r="385" spans="1:21" ht="18" customHeight="1" thickBot="1" x14ac:dyDescent="0.3">
      <c r="A385" s="1248"/>
      <c r="B385" s="1205"/>
      <c r="C385" s="1198" t="s">
        <v>1484</v>
      </c>
      <c r="D385" s="1605" t="str">
        <f>AA29</f>
        <v/>
      </c>
      <c r="E385" s="1606"/>
      <c r="F385" s="1205"/>
      <c r="G385" s="1205"/>
      <c r="H385" s="1166"/>
      <c r="I385" s="1205"/>
      <c r="J385" s="1166"/>
      <c r="K385" s="1205"/>
      <c r="L385" s="1166"/>
      <c r="M385" s="1205"/>
      <c r="N385" s="1205"/>
      <c r="O385" s="1205"/>
      <c r="P385" s="1205"/>
      <c r="Q385" s="1205"/>
      <c r="R385" s="1233" t="s">
        <v>1714</v>
      </c>
      <c r="S385" s="1205"/>
      <c r="T385" s="1233" t="s">
        <v>397</v>
      </c>
      <c r="U385" s="1205"/>
    </row>
    <row r="386" spans="1:21" ht="18" customHeight="1" thickBot="1" x14ac:dyDescent="0.3">
      <c r="A386" s="1248"/>
      <c r="B386" s="1205"/>
      <c r="C386" s="1193"/>
      <c r="D386" s="1186"/>
      <c r="E386" s="1186"/>
      <c r="F386" s="1205"/>
      <c r="G386" s="1205"/>
      <c r="H386" s="1205"/>
      <c r="I386" s="1205"/>
      <c r="J386" s="1205"/>
      <c r="K386" s="1205"/>
      <c r="L386" s="1205"/>
      <c r="M386" s="1205"/>
      <c r="N386" s="1205"/>
      <c r="O386" s="1205"/>
      <c r="P386" s="1205"/>
      <c r="Q386" s="1205"/>
      <c r="R386" s="1205"/>
      <c r="S386" s="1205"/>
      <c r="T386" s="1205"/>
      <c r="U386" s="1205"/>
    </row>
    <row r="387" spans="1:21" ht="45.75" customHeight="1" thickBot="1" x14ac:dyDescent="0.3">
      <c r="A387" s="1248"/>
      <c r="B387" s="1205"/>
      <c r="C387" s="1198" t="s">
        <v>1485</v>
      </c>
      <c r="D387" s="1605" t="str">
        <f>AB29</f>
        <v/>
      </c>
      <c r="E387" s="1606"/>
      <c r="F387" s="1205"/>
      <c r="G387" s="1205"/>
      <c r="H387" s="229" t="s">
        <v>1580</v>
      </c>
      <c r="I387" s="1205"/>
      <c r="J387" s="229" t="s">
        <v>1581</v>
      </c>
      <c r="K387" s="1205"/>
      <c r="L387" s="1297" t="s">
        <v>1212</v>
      </c>
      <c r="M387" s="1205"/>
      <c r="N387" s="1297" t="s">
        <v>1582</v>
      </c>
      <c r="O387" s="1205"/>
      <c r="P387" s="229" t="s">
        <v>1211</v>
      </c>
      <c r="Q387" s="1205"/>
      <c r="R387" s="229" t="s">
        <v>1501</v>
      </c>
      <c r="S387" s="1205"/>
      <c r="T387" s="1201" t="s">
        <v>1701</v>
      </c>
      <c r="U387" s="1205"/>
    </row>
    <row r="388" spans="1:21" ht="18" customHeight="1" thickBot="1" x14ac:dyDescent="0.3">
      <c r="A388" s="1248"/>
      <c r="B388" s="1205"/>
      <c r="C388" s="1193"/>
      <c r="D388" s="1193"/>
      <c r="E388" s="1193"/>
      <c r="F388" s="1205"/>
      <c r="G388" s="1205"/>
      <c r="H388" s="1191"/>
      <c r="I388" s="1205"/>
      <c r="J388" s="1191"/>
      <c r="K388" s="1205"/>
      <c r="L388" s="1262"/>
      <c r="M388" s="1205"/>
      <c r="N388" s="1262"/>
      <c r="O388" s="1205"/>
      <c r="P388" s="1166"/>
      <c r="Q388" s="1205"/>
      <c r="R388" s="1191"/>
      <c r="S388" s="1205"/>
      <c r="T388" s="1233" t="s">
        <v>653</v>
      </c>
      <c r="U388" s="1205"/>
    </row>
    <row r="389" spans="1:21" ht="30" customHeight="1" thickBot="1" x14ac:dyDescent="0.3">
      <c r="A389" s="1248"/>
      <c r="B389" s="1205"/>
      <c r="C389" s="1199" t="s">
        <v>1597</v>
      </c>
      <c r="D389" s="1593" t="s">
        <v>651</v>
      </c>
      <c r="E389" s="1594"/>
      <c r="F389" s="1205"/>
      <c r="G389" s="1205"/>
      <c r="H389" s="1205"/>
      <c r="I389" s="1205"/>
      <c r="J389" s="1205"/>
      <c r="K389" s="1205"/>
      <c r="L389" s="1205"/>
      <c r="M389" s="1205"/>
      <c r="N389" s="1205"/>
      <c r="O389" s="1205"/>
      <c r="P389" s="1205"/>
      <c r="Q389" s="1205"/>
      <c r="R389" s="1205"/>
      <c r="S389" s="1205"/>
      <c r="T389" s="1205"/>
      <c r="U389" s="1205"/>
    </row>
    <row r="390" spans="1:21" ht="30.75" thickBot="1" x14ac:dyDescent="0.3">
      <c r="A390" s="1248"/>
      <c r="B390" s="1205"/>
      <c r="C390" s="1193"/>
      <c r="D390" s="1193"/>
      <c r="E390" s="1193"/>
      <c r="F390" s="1205"/>
      <c r="G390" s="1205"/>
      <c r="H390" s="1200" t="s">
        <v>1594</v>
      </c>
      <c r="I390" s="1205"/>
      <c r="J390" s="1205"/>
      <c r="K390" s="1205"/>
      <c r="L390" s="1205"/>
      <c r="M390" s="1205"/>
      <c r="N390" s="1205"/>
      <c r="O390" s="1205"/>
      <c r="P390" s="1205"/>
      <c r="Q390" s="1205"/>
      <c r="R390" s="1205"/>
      <c r="S390" s="1205"/>
      <c r="T390" s="1201" t="s">
        <v>528</v>
      </c>
      <c r="U390" s="1205"/>
    </row>
    <row r="391" spans="1:21" ht="18" customHeight="1" thickBot="1" x14ac:dyDescent="0.3">
      <c r="A391" s="1248"/>
      <c r="B391" s="1205"/>
      <c r="C391" s="1198" t="s">
        <v>1598</v>
      </c>
      <c r="D391" s="1603" t="s">
        <v>1708</v>
      </c>
      <c r="E391" s="1586"/>
      <c r="F391" s="1205"/>
      <c r="G391" s="1205"/>
      <c r="H391" s="1187" t="s">
        <v>651</v>
      </c>
      <c r="I391" s="1205"/>
      <c r="J391" s="1205"/>
      <c r="K391" s="1205"/>
      <c r="L391" s="1205"/>
      <c r="M391" s="1205"/>
      <c r="N391" s="1205"/>
      <c r="O391" s="1205"/>
      <c r="P391" s="1205"/>
      <c r="Q391" s="1205"/>
      <c r="R391" s="1205"/>
      <c r="S391" s="1205"/>
      <c r="T391" s="1233" t="str">
        <f>IF(Z29&lt;&gt;"","Yes","No")</f>
        <v>No</v>
      </c>
      <c r="U391" s="1205"/>
    </row>
    <row r="392" spans="1:21" ht="20.25" customHeight="1" thickBot="1" x14ac:dyDescent="0.3">
      <c r="A392" s="1248"/>
      <c r="B392" s="1205"/>
      <c r="C392" s="1205"/>
      <c r="D392" s="1205"/>
      <c r="E392" s="1205"/>
      <c r="F392" s="1205"/>
      <c r="G392" s="1205"/>
      <c r="H392" s="1205"/>
      <c r="I392" s="1205"/>
      <c r="J392" s="1205"/>
      <c r="K392" s="1205"/>
      <c r="L392" s="1205"/>
      <c r="M392" s="1205"/>
      <c r="N392" s="1205"/>
      <c r="O392" s="1205"/>
      <c r="P392" s="1205"/>
      <c r="Q392" s="1205"/>
      <c r="R392" s="1205"/>
      <c r="S392" s="1205"/>
      <c r="T392" s="1205"/>
      <c r="U392" s="1205"/>
    </row>
    <row r="393" spans="1:21" ht="20.25" customHeight="1" thickBot="1" x14ac:dyDescent="0.3">
      <c r="A393" s="1248"/>
      <c r="B393" s="1607" t="s">
        <v>1715</v>
      </c>
      <c r="C393" s="1585"/>
      <c r="D393" s="1585"/>
      <c r="E393" s="1585"/>
      <c r="F393" s="1585"/>
      <c r="G393" s="1585"/>
      <c r="H393" s="1585"/>
      <c r="I393" s="1585"/>
      <c r="J393" s="1585"/>
      <c r="K393" s="1585"/>
      <c r="L393" s="1585"/>
      <c r="M393" s="1585"/>
      <c r="N393" s="1585"/>
      <c r="O393" s="1585"/>
      <c r="P393" s="1585"/>
      <c r="Q393" s="1585"/>
      <c r="R393" s="1585"/>
      <c r="S393" s="1585"/>
      <c r="T393" s="1585"/>
      <c r="U393" s="1586"/>
    </row>
    <row r="394" spans="1:21" ht="15.75" thickBot="1" x14ac:dyDescent="0.3">
      <c r="A394" s="1248"/>
      <c r="B394" s="1205"/>
      <c r="C394" s="1205"/>
      <c r="D394" s="1205"/>
      <c r="E394" s="1205"/>
      <c r="F394" s="1205"/>
      <c r="G394" s="1205"/>
      <c r="H394" s="1205"/>
      <c r="I394" s="1205"/>
      <c r="J394" s="1205"/>
      <c r="K394" s="1205"/>
      <c r="L394" s="1205"/>
      <c r="M394" s="1205"/>
      <c r="N394" s="1205"/>
      <c r="O394" s="1205"/>
      <c r="P394" s="1205"/>
      <c r="Q394" s="1205"/>
      <c r="R394" s="1205"/>
      <c r="S394" s="1205"/>
      <c r="T394" s="1205"/>
      <c r="U394" s="1205"/>
    </row>
    <row r="395" spans="1:21" ht="30.75" thickBot="1" x14ac:dyDescent="0.3">
      <c r="A395" s="134"/>
      <c r="B395" s="1205"/>
      <c r="C395" s="1198" t="s">
        <v>1482</v>
      </c>
      <c r="D395" s="1601" t="s">
        <v>1716</v>
      </c>
      <c r="E395" s="1602"/>
      <c r="F395" s="1205"/>
      <c r="G395" s="1205"/>
      <c r="H395" s="1201" t="s">
        <v>1479</v>
      </c>
      <c r="I395" s="1205"/>
      <c r="J395" s="1201" t="s">
        <v>1480</v>
      </c>
      <c r="K395" s="1205"/>
      <c r="L395" s="1201" t="s">
        <v>1496</v>
      </c>
      <c r="M395" s="1205"/>
      <c r="N395" s="1201" t="s">
        <v>1481</v>
      </c>
      <c r="O395" s="1205"/>
      <c r="P395" s="1205"/>
      <c r="Q395" s="1205"/>
      <c r="R395" s="1201" t="s">
        <v>1589</v>
      </c>
      <c r="S395" s="1205"/>
      <c r="T395" s="1201" t="s">
        <v>1590</v>
      </c>
      <c r="U395" s="1205"/>
    </row>
    <row r="396" spans="1:21" ht="15.75" thickBot="1" x14ac:dyDescent="0.3">
      <c r="A396" s="1248"/>
      <c r="B396" s="1205"/>
      <c r="C396" s="1193"/>
      <c r="D396" s="1193"/>
      <c r="E396" s="1193"/>
      <c r="F396" s="1205"/>
      <c r="G396" s="1205"/>
      <c r="H396" s="1237"/>
      <c r="I396" s="1205"/>
      <c r="J396" s="1191"/>
      <c r="K396" s="1205"/>
      <c r="L396" s="1191"/>
      <c r="M396" s="1205"/>
      <c r="N396" s="1237"/>
      <c r="O396" s="1205"/>
      <c r="P396" s="1205"/>
      <c r="Q396" s="1205"/>
      <c r="R396" s="1233" t="s">
        <v>1704</v>
      </c>
      <c r="S396" s="1205"/>
      <c r="T396" s="1233" t="s">
        <v>651</v>
      </c>
      <c r="U396" s="1205"/>
    </row>
    <row r="397" spans="1:21" ht="30.75" thickBot="1" x14ac:dyDescent="0.3">
      <c r="A397" s="1248"/>
      <c r="B397" s="1205"/>
      <c r="C397" s="1198" t="s">
        <v>1593</v>
      </c>
      <c r="D397" s="1603">
        <v>901</v>
      </c>
      <c r="E397" s="1604"/>
      <c r="F397" s="1205"/>
      <c r="G397" s="1205"/>
      <c r="H397" s="1205"/>
      <c r="I397" s="1205"/>
      <c r="J397" s="1205"/>
      <c r="K397" s="1205"/>
      <c r="L397" s="1205"/>
      <c r="M397" s="1205"/>
      <c r="N397" s="1205"/>
      <c r="O397" s="1205"/>
      <c r="P397" s="1205"/>
      <c r="Q397" s="1205"/>
      <c r="R397" s="1205"/>
      <c r="S397" s="1205"/>
      <c r="T397" s="1205"/>
      <c r="U397" s="1205"/>
    </row>
    <row r="398" spans="1:21" ht="30.75" thickBot="1" x14ac:dyDescent="0.3">
      <c r="A398" s="1248"/>
      <c r="B398" s="1205"/>
      <c r="C398" s="1193"/>
      <c r="D398" s="1193"/>
      <c r="E398" s="1193"/>
      <c r="F398" s="1205"/>
      <c r="G398" s="1205"/>
      <c r="H398" s="1279" t="s">
        <v>1495</v>
      </c>
      <c r="I398" s="1205"/>
      <c r="J398" s="1279" t="s">
        <v>1576</v>
      </c>
      <c r="K398" s="1205"/>
      <c r="L398" s="1205"/>
      <c r="M398" s="1205"/>
      <c r="N398" s="1205"/>
      <c r="O398" s="1205"/>
      <c r="P398" s="1205"/>
      <c r="Q398" s="1205"/>
      <c r="R398" s="1201" t="s">
        <v>1705</v>
      </c>
      <c r="S398" s="1205"/>
      <c r="T398" s="1201" t="s">
        <v>1706</v>
      </c>
      <c r="U398" s="1205"/>
    </row>
    <row r="399" spans="1:21" ht="18" customHeight="1" thickBot="1" x14ac:dyDescent="0.3">
      <c r="A399" s="1248"/>
      <c r="B399" s="1205"/>
      <c r="C399" s="1198" t="s">
        <v>1484</v>
      </c>
      <c r="D399" s="1605" t="str">
        <f>AA30</f>
        <v/>
      </c>
      <c r="E399" s="1606"/>
      <c r="F399" s="1205"/>
      <c r="G399" s="1205"/>
      <c r="H399" s="1166">
        <v>0</v>
      </c>
      <c r="I399" s="1205"/>
      <c r="J399" s="1166"/>
      <c r="K399" s="1205"/>
      <c r="L399" s="1205"/>
      <c r="M399" s="1205"/>
      <c r="N399" s="1205"/>
      <c r="O399" s="1205"/>
      <c r="P399" s="1205"/>
      <c r="Q399" s="1205"/>
      <c r="R399" s="1233" t="s">
        <v>1714</v>
      </c>
      <c r="S399" s="1205"/>
      <c r="T399" s="1233" t="s">
        <v>397</v>
      </c>
      <c r="U399" s="1205"/>
    </row>
    <row r="400" spans="1:21" ht="18" customHeight="1" thickBot="1" x14ac:dyDescent="0.3">
      <c r="A400" s="1248"/>
      <c r="B400" s="1205"/>
      <c r="C400" s="1193"/>
      <c r="D400" s="1186"/>
      <c r="E400" s="1186"/>
      <c r="F400" s="1205"/>
      <c r="G400" s="1205"/>
      <c r="H400" s="1205"/>
      <c r="I400" s="1205"/>
      <c r="J400" s="1205"/>
      <c r="K400" s="1205"/>
      <c r="L400" s="1205"/>
      <c r="M400" s="1205"/>
      <c r="N400" s="1205"/>
      <c r="O400" s="1205"/>
      <c r="P400" s="1205"/>
      <c r="Q400" s="1205"/>
      <c r="R400" s="1205"/>
      <c r="S400" s="1205"/>
      <c r="T400" s="1205"/>
      <c r="U400" s="1205"/>
    </row>
    <row r="401" spans="1:21" ht="43.5" customHeight="1" thickBot="1" x14ac:dyDescent="0.3">
      <c r="A401" s="1248"/>
      <c r="B401" s="1205"/>
      <c r="C401" s="1198" t="s">
        <v>1485</v>
      </c>
      <c r="D401" s="1605" t="str">
        <f>AB30</f>
        <v/>
      </c>
      <c r="E401" s="1606"/>
      <c r="F401" s="1205"/>
      <c r="G401" s="1205"/>
      <c r="H401" s="229" t="s">
        <v>1580</v>
      </c>
      <c r="I401" s="1205"/>
      <c r="J401" s="229" t="s">
        <v>1581</v>
      </c>
      <c r="K401" s="1205"/>
      <c r="L401" s="1297" t="s">
        <v>1212</v>
      </c>
      <c r="M401" s="1205"/>
      <c r="N401" s="1297" t="s">
        <v>1582</v>
      </c>
      <c r="O401" s="1205"/>
      <c r="P401" s="229" t="s">
        <v>1211</v>
      </c>
      <c r="Q401" s="1205"/>
      <c r="R401" s="229" t="s">
        <v>1501</v>
      </c>
      <c r="S401" s="1205"/>
      <c r="T401" s="1201" t="s">
        <v>1701</v>
      </c>
      <c r="U401" s="1205"/>
    </row>
    <row r="402" spans="1:21" ht="18" customHeight="1" thickBot="1" x14ac:dyDescent="0.3">
      <c r="A402" s="1248"/>
      <c r="B402" s="1205"/>
      <c r="C402" s="1193"/>
      <c r="D402" s="1193"/>
      <c r="E402" s="1193"/>
      <c r="F402" s="1205"/>
      <c r="G402" s="1205"/>
      <c r="H402" s="1191"/>
      <c r="I402" s="1205"/>
      <c r="J402" s="1191"/>
      <c r="K402" s="1205"/>
      <c r="L402" s="1262"/>
      <c r="M402" s="1205"/>
      <c r="N402" s="1262"/>
      <c r="O402" s="1205"/>
      <c r="P402" s="1166"/>
      <c r="Q402" s="1205"/>
      <c r="R402" s="1191"/>
      <c r="S402" s="1205"/>
      <c r="T402" s="1233" t="s">
        <v>653</v>
      </c>
      <c r="U402" s="1205"/>
    </row>
    <row r="403" spans="1:21" ht="30" customHeight="1" thickBot="1" x14ac:dyDescent="0.3">
      <c r="A403" s="1248"/>
      <c r="B403" s="1205"/>
      <c r="C403" s="1199" t="s">
        <v>1597</v>
      </c>
      <c r="D403" s="1593" t="s">
        <v>651</v>
      </c>
      <c r="E403" s="1594"/>
      <c r="F403" s="1205"/>
      <c r="G403" s="1205"/>
      <c r="H403" s="1205"/>
      <c r="I403" s="1205"/>
      <c r="J403" s="1205"/>
      <c r="K403" s="1205"/>
      <c r="L403" s="1205"/>
      <c r="M403" s="1205"/>
      <c r="N403" s="1205"/>
      <c r="O403" s="1205"/>
      <c r="P403" s="1205"/>
      <c r="Q403" s="1205"/>
      <c r="R403" s="1205"/>
      <c r="S403" s="1205"/>
      <c r="T403" s="1205"/>
      <c r="U403" s="1205"/>
    </row>
    <row r="404" spans="1:21" ht="30.75" thickBot="1" x14ac:dyDescent="0.3">
      <c r="A404" s="1248"/>
      <c r="B404" s="1205"/>
      <c r="C404" s="1193"/>
      <c r="D404" s="1193"/>
      <c r="E404" s="1193"/>
      <c r="F404" s="1205"/>
      <c r="G404" s="1205"/>
      <c r="H404" s="1200" t="s">
        <v>1594</v>
      </c>
      <c r="I404" s="1205"/>
      <c r="J404" s="1205"/>
      <c r="K404" s="1205"/>
      <c r="L404" s="1205"/>
      <c r="M404" s="1205"/>
      <c r="N404" s="1205"/>
      <c r="O404" s="1205"/>
      <c r="P404" s="1205"/>
      <c r="Q404" s="1205"/>
      <c r="R404" s="1205"/>
      <c r="S404" s="1205"/>
      <c r="T404" s="1201" t="s">
        <v>528</v>
      </c>
      <c r="U404" s="1205"/>
    </row>
    <row r="405" spans="1:21" ht="18" customHeight="1" thickBot="1" x14ac:dyDescent="0.3">
      <c r="A405" s="1248"/>
      <c r="B405" s="1205"/>
      <c r="C405" s="1198" t="s">
        <v>1598</v>
      </c>
      <c r="D405" s="1603" t="s">
        <v>1708</v>
      </c>
      <c r="E405" s="1586"/>
      <c r="F405" s="1205"/>
      <c r="G405" s="1205"/>
      <c r="H405" s="1187" t="s">
        <v>651</v>
      </c>
      <c r="I405" s="1205"/>
      <c r="J405" s="1205"/>
      <c r="K405" s="1205"/>
      <c r="L405" s="1205"/>
      <c r="M405" s="1205"/>
      <c r="N405" s="1205"/>
      <c r="O405" s="1205"/>
      <c r="P405" s="1205"/>
      <c r="Q405" s="1205"/>
      <c r="R405" s="1205"/>
      <c r="S405" s="1205"/>
      <c r="T405" s="1233" t="str">
        <f>IF(Z30&lt;&gt;"","Yes","No")</f>
        <v>No</v>
      </c>
      <c r="U405" s="1205"/>
    </row>
    <row r="406" spans="1:21" ht="20.25" customHeight="1" thickBot="1" x14ac:dyDescent="0.3">
      <c r="A406" s="1248"/>
      <c r="B406" s="1205"/>
      <c r="C406" s="1205"/>
      <c r="D406" s="1205"/>
      <c r="E406" s="1205"/>
      <c r="F406" s="1205"/>
      <c r="G406" s="1205"/>
      <c r="H406" s="1205"/>
      <c r="I406" s="1205"/>
      <c r="J406" s="1205"/>
      <c r="K406" s="1205"/>
      <c r="L406" s="1205"/>
      <c r="M406" s="1205"/>
      <c r="N406" s="1205"/>
      <c r="O406" s="1205"/>
      <c r="P406" s="1205"/>
      <c r="Q406" s="1205"/>
      <c r="R406" s="1205"/>
      <c r="S406" s="1205"/>
      <c r="T406" s="1205"/>
      <c r="U406" s="1205"/>
    </row>
    <row r="407" spans="1:21" ht="20.25" customHeight="1" thickBot="1" x14ac:dyDescent="0.3">
      <c r="A407" s="1248"/>
      <c r="B407" s="1607" t="s">
        <v>1717</v>
      </c>
      <c r="C407" s="1585"/>
      <c r="D407" s="1585"/>
      <c r="E407" s="1585"/>
      <c r="F407" s="1585"/>
      <c r="G407" s="1585"/>
      <c r="H407" s="1585"/>
      <c r="I407" s="1585"/>
      <c r="J407" s="1585"/>
      <c r="K407" s="1585"/>
      <c r="L407" s="1585"/>
      <c r="M407" s="1585"/>
      <c r="N407" s="1585"/>
      <c r="O407" s="1585"/>
      <c r="P407" s="1585"/>
      <c r="Q407" s="1585"/>
      <c r="R407" s="1585"/>
      <c r="S407" s="1585"/>
      <c r="T407" s="1585"/>
      <c r="U407" s="1586"/>
    </row>
    <row r="408" spans="1:21" ht="20.25" customHeight="1" thickBot="1" x14ac:dyDescent="0.3">
      <c r="A408" s="1248"/>
      <c r="B408" s="1205"/>
      <c r="C408" s="1205"/>
      <c r="D408" s="1205"/>
      <c r="E408" s="1205"/>
      <c r="F408" s="1205"/>
      <c r="G408" s="1205"/>
      <c r="H408" s="1205"/>
      <c r="I408" s="1205"/>
      <c r="J408" s="1205"/>
      <c r="K408" s="1205"/>
      <c r="L408" s="1205"/>
      <c r="M408" s="1205"/>
      <c r="N408" s="1205"/>
      <c r="O408" s="1205"/>
      <c r="P408" s="1205"/>
      <c r="Q408" s="1205"/>
      <c r="R408" s="1205"/>
      <c r="S408" s="1205"/>
      <c r="T408" s="1205"/>
      <c r="U408" s="1205"/>
    </row>
    <row r="409" spans="1:21" ht="30.75" thickBot="1" x14ac:dyDescent="0.3">
      <c r="A409" s="134"/>
      <c r="B409" s="1205"/>
      <c r="C409" s="1198" t="s">
        <v>1482</v>
      </c>
      <c r="D409" s="1601" t="s">
        <v>1718</v>
      </c>
      <c r="E409" s="1602"/>
      <c r="F409" s="1205"/>
      <c r="G409" s="1205"/>
      <c r="H409" s="1201" t="s">
        <v>1479</v>
      </c>
      <c r="I409" s="1205"/>
      <c r="J409" s="1201" t="s">
        <v>1480</v>
      </c>
      <c r="K409" s="1205"/>
      <c r="L409" s="1201" t="s">
        <v>1496</v>
      </c>
      <c r="M409" s="1205"/>
      <c r="N409" s="1201" t="s">
        <v>1481</v>
      </c>
      <c r="O409" s="1205"/>
      <c r="P409" s="1205"/>
      <c r="Q409" s="1205"/>
      <c r="R409" s="1201" t="s">
        <v>1589</v>
      </c>
      <c r="S409" s="1205"/>
      <c r="T409" s="1201" t="s">
        <v>1590</v>
      </c>
      <c r="U409" s="1205"/>
    </row>
    <row r="410" spans="1:21" ht="20.25" customHeight="1" thickBot="1" x14ac:dyDescent="0.3">
      <c r="A410" s="1248"/>
      <c r="B410" s="1205"/>
      <c r="C410" s="1193"/>
      <c r="D410" s="1193"/>
      <c r="E410" s="1193"/>
      <c r="F410" s="1205"/>
      <c r="G410" s="1205"/>
      <c r="H410" s="1237"/>
      <c r="I410" s="1205"/>
      <c r="J410" s="1191"/>
      <c r="K410" s="1205"/>
      <c r="L410" s="1191"/>
      <c r="M410" s="1205"/>
      <c r="N410" s="1237"/>
      <c r="O410" s="1205"/>
      <c r="P410" s="1205"/>
      <c r="Q410" s="1205"/>
      <c r="R410" s="1233" t="s">
        <v>1704</v>
      </c>
      <c r="S410" s="1205"/>
      <c r="T410" s="1233" t="s">
        <v>651</v>
      </c>
      <c r="U410" s="1205"/>
    </row>
    <row r="411" spans="1:21" ht="30.75" thickBot="1" x14ac:dyDescent="0.3">
      <c r="A411" s="1248"/>
      <c r="B411" s="1205"/>
      <c r="C411" s="1198" t="s">
        <v>1593</v>
      </c>
      <c r="D411" s="1603">
        <v>501</v>
      </c>
      <c r="E411" s="1604"/>
      <c r="F411" s="1205"/>
      <c r="G411" s="1205"/>
      <c r="H411" s="1205"/>
      <c r="I411" s="1205"/>
      <c r="J411" s="1205"/>
      <c r="K411" s="1205"/>
      <c r="L411" s="1205"/>
      <c r="M411" s="1205"/>
      <c r="N411" s="1205"/>
      <c r="O411" s="1205"/>
      <c r="P411" s="1205"/>
      <c r="Q411" s="1205"/>
      <c r="R411" s="1205"/>
      <c r="S411" s="1205"/>
      <c r="T411" s="1205"/>
      <c r="U411" s="1205"/>
    </row>
    <row r="412" spans="1:21" ht="20.25" customHeight="1" thickBot="1" x14ac:dyDescent="0.3">
      <c r="A412" s="1248"/>
      <c r="B412" s="1205"/>
      <c r="C412" s="1193"/>
      <c r="D412" s="1193"/>
      <c r="E412" s="1193"/>
      <c r="F412" s="1205"/>
      <c r="G412" s="1205"/>
      <c r="H412" s="1200" t="s">
        <v>1495</v>
      </c>
      <c r="I412" s="1205"/>
      <c r="J412" s="1205"/>
      <c r="K412" s="1205"/>
      <c r="L412" s="1205"/>
      <c r="M412" s="1205"/>
      <c r="N412" s="1205"/>
      <c r="O412" s="1205"/>
      <c r="P412" s="1205"/>
      <c r="Q412" s="1205"/>
      <c r="R412" s="1201" t="s">
        <v>1705</v>
      </c>
      <c r="S412" s="1205"/>
      <c r="T412" s="1201" t="s">
        <v>1706</v>
      </c>
      <c r="U412" s="1205"/>
    </row>
    <row r="413" spans="1:21" ht="18" customHeight="1" thickBot="1" x14ac:dyDescent="0.3">
      <c r="A413" s="1248"/>
      <c r="B413" s="1205"/>
      <c r="C413" s="1198" t="s">
        <v>1484</v>
      </c>
      <c r="D413" s="1605" t="str">
        <f>AA31</f>
        <v/>
      </c>
      <c r="E413" s="1606"/>
      <c r="F413" s="1205"/>
      <c r="G413" s="1205"/>
      <c r="H413" s="1166"/>
      <c r="I413" s="1205"/>
      <c r="J413" s="1205"/>
      <c r="K413" s="1205"/>
      <c r="L413" s="1205"/>
      <c r="M413" s="1205"/>
      <c r="N413" s="1205"/>
      <c r="O413" s="1205"/>
      <c r="P413" s="1205"/>
      <c r="Q413" s="1205"/>
      <c r="R413" s="1233" t="s">
        <v>1714</v>
      </c>
      <c r="S413" s="1205"/>
      <c r="T413" s="1233" t="s">
        <v>397</v>
      </c>
      <c r="U413" s="1205"/>
    </row>
    <row r="414" spans="1:21" ht="18" customHeight="1" thickBot="1" x14ac:dyDescent="0.3">
      <c r="A414" s="1248"/>
      <c r="B414" s="1205"/>
      <c r="C414" s="1193"/>
      <c r="D414" s="1186"/>
      <c r="E414" s="1186"/>
      <c r="F414" s="1205"/>
      <c r="G414" s="1205"/>
      <c r="H414" s="1205"/>
      <c r="I414" s="1205"/>
      <c r="J414" s="1205"/>
      <c r="K414" s="1205"/>
      <c r="L414" s="1205"/>
      <c r="M414" s="1205"/>
      <c r="N414" s="1205"/>
      <c r="O414" s="1205"/>
      <c r="P414" s="1205"/>
      <c r="Q414" s="1205"/>
      <c r="R414" s="1205"/>
      <c r="S414" s="1205"/>
      <c r="T414" s="1205"/>
      <c r="U414" s="1205"/>
    </row>
    <row r="415" spans="1:21" ht="30.75" thickBot="1" x14ac:dyDescent="0.3">
      <c r="A415" s="1248"/>
      <c r="B415" s="1205"/>
      <c r="C415" s="1198" t="s">
        <v>1485</v>
      </c>
      <c r="D415" s="1605" t="str">
        <f>AB31</f>
        <v/>
      </c>
      <c r="E415" s="1606"/>
      <c r="F415" s="1205"/>
      <c r="G415" s="1205"/>
      <c r="H415" s="1200" t="s">
        <v>1594</v>
      </c>
      <c r="I415" s="1205"/>
      <c r="J415" s="1205"/>
      <c r="K415" s="1205"/>
      <c r="L415" s="1205"/>
      <c r="M415" s="1205"/>
      <c r="N415" s="1205"/>
      <c r="O415" s="1205"/>
      <c r="P415" s="1205"/>
      <c r="Q415" s="1205"/>
      <c r="R415" s="1205"/>
      <c r="S415" s="1205"/>
      <c r="T415" s="1201" t="s">
        <v>1701</v>
      </c>
      <c r="U415" s="1205"/>
    </row>
    <row r="416" spans="1:21" ht="15.75" thickBot="1" x14ac:dyDescent="0.3">
      <c r="A416" s="1248"/>
      <c r="B416" s="1205"/>
      <c r="C416" s="1193"/>
      <c r="D416" s="1193"/>
      <c r="E416" s="1193"/>
      <c r="F416" s="1205"/>
      <c r="G416" s="1205"/>
      <c r="H416" s="1187" t="s">
        <v>651</v>
      </c>
      <c r="I416" s="1205"/>
      <c r="J416" s="1205"/>
      <c r="K416" s="1205"/>
      <c r="L416" s="1205"/>
      <c r="M416" s="1205"/>
      <c r="N416" s="1205"/>
      <c r="O416" s="1205"/>
      <c r="P416" s="1205"/>
      <c r="Q416" s="1205"/>
      <c r="R416" s="1205"/>
      <c r="S416" s="1205"/>
      <c r="T416" s="1233" t="s">
        <v>653</v>
      </c>
      <c r="U416" s="1205"/>
    </row>
    <row r="417" spans="1:21" ht="30" customHeight="1" thickBot="1" x14ac:dyDescent="0.3">
      <c r="A417" s="1248"/>
      <c r="B417" s="1205"/>
      <c r="C417" s="1199" t="s">
        <v>1597</v>
      </c>
      <c r="D417" s="1593" t="s">
        <v>651</v>
      </c>
      <c r="E417" s="1594"/>
      <c r="F417" s="1205"/>
      <c r="G417" s="1205"/>
      <c r="H417" s="1205"/>
      <c r="I417" s="1205"/>
      <c r="J417" s="1205"/>
      <c r="K417" s="1205"/>
      <c r="L417" s="1205"/>
      <c r="M417" s="1205"/>
      <c r="N417" s="1205"/>
      <c r="O417" s="1205"/>
      <c r="P417" s="1205"/>
      <c r="Q417" s="1205"/>
      <c r="R417" s="1205"/>
      <c r="S417" s="1205"/>
      <c r="T417" s="1205"/>
      <c r="U417" s="1205"/>
    </row>
    <row r="418" spans="1:21" ht="15.75" thickBot="1" x14ac:dyDescent="0.3">
      <c r="A418" s="1248"/>
      <c r="B418" s="1205"/>
      <c r="C418" s="1193"/>
      <c r="D418" s="1193"/>
      <c r="E418" s="1193"/>
      <c r="F418" s="1205"/>
      <c r="G418" s="1205"/>
      <c r="H418" s="1205"/>
      <c r="I418" s="1205"/>
      <c r="J418" s="1205"/>
      <c r="K418" s="1205"/>
      <c r="L418" s="1205"/>
      <c r="M418" s="1205"/>
      <c r="N418" s="1205"/>
      <c r="O418" s="1205"/>
      <c r="P418" s="1205"/>
      <c r="Q418" s="1205"/>
      <c r="R418" s="1205"/>
      <c r="S418" s="1205"/>
      <c r="T418" s="1201" t="s">
        <v>528</v>
      </c>
      <c r="U418" s="1205"/>
    </row>
    <row r="419" spans="1:21" ht="18" customHeight="1" thickBot="1" x14ac:dyDescent="0.3">
      <c r="A419" s="1248"/>
      <c r="B419" s="1205"/>
      <c r="C419" s="1198" t="s">
        <v>1598</v>
      </c>
      <c r="D419" s="1603" t="s">
        <v>1708</v>
      </c>
      <c r="E419" s="1586"/>
      <c r="F419" s="1205"/>
      <c r="G419" s="1205"/>
      <c r="H419" s="1205"/>
      <c r="I419" s="1205"/>
      <c r="J419" s="1205"/>
      <c r="K419" s="1205"/>
      <c r="L419" s="1205"/>
      <c r="M419" s="1205"/>
      <c r="N419" s="1205"/>
      <c r="O419" s="1205"/>
      <c r="P419" s="1205"/>
      <c r="Q419" s="1205"/>
      <c r="R419" s="1205"/>
      <c r="S419" s="1205"/>
      <c r="T419" s="1233" t="str">
        <f>IF(Z31&lt;&gt;"","Yes","No")</f>
        <v>No</v>
      </c>
      <c r="U419" s="1205"/>
    </row>
    <row r="420" spans="1:21" ht="15.75" thickBot="1" x14ac:dyDescent="0.3">
      <c r="A420" s="1248"/>
      <c r="B420" s="1205"/>
      <c r="C420" s="1205"/>
      <c r="D420" s="1205"/>
      <c r="E420" s="1205"/>
      <c r="F420" s="1205"/>
      <c r="G420" s="1205"/>
      <c r="H420" s="1205"/>
      <c r="I420" s="1205"/>
      <c r="J420" s="1205"/>
      <c r="K420" s="1205"/>
      <c r="L420" s="1205"/>
      <c r="M420" s="1205"/>
      <c r="N420" s="1205"/>
      <c r="O420" s="1205"/>
      <c r="P420" s="1205"/>
      <c r="Q420" s="1205"/>
      <c r="R420" s="1205"/>
      <c r="S420" s="1205"/>
      <c r="T420" s="1205"/>
      <c r="U420" s="1205"/>
    </row>
    <row r="421" spans="1:21" ht="20.25" customHeight="1" thickBot="1" x14ac:dyDescent="0.3">
      <c r="A421" s="1248"/>
      <c r="B421" s="1607" t="s">
        <v>1719</v>
      </c>
      <c r="C421" s="1585"/>
      <c r="D421" s="1585"/>
      <c r="E421" s="1585"/>
      <c r="F421" s="1585"/>
      <c r="G421" s="1585"/>
      <c r="H421" s="1585"/>
      <c r="I421" s="1585"/>
      <c r="J421" s="1585"/>
      <c r="K421" s="1585"/>
      <c r="L421" s="1585"/>
      <c r="M421" s="1585"/>
      <c r="N421" s="1585"/>
      <c r="O421" s="1585"/>
      <c r="P421" s="1585"/>
      <c r="Q421" s="1585"/>
      <c r="R421" s="1585"/>
      <c r="S421" s="1585"/>
      <c r="T421" s="1585"/>
      <c r="U421" s="1586"/>
    </row>
    <row r="422" spans="1:21" ht="20.25" customHeight="1" thickBot="1" x14ac:dyDescent="0.3">
      <c r="A422" s="1248"/>
      <c r="B422" s="1205"/>
      <c r="C422" s="1205"/>
      <c r="D422" s="1205"/>
      <c r="E422" s="1205"/>
      <c r="F422" s="1205"/>
      <c r="G422" s="1205"/>
      <c r="H422" s="1205"/>
      <c r="I422" s="1205"/>
      <c r="J422" s="1205"/>
      <c r="K422" s="1205"/>
      <c r="L422" s="1205"/>
      <c r="M422" s="1205"/>
      <c r="N422" s="1205"/>
      <c r="O422" s="1205"/>
      <c r="P422" s="1205"/>
      <c r="Q422" s="1205"/>
      <c r="R422" s="1205"/>
      <c r="S422" s="1205"/>
      <c r="T422" s="1205"/>
      <c r="U422" s="1205"/>
    </row>
    <row r="423" spans="1:21" ht="30.75" thickBot="1" x14ac:dyDescent="0.3">
      <c r="A423" s="134"/>
      <c r="B423" s="1205"/>
      <c r="C423" s="1198" t="s">
        <v>1482</v>
      </c>
      <c r="D423" s="1601" t="s">
        <v>1718</v>
      </c>
      <c r="E423" s="1602"/>
      <c r="F423" s="1205"/>
      <c r="G423" s="1205"/>
      <c r="H423" s="1201" t="s">
        <v>1479</v>
      </c>
      <c r="I423" s="1205"/>
      <c r="J423" s="1201" t="s">
        <v>1480</v>
      </c>
      <c r="K423" s="1205"/>
      <c r="L423" s="1201" t="s">
        <v>1496</v>
      </c>
      <c r="M423" s="1205"/>
      <c r="N423" s="1201" t="s">
        <v>1481</v>
      </c>
      <c r="O423" s="1205"/>
      <c r="P423" s="1205"/>
      <c r="Q423" s="1205"/>
      <c r="R423" s="1201" t="s">
        <v>1589</v>
      </c>
      <c r="S423" s="1205"/>
      <c r="T423" s="1201" t="s">
        <v>1590</v>
      </c>
      <c r="U423" s="1205"/>
    </row>
    <row r="424" spans="1:21" ht="15.75" thickBot="1" x14ac:dyDescent="0.3">
      <c r="A424" s="1248"/>
      <c r="B424" s="1205"/>
      <c r="C424" s="1193"/>
      <c r="D424" s="1193"/>
      <c r="E424" s="1193"/>
      <c r="F424" s="1205"/>
      <c r="G424" s="1205"/>
      <c r="H424" s="1237"/>
      <c r="I424" s="1205"/>
      <c r="J424" s="1191"/>
      <c r="K424" s="1205"/>
      <c r="L424" s="1191"/>
      <c r="M424" s="1205"/>
      <c r="N424" s="1237"/>
      <c r="O424" s="1205"/>
      <c r="P424" s="1205"/>
      <c r="Q424" s="1205"/>
      <c r="R424" s="1233" t="s">
        <v>1704</v>
      </c>
      <c r="S424" s="1205"/>
      <c r="T424" s="1233" t="s">
        <v>651</v>
      </c>
      <c r="U424" s="1205"/>
    </row>
    <row r="425" spans="1:21" ht="30.75" thickBot="1" x14ac:dyDescent="0.3">
      <c r="A425" s="1248"/>
      <c r="B425" s="1205"/>
      <c r="C425" s="1198" t="s">
        <v>1593</v>
      </c>
      <c r="D425" s="1608">
        <v>502</v>
      </c>
      <c r="E425" s="1604"/>
      <c r="F425" s="1205"/>
      <c r="G425" s="1205"/>
      <c r="H425" s="1205"/>
      <c r="I425" s="1205"/>
      <c r="J425" s="1205"/>
      <c r="K425" s="1205"/>
      <c r="L425" s="1205"/>
      <c r="M425" s="1205"/>
      <c r="N425" s="1205"/>
      <c r="O425" s="1205"/>
      <c r="P425" s="1205"/>
      <c r="Q425" s="1205"/>
      <c r="R425" s="1205"/>
      <c r="S425" s="1205"/>
      <c r="T425" s="1205"/>
      <c r="U425" s="1205"/>
    </row>
    <row r="426" spans="1:21" ht="18" customHeight="1" thickBot="1" x14ac:dyDescent="0.3">
      <c r="A426" s="1248"/>
      <c r="B426" s="1205"/>
      <c r="C426" s="1193"/>
      <c r="D426" s="1193"/>
      <c r="E426" s="1193"/>
      <c r="F426" s="1205"/>
      <c r="G426" s="1205"/>
      <c r="H426" s="1200" t="s">
        <v>1495</v>
      </c>
      <c r="I426" s="1205"/>
      <c r="J426" s="1205"/>
      <c r="K426" s="1205"/>
      <c r="L426" s="1205"/>
      <c r="M426" s="1205"/>
      <c r="N426" s="1205"/>
      <c r="O426" s="1205"/>
      <c r="P426" s="1205"/>
      <c r="Q426" s="1205"/>
      <c r="R426" s="1201" t="s">
        <v>1705</v>
      </c>
      <c r="S426" s="1205"/>
      <c r="T426" s="1201" t="s">
        <v>1706</v>
      </c>
      <c r="U426" s="1205"/>
    </row>
    <row r="427" spans="1:21" ht="18" customHeight="1" thickBot="1" x14ac:dyDescent="0.3">
      <c r="A427" s="1248"/>
      <c r="B427" s="1205"/>
      <c r="C427" s="1198" t="s">
        <v>1484</v>
      </c>
      <c r="D427" s="1605" t="str">
        <f>AA32</f>
        <v/>
      </c>
      <c r="E427" s="1606"/>
      <c r="F427" s="1205"/>
      <c r="G427" s="1205"/>
      <c r="H427" s="1166"/>
      <c r="I427" s="1205"/>
      <c r="J427" s="1205"/>
      <c r="K427" s="1205"/>
      <c r="L427" s="1205"/>
      <c r="M427" s="1205"/>
      <c r="N427" s="1205"/>
      <c r="O427" s="1205"/>
      <c r="P427" s="1205"/>
      <c r="Q427" s="1205"/>
      <c r="R427" s="1233" t="s">
        <v>1714</v>
      </c>
      <c r="S427" s="1205"/>
      <c r="T427" s="1233" t="s">
        <v>397</v>
      </c>
      <c r="U427" s="1205"/>
    </row>
    <row r="428" spans="1:21" ht="15.75" thickBot="1" x14ac:dyDescent="0.3">
      <c r="A428" s="1248"/>
      <c r="B428" s="1205"/>
      <c r="C428" s="1193"/>
      <c r="D428" s="1186"/>
      <c r="E428" s="1186"/>
      <c r="F428" s="1205"/>
      <c r="G428" s="1205"/>
      <c r="H428" s="1205"/>
      <c r="I428" s="1205"/>
      <c r="J428" s="1205"/>
      <c r="K428" s="1205"/>
      <c r="L428" s="1205"/>
      <c r="M428" s="1205"/>
      <c r="N428" s="1205"/>
      <c r="O428" s="1205"/>
      <c r="P428" s="1205"/>
      <c r="Q428" s="1205"/>
      <c r="R428" s="1205"/>
      <c r="S428" s="1205"/>
      <c r="T428" s="1205"/>
      <c r="U428" s="1205"/>
    </row>
    <row r="429" spans="1:21" ht="30.75" thickBot="1" x14ac:dyDescent="0.3">
      <c r="A429" s="1248"/>
      <c r="B429" s="1205"/>
      <c r="C429" s="1198" t="s">
        <v>1485</v>
      </c>
      <c r="D429" s="1605" t="str">
        <f>AB32</f>
        <v/>
      </c>
      <c r="E429" s="1606"/>
      <c r="F429" s="1205"/>
      <c r="G429" s="1205"/>
      <c r="H429" s="1200" t="s">
        <v>1594</v>
      </c>
      <c r="I429" s="1205"/>
      <c r="J429" s="1205"/>
      <c r="K429" s="1205"/>
      <c r="L429" s="1205"/>
      <c r="M429" s="1205"/>
      <c r="N429" s="1205"/>
      <c r="O429" s="1205"/>
      <c r="P429" s="1205"/>
      <c r="Q429" s="1205"/>
      <c r="R429" s="1205"/>
      <c r="S429" s="1205"/>
      <c r="T429" s="1201" t="s">
        <v>1701</v>
      </c>
      <c r="U429" s="1205"/>
    </row>
    <row r="430" spans="1:21" ht="18" customHeight="1" thickBot="1" x14ac:dyDescent="0.3">
      <c r="A430" s="1248"/>
      <c r="B430" s="1205"/>
      <c r="C430" s="1193"/>
      <c r="D430" s="1193"/>
      <c r="E430" s="1193"/>
      <c r="F430" s="1205"/>
      <c r="G430" s="1205"/>
      <c r="H430" s="1187" t="s">
        <v>651</v>
      </c>
      <c r="I430" s="1205"/>
      <c r="J430" s="1205"/>
      <c r="K430" s="1205"/>
      <c r="L430" s="1205"/>
      <c r="M430" s="1205"/>
      <c r="N430" s="1205"/>
      <c r="O430" s="1205"/>
      <c r="P430" s="1205"/>
      <c r="Q430" s="1205"/>
      <c r="R430" s="1205"/>
      <c r="S430" s="1205"/>
      <c r="T430" s="1233" t="s">
        <v>653</v>
      </c>
      <c r="U430" s="1205"/>
    </row>
    <row r="431" spans="1:21" ht="30" customHeight="1" thickBot="1" x14ac:dyDescent="0.3">
      <c r="A431" s="1248"/>
      <c r="B431" s="1205"/>
      <c r="C431" s="1199" t="s">
        <v>1597</v>
      </c>
      <c r="D431" s="1593" t="s">
        <v>651</v>
      </c>
      <c r="E431" s="1594"/>
      <c r="F431" s="1205"/>
      <c r="G431" s="1205"/>
      <c r="H431" s="1205"/>
      <c r="I431" s="1205"/>
      <c r="J431" s="1205"/>
      <c r="K431" s="1205"/>
      <c r="L431" s="1205"/>
      <c r="M431" s="1205"/>
      <c r="N431" s="1205"/>
      <c r="O431" s="1205"/>
      <c r="P431" s="1205"/>
      <c r="Q431" s="1205"/>
      <c r="R431" s="1205"/>
      <c r="S431" s="1205"/>
      <c r="T431" s="1205"/>
      <c r="U431" s="1205"/>
    </row>
    <row r="432" spans="1:21" ht="15.75" thickBot="1" x14ac:dyDescent="0.3">
      <c r="A432" s="1248"/>
      <c r="B432" s="1205"/>
      <c r="C432" s="1193"/>
      <c r="D432" s="1193"/>
      <c r="E432" s="1193"/>
      <c r="F432" s="1205"/>
      <c r="G432" s="1205"/>
      <c r="H432" s="1205"/>
      <c r="I432" s="1205"/>
      <c r="J432" s="1205"/>
      <c r="K432" s="1205"/>
      <c r="L432" s="1205"/>
      <c r="M432" s="1205"/>
      <c r="N432" s="1205"/>
      <c r="O432" s="1205"/>
      <c r="P432" s="1205"/>
      <c r="Q432" s="1205"/>
      <c r="R432" s="1205"/>
      <c r="S432" s="1205"/>
      <c r="T432" s="1201" t="s">
        <v>528</v>
      </c>
      <c r="U432" s="1205"/>
    </row>
    <row r="433" spans="1:21" ht="16.5" customHeight="1" thickBot="1" x14ac:dyDescent="0.3">
      <c r="A433" s="1248"/>
      <c r="B433" s="1205"/>
      <c r="C433" s="1198" t="s">
        <v>1598</v>
      </c>
      <c r="D433" s="1603" t="s">
        <v>1708</v>
      </c>
      <c r="E433" s="1586"/>
      <c r="F433" s="1205"/>
      <c r="G433" s="1205"/>
      <c r="H433" s="1205"/>
      <c r="I433" s="1205"/>
      <c r="J433" s="1205"/>
      <c r="K433" s="1205"/>
      <c r="L433" s="1205"/>
      <c r="M433" s="1205"/>
      <c r="N433" s="1205"/>
      <c r="O433" s="1205"/>
      <c r="P433" s="1205"/>
      <c r="Q433" s="1205"/>
      <c r="R433" s="1205"/>
      <c r="S433" s="1205"/>
      <c r="T433" s="1233" t="str">
        <f>IF(Z32&lt;&gt;"","Yes","No")</f>
        <v>No</v>
      </c>
      <c r="U433" s="1205"/>
    </row>
    <row r="434" spans="1:21" s="1264" customFormat="1" ht="21" customHeight="1" thickBot="1" x14ac:dyDescent="0.3">
      <c r="B434" s="1205"/>
      <c r="C434" s="1265"/>
      <c r="D434" s="1266"/>
      <c r="E434" s="1267"/>
      <c r="F434" s="1205"/>
      <c r="G434" s="1205"/>
      <c r="H434" s="1205"/>
      <c r="I434" s="1205"/>
      <c r="J434" s="1205"/>
      <c r="K434" s="1205"/>
      <c r="L434" s="1205"/>
      <c r="M434" s="1205"/>
      <c r="N434" s="1205"/>
      <c r="O434" s="1205"/>
      <c r="P434" s="1205"/>
      <c r="Q434" s="1205"/>
      <c r="R434" s="1205"/>
      <c r="S434" s="1205"/>
      <c r="T434" s="1205"/>
      <c r="U434" s="1205"/>
    </row>
    <row r="435" spans="1:21" ht="20.25" customHeight="1" thickBot="1" x14ac:dyDescent="0.3">
      <c r="A435" s="1248"/>
      <c r="B435" s="1607" t="s">
        <v>1720</v>
      </c>
      <c r="C435" s="1585"/>
      <c r="D435" s="1585"/>
      <c r="E435" s="1585"/>
      <c r="F435" s="1585"/>
      <c r="G435" s="1585"/>
      <c r="H435" s="1585"/>
      <c r="I435" s="1585"/>
      <c r="J435" s="1585"/>
      <c r="K435" s="1585"/>
      <c r="L435" s="1585"/>
      <c r="M435" s="1585"/>
      <c r="N435" s="1585"/>
      <c r="O435" s="1585"/>
      <c r="P435" s="1585"/>
      <c r="Q435" s="1585"/>
      <c r="R435" s="1585"/>
      <c r="S435" s="1585"/>
      <c r="T435" s="1585"/>
      <c r="U435" s="1586"/>
    </row>
    <row r="436" spans="1:21" ht="20.25" customHeight="1" thickBot="1" x14ac:dyDescent="0.3">
      <c r="A436" s="1248"/>
      <c r="B436" s="1205"/>
      <c r="C436" s="1205"/>
      <c r="D436" s="1205"/>
      <c r="E436" s="1205"/>
      <c r="F436" s="1205"/>
      <c r="G436" s="1205"/>
      <c r="H436" s="1205"/>
      <c r="I436" s="1205"/>
      <c r="J436" s="1205"/>
      <c r="K436" s="1205"/>
      <c r="L436" s="1205"/>
      <c r="M436" s="1205"/>
      <c r="N436" s="1205"/>
      <c r="O436" s="1205"/>
      <c r="P436" s="1205"/>
      <c r="Q436" s="1205"/>
      <c r="R436" s="1205"/>
      <c r="S436" s="1205"/>
      <c r="T436" s="1205"/>
      <c r="U436" s="1205"/>
    </row>
    <row r="437" spans="1:21" ht="30.75" thickBot="1" x14ac:dyDescent="0.3">
      <c r="A437" s="134"/>
      <c r="B437" s="1205"/>
      <c r="C437" s="1198" t="s">
        <v>1482</v>
      </c>
      <c r="D437" s="1601" t="s">
        <v>1721</v>
      </c>
      <c r="E437" s="1602"/>
      <c r="F437" s="1205"/>
      <c r="G437" s="1205"/>
      <c r="H437" s="1201" t="s">
        <v>1479</v>
      </c>
      <c r="I437" s="1205"/>
      <c r="J437" s="1201" t="s">
        <v>1480</v>
      </c>
      <c r="K437" s="1205"/>
      <c r="L437" s="1201" t="s">
        <v>1496</v>
      </c>
      <c r="M437" s="1205"/>
      <c r="N437" s="1201" t="s">
        <v>1481</v>
      </c>
      <c r="O437" s="1205"/>
      <c r="P437" s="1201" t="s">
        <v>1588</v>
      </c>
      <c r="Q437" s="1205"/>
      <c r="R437" s="1201" t="s">
        <v>1589</v>
      </c>
      <c r="S437" s="1205"/>
      <c r="T437" s="1201" t="s">
        <v>1590</v>
      </c>
      <c r="U437" s="1205"/>
    </row>
    <row r="438" spans="1:21" ht="15.75" thickBot="1" x14ac:dyDescent="0.3">
      <c r="A438" s="1248"/>
      <c r="B438" s="1205"/>
      <c r="C438" s="1193"/>
      <c r="D438" s="1193"/>
      <c r="E438" s="1193"/>
      <c r="F438" s="1205"/>
      <c r="G438" s="1205"/>
      <c r="H438" s="1142"/>
      <c r="I438" s="1205"/>
      <c r="J438" s="1191"/>
      <c r="K438" s="1205"/>
      <c r="L438" s="1191"/>
      <c r="M438" s="1205"/>
      <c r="N438" s="1237"/>
      <c r="O438" s="1205"/>
      <c r="P438" s="1233" t="s">
        <v>1591</v>
      </c>
      <c r="Q438" s="1205"/>
      <c r="R438" s="1143" t="s">
        <v>1704</v>
      </c>
      <c r="S438" s="1205"/>
      <c r="T438" s="1143" t="s">
        <v>653</v>
      </c>
      <c r="U438" s="1205"/>
    </row>
    <row r="439" spans="1:21" ht="30.75" thickBot="1" x14ac:dyDescent="0.3">
      <c r="A439" s="1248"/>
      <c r="B439" s="1205"/>
      <c r="C439" s="1198" t="s">
        <v>1593</v>
      </c>
      <c r="D439" s="1603">
        <v>5601</v>
      </c>
      <c r="E439" s="1604"/>
      <c r="F439" s="1205"/>
      <c r="G439" s="1205"/>
      <c r="H439" s="1205"/>
      <c r="I439" s="1205"/>
      <c r="J439" s="1205"/>
      <c r="K439" s="1205"/>
      <c r="L439" s="1205"/>
      <c r="M439" s="1205"/>
      <c r="N439" s="1205"/>
      <c r="O439" s="1205"/>
      <c r="P439" s="1205"/>
      <c r="Q439" s="1205"/>
      <c r="R439" s="1205"/>
      <c r="S439" s="1205"/>
      <c r="T439" s="1205"/>
      <c r="U439" s="1205"/>
    </row>
    <row r="440" spans="1:21" ht="15.75" thickBot="1" x14ac:dyDescent="0.3">
      <c r="A440" s="1248"/>
      <c r="B440" s="1205"/>
      <c r="C440" s="1193"/>
      <c r="D440" s="1193"/>
      <c r="E440" s="1193"/>
      <c r="F440" s="1205"/>
      <c r="G440" s="1205"/>
      <c r="H440" s="1200" t="s">
        <v>1495</v>
      </c>
      <c r="I440" s="1205"/>
      <c r="J440" s="1201" t="s">
        <v>1583</v>
      </c>
      <c r="K440" s="1205"/>
      <c r="L440" s="1201" t="s">
        <v>751</v>
      </c>
      <c r="M440" s="1205"/>
      <c r="N440" s="1201" t="s">
        <v>1584</v>
      </c>
      <c r="O440" s="1205"/>
      <c r="P440" s="1205"/>
      <c r="Q440" s="1205"/>
      <c r="R440" s="1201" t="s">
        <v>1705</v>
      </c>
      <c r="S440" s="1205"/>
      <c r="T440" s="1201" t="s">
        <v>1706</v>
      </c>
      <c r="U440" s="1205"/>
    </row>
    <row r="441" spans="1:21" ht="18" customHeight="1" thickBot="1" x14ac:dyDescent="0.3">
      <c r="A441" s="1248"/>
      <c r="B441" s="1205"/>
      <c r="C441" s="1198" t="s">
        <v>1484</v>
      </c>
      <c r="D441" s="1605" t="str">
        <f>AA33</f>
        <v/>
      </c>
      <c r="E441" s="1606"/>
      <c r="F441" s="1205"/>
      <c r="G441" s="1205"/>
      <c r="H441" s="1166">
        <v>50000</v>
      </c>
      <c r="I441" s="1205"/>
      <c r="J441" s="1167">
        <v>1</v>
      </c>
      <c r="K441" s="1205"/>
      <c r="L441" s="1166"/>
      <c r="M441" s="1205"/>
      <c r="N441" s="1192"/>
      <c r="O441" s="1205"/>
      <c r="P441" s="1205"/>
      <c r="Q441" s="1205"/>
      <c r="R441" s="1233" t="s">
        <v>1714</v>
      </c>
      <c r="S441" s="1205"/>
      <c r="T441" s="1233" t="s">
        <v>397</v>
      </c>
      <c r="U441" s="1205"/>
    </row>
    <row r="442" spans="1:21" ht="15.75" thickBot="1" x14ac:dyDescent="0.3">
      <c r="A442" s="1248"/>
      <c r="B442" s="1205"/>
      <c r="C442" s="1193"/>
      <c r="D442" s="1186"/>
      <c r="E442" s="1186"/>
      <c r="F442" s="1205"/>
      <c r="G442" s="1205"/>
      <c r="H442" s="1205"/>
      <c r="I442" s="1205"/>
      <c r="J442" s="1167">
        <v>2</v>
      </c>
      <c r="K442" s="1205"/>
      <c r="L442" s="1166"/>
      <c r="M442" s="1205"/>
      <c r="N442" s="1192"/>
      <c r="O442" s="1205"/>
      <c r="P442" s="1205"/>
      <c r="Q442" s="1205"/>
      <c r="R442" s="1205"/>
      <c r="S442" s="1205"/>
      <c r="T442" s="1205"/>
      <c r="U442" s="1205"/>
    </row>
    <row r="443" spans="1:21" ht="30.75" thickBot="1" x14ac:dyDescent="0.3">
      <c r="A443" s="1248"/>
      <c r="B443" s="1205"/>
      <c r="C443" s="1198" t="s">
        <v>1485</v>
      </c>
      <c r="D443" s="1605" t="str">
        <f>AB33</f>
        <v/>
      </c>
      <c r="E443" s="1606"/>
      <c r="F443" s="1205"/>
      <c r="G443" s="1205"/>
      <c r="H443" s="1200" t="s">
        <v>1594</v>
      </c>
      <c r="I443" s="1205"/>
      <c r="J443" s="1167">
        <v>3</v>
      </c>
      <c r="K443" s="1205"/>
      <c r="L443" s="1166"/>
      <c r="M443" s="1205"/>
      <c r="N443" s="1192"/>
      <c r="O443" s="1205"/>
      <c r="P443" s="1205"/>
      <c r="Q443" s="1205"/>
      <c r="R443" s="1205"/>
      <c r="S443" s="1205"/>
      <c r="T443" s="1201" t="s">
        <v>1701</v>
      </c>
      <c r="U443" s="1205"/>
    </row>
    <row r="444" spans="1:21" ht="15.75" thickBot="1" x14ac:dyDescent="0.3">
      <c r="A444" s="1248"/>
      <c r="B444" s="1205"/>
      <c r="C444" s="1193"/>
      <c r="D444" s="1193"/>
      <c r="E444" s="1193"/>
      <c r="F444" s="1205"/>
      <c r="G444" s="1205"/>
      <c r="H444" s="1187" t="s">
        <v>651</v>
      </c>
      <c r="I444" s="1205"/>
      <c r="J444" s="1167">
        <v>4</v>
      </c>
      <c r="K444" s="1205"/>
      <c r="L444" s="1166"/>
      <c r="M444" s="1205"/>
      <c r="N444" s="1192"/>
      <c r="O444" s="1205"/>
      <c r="P444" s="1205"/>
      <c r="Q444" s="1205"/>
      <c r="R444" s="1205"/>
      <c r="S444" s="1205"/>
      <c r="T444" s="1233" t="s">
        <v>653</v>
      </c>
      <c r="U444" s="1205"/>
    </row>
    <row r="445" spans="1:21" ht="30" customHeight="1" thickBot="1" x14ac:dyDescent="0.3">
      <c r="A445" s="1248"/>
      <c r="B445" s="1205"/>
      <c r="C445" s="1199" t="s">
        <v>1597</v>
      </c>
      <c r="D445" s="1593" t="s">
        <v>651</v>
      </c>
      <c r="E445" s="1594"/>
      <c r="F445" s="1205"/>
      <c r="G445" s="1205"/>
      <c r="H445" s="1205"/>
      <c r="I445" s="1205"/>
      <c r="J445" s="1167">
        <v>5</v>
      </c>
      <c r="K445" s="1205"/>
      <c r="L445" s="1166"/>
      <c r="M445" s="1205"/>
      <c r="N445" s="1192"/>
      <c r="O445" s="1205"/>
      <c r="P445" s="1205"/>
      <c r="Q445" s="1205"/>
      <c r="R445" s="1205"/>
      <c r="S445" s="1205"/>
      <c r="T445" s="1205"/>
      <c r="U445" s="1205"/>
    </row>
    <row r="446" spans="1:21" ht="15.75" thickBot="1" x14ac:dyDescent="0.3">
      <c r="A446" s="1248"/>
      <c r="B446" s="1205"/>
      <c r="C446" s="1193"/>
      <c r="D446" s="1193"/>
      <c r="E446" s="1193"/>
      <c r="F446" s="1205"/>
      <c r="G446" s="1205"/>
      <c r="H446" s="1201" t="s">
        <v>1488</v>
      </c>
      <c r="I446" s="1205"/>
      <c r="J446" s="1205"/>
      <c r="K446" s="1205"/>
      <c r="L446" s="1205"/>
      <c r="M446" s="1205"/>
      <c r="N446" s="1205"/>
      <c r="O446" s="1205"/>
      <c r="P446" s="1205"/>
      <c r="Q446" s="1205"/>
      <c r="R446" s="1205"/>
      <c r="S446" s="1205"/>
      <c r="T446" s="1201" t="s">
        <v>528</v>
      </c>
      <c r="U446" s="1205"/>
    </row>
    <row r="447" spans="1:21" ht="18" customHeight="1" thickBot="1" x14ac:dyDescent="0.3">
      <c r="A447" s="1248"/>
      <c r="B447" s="1205"/>
      <c r="C447" s="1198" t="s">
        <v>1598</v>
      </c>
      <c r="D447" s="1603" t="s">
        <v>1708</v>
      </c>
      <c r="E447" s="1586"/>
      <c r="F447" s="1205"/>
      <c r="G447" s="1205"/>
      <c r="H447" s="1166">
        <v>1</v>
      </c>
      <c r="I447" s="1205"/>
      <c r="J447" s="1205"/>
      <c r="K447" s="1205"/>
      <c r="L447" s="1205"/>
      <c r="M447" s="1205"/>
      <c r="N447" s="1205"/>
      <c r="O447" s="1205"/>
      <c r="P447" s="1205"/>
      <c r="Q447" s="1205"/>
      <c r="R447" s="1205"/>
      <c r="S447" s="1205"/>
      <c r="T447" s="1233" t="str">
        <f>IF(Z33&lt;&gt;"","Yes","No")</f>
        <v>No</v>
      </c>
      <c r="U447" s="1205"/>
    </row>
    <row r="448" spans="1:21" ht="15.75" thickBot="1" x14ac:dyDescent="0.3">
      <c r="A448" s="1248"/>
      <c r="B448" s="1205"/>
      <c r="C448" s="1193"/>
      <c r="D448" s="1193"/>
      <c r="E448" s="1193"/>
      <c r="F448" s="1205"/>
      <c r="G448" s="1205"/>
      <c r="H448" s="1205"/>
      <c r="I448" s="1205"/>
      <c r="J448" s="1205"/>
      <c r="K448" s="1205"/>
      <c r="L448" s="1205"/>
      <c r="M448" s="1205"/>
      <c r="N448" s="1205"/>
      <c r="O448" s="1205"/>
      <c r="P448" s="1205"/>
      <c r="Q448" s="1205"/>
      <c r="R448" s="1205"/>
      <c r="S448" s="1205"/>
      <c r="T448" s="1205"/>
      <c r="U448" s="1205"/>
    </row>
    <row r="449" spans="1:21" ht="15.75" thickBot="1" x14ac:dyDescent="0.3">
      <c r="A449" s="1248"/>
      <c r="B449" s="1607" t="s">
        <v>1722</v>
      </c>
      <c r="C449" s="1585"/>
      <c r="D449" s="1585"/>
      <c r="E449" s="1585"/>
      <c r="F449" s="1585"/>
      <c r="G449" s="1585"/>
      <c r="H449" s="1585"/>
      <c r="I449" s="1585"/>
      <c r="J449" s="1585"/>
      <c r="K449" s="1585"/>
      <c r="L449" s="1585"/>
      <c r="M449" s="1585"/>
      <c r="N449" s="1585"/>
      <c r="O449" s="1585"/>
      <c r="P449" s="1585"/>
      <c r="Q449" s="1585"/>
      <c r="R449" s="1585"/>
      <c r="S449" s="1585"/>
      <c r="T449" s="1585"/>
      <c r="U449" s="1586"/>
    </row>
    <row r="450" spans="1:21" ht="15.75" thickBot="1" x14ac:dyDescent="0.3">
      <c r="A450" s="1248"/>
      <c r="B450" s="1205"/>
      <c r="C450" s="1205"/>
      <c r="D450" s="1205"/>
      <c r="E450" s="1205"/>
      <c r="F450" s="1205"/>
      <c r="G450" s="1205"/>
      <c r="H450" s="1205"/>
      <c r="I450" s="1205"/>
      <c r="J450" s="1205"/>
      <c r="K450" s="1205"/>
      <c r="L450" s="1205"/>
      <c r="M450" s="1205"/>
      <c r="N450" s="1205"/>
      <c r="O450" s="1205"/>
      <c r="P450" s="1205"/>
      <c r="Q450" s="1205"/>
      <c r="R450" s="1205"/>
      <c r="S450" s="1205"/>
      <c r="T450" s="1205"/>
      <c r="U450" s="1205"/>
    </row>
    <row r="451" spans="1:21" ht="30.75" thickBot="1" x14ac:dyDescent="0.3">
      <c r="A451" s="134"/>
      <c r="B451" s="1205"/>
      <c r="C451" s="1198" t="s">
        <v>1482</v>
      </c>
      <c r="D451" s="1601" t="s">
        <v>1721</v>
      </c>
      <c r="E451" s="1602"/>
      <c r="F451" s="1205"/>
      <c r="G451" s="1205"/>
      <c r="H451" s="1201" t="s">
        <v>1479</v>
      </c>
      <c r="I451" s="1205"/>
      <c r="J451" s="1201" t="s">
        <v>1480</v>
      </c>
      <c r="K451" s="1205"/>
      <c r="L451" s="1201" t="s">
        <v>1496</v>
      </c>
      <c r="M451" s="1205"/>
      <c r="N451" s="1201" t="s">
        <v>1481</v>
      </c>
      <c r="O451" s="1205"/>
      <c r="P451" s="1201" t="s">
        <v>1588</v>
      </c>
      <c r="Q451" s="1205"/>
      <c r="R451" s="1201" t="s">
        <v>1589</v>
      </c>
      <c r="S451" s="1205"/>
      <c r="T451" s="1201" t="s">
        <v>1590</v>
      </c>
      <c r="U451" s="1205"/>
    </row>
    <row r="452" spans="1:21" ht="15.75" thickBot="1" x14ac:dyDescent="0.3">
      <c r="A452" s="1248"/>
      <c r="B452" s="1205"/>
      <c r="C452" s="1193"/>
      <c r="D452" s="1193"/>
      <c r="E452" s="1193"/>
      <c r="F452" s="1205"/>
      <c r="G452" s="1205"/>
      <c r="H452" s="1142"/>
      <c r="I452" s="1205"/>
      <c r="J452" s="1191"/>
      <c r="K452" s="1205"/>
      <c r="L452" s="1191"/>
      <c r="M452" s="1205"/>
      <c r="N452" s="1237"/>
      <c r="O452" s="1205"/>
      <c r="P452" s="1233" t="s">
        <v>1591</v>
      </c>
      <c r="Q452" s="1205"/>
      <c r="R452" s="1143" t="s">
        <v>1704</v>
      </c>
      <c r="S452" s="1205"/>
      <c r="T452" s="1143" t="s">
        <v>653</v>
      </c>
      <c r="U452" s="1205"/>
    </row>
    <row r="453" spans="1:21" ht="30.75" thickBot="1" x14ac:dyDescent="0.3">
      <c r="A453" s="1248"/>
      <c r="B453" s="1205"/>
      <c r="C453" s="1198" t="s">
        <v>1593</v>
      </c>
      <c r="D453" s="1603">
        <v>5602</v>
      </c>
      <c r="E453" s="1604"/>
      <c r="F453" s="1205"/>
      <c r="G453" s="1205"/>
      <c r="H453" s="1205"/>
      <c r="I453" s="1205"/>
      <c r="J453" s="1205"/>
      <c r="K453" s="1205"/>
      <c r="L453" s="1205"/>
      <c r="M453" s="1205"/>
      <c r="N453" s="1205"/>
      <c r="O453" s="1205"/>
      <c r="P453" s="1205"/>
      <c r="Q453" s="1205"/>
      <c r="R453" s="1205"/>
      <c r="S453" s="1205"/>
      <c r="T453" s="1205"/>
      <c r="U453" s="1205"/>
    </row>
    <row r="454" spans="1:21" ht="15.75" thickBot="1" x14ac:dyDescent="0.3">
      <c r="A454" s="1248"/>
      <c r="B454" s="1205"/>
      <c r="C454" s="1193"/>
      <c r="D454" s="1193"/>
      <c r="E454" s="1193"/>
      <c r="F454" s="1205"/>
      <c r="G454" s="1205"/>
      <c r="H454" s="1200" t="s">
        <v>1495</v>
      </c>
      <c r="I454" s="1205"/>
      <c r="J454" s="1201" t="s">
        <v>1583</v>
      </c>
      <c r="K454" s="1205"/>
      <c r="L454" s="1201" t="s">
        <v>751</v>
      </c>
      <c r="M454" s="1205"/>
      <c r="N454" s="1201" t="s">
        <v>1584</v>
      </c>
      <c r="O454" s="1205"/>
      <c r="P454" s="1205"/>
      <c r="Q454" s="1205"/>
      <c r="R454" s="1201" t="s">
        <v>1705</v>
      </c>
      <c r="S454" s="1205"/>
      <c r="T454" s="1201" t="s">
        <v>1706</v>
      </c>
      <c r="U454" s="1205"/>
    </row>
    <row r="455" spans="1:21" ht="18" customHeight="1" thickBot="1" x14ac:dyDescent="0.3">
      <c r="A455" s="1248"/>
      <c r="B455" s="1205"/>
      <c r="C455" s="1198" t="s">
        <v>1484</v>
      </c>
      <c r="D455" s="1605" t="str">
        <f>AA34</f>
        <v/>
      </c>
      <c r="E455" s="1606"/>
      <c r="F455" s="1205"/>
      <c r="G455" s="1205"/>
      <c r="H455" s="1232"/>
      <c r="I455" s="1205"/>
      <c r="J455" s="1167">
        <v>1</v>
      </c>
      <c r="K455" s="1205"/>
      <c r="L455" s="1192"/>
      <c r="M455" s="1205"/>
      <c r="N455" s="1192"/>
      <c r="O455" s="1205"/>
      <c r="P455" s="1205"/>
      <c r="Q455" s="1205"/>
      <c r="R455" s="1233" t="s">
        <v>1714</v>
      </c>
      <c r="S455" s="1205"/>
      <c r="T455" s="1233" t="s">
        <v>397</v>
      </c>
      <c r="U455" s="1205"/>
    </row>
    <row r="456" spans="1:21" ht="15.75" thickBot="1" x14ac:dyDescent="0.3">
      <c r="A456" s="1248"/>
      <c r="B456" s="1205"/>
      <c r="C456" s="1193"/>
      <c r="D456" s="1186"/>
      <c r="E456" s="1186"/>
      <c r="F456" s="1205"/>
      <c r="G456" s="1205"/>
      <c r="H456" s="1205"/>
      <c r="I456" s="1205"/>
      <c r="J456" s="1167">
        <v>2</v>
      </c>
      <c r="K456" s="1205"/>
      <c r="L456" s="1192"/>
      <c r="M456" s="1205"/>
      <c r="N456" s="1192"/>
      <c r="O456" s="1205"/>
      <c r="P456" s="1205"/>
      <c r="Q456" s="1205"/>
      <c r="R456" s="1205"/>
      <c r="S456" s="1205"/>
      <c r="T456" s="1205"/>
      <c r="U456" s="1205"/>
    </row>
    <row r="457" spans="1:21" ht="30.75" thickBot="1" x14ac:dyDescent="0.3">
      <c r="A457" s="1248"/>
      <c r="B457" s="1205"/>
      <c r="C457" s="1198" t="s">
        <v>1485</v>
      </c>
      <c r="D457" s="1605" t="str">
        <f>AB34</f>
        <v/>
      </c>
      <c r="E457" s="1606"/>
      <c r="F457" s="1205"/>
      <c r="G457" s="1205"/>
      <c r="H457" s="1288" t="s">
        <v>1594</v>
      </c>
      <c r="I457" s="1205"/>
      <c r="J457" s="1167">
        <v>3</v>
      </c>
      <c r="K457" s="1205"/>
      <c r="L457" s="1192"/>
      <c r="M457" s="1205"/>
      <c r="N457" s="1192"/>
      <c r="O457" s="1205"/>
      <c r="P457" s="1205"/>
      <c r="Q457" s="1205"/>
      <c r="R457" s="1205"/>
      <c r="S457" s="1205"/>
      <c r="T457" s="1201" t="s">
        <v>1701</v>
      </c>
      <c r="U457" s="1205"/>
    </row>
    <row r="458" spans="1:21" ht="15.75" thickBot="1" x14ac:dyDescent="0.3">
      <c r="A458" s="1248"/>
      <c r="B458" s="1205"/>
      <c r="C458" s="1193"/>
      <c r="D458" s="1193"/>
      <c r="E458" s="1193"/>
      <c r="F458" s="1205"/>
      <c r="G458" s="1205"/>
      <c r="H458" s="1187" t="s">
        <v>651</v>
      </c>
      <c r="I458" s="1205"/>
      <c r="J458" s="1167">
        <v>4</v>
      </c>
      <c r="K458" s="1205"/>
      <c r="L458" s="1192"/>
      <c r="M458" s="1205"/>
      <c r="N458" s="1192"/>
      <c r="O458" s="1205"/>
      <c r="P458" s="1205"/>
      <c r="Q458" s="1205"/>
      <c r="R458" s="1205"/>
      <c r="S458" s="1205"/>
      <c r="T458" s="1233" t="s">
        <v>653</v>
      </c>
      <c r="U458" s="1205"/>
    </row>
    <row r="459" spans="1:21" ht="30" customHeight="1" thickBot="1" x14ac:dyDescent="0.3">
      <c r="A459" s="1248"/>
      <c r="B459" s="1205"/>
      <c r="C459" s="1199" t="s">
        <v>1597</v>
      </c>
      <c r="D459" s="1593" t="s">
        <v>651</v>
      </c>
      <c r="E459" s="1594"/>
      <c r="F459" s="1205"/>
      <c r="G459" s="1205"/>
      <c r="H459" s="1205"/>
      <c r="I459" s="1205"/>
      <c r="J459" s="1167">
        <v>5</v>
      </c>
      <c r="K459" s="1205"/>
      <c r="L459" s="1192"/>
      <c r="M459" s="1205"/>
      <c r="N459" s="1192"/>
      <c r="O459" s="1205"/>
      <c r="P459" s="1205"/>
      <c r="Q459" s="1205"/>
      <c r="R459" s="1205"/>
      <c r="S459" s="1205"/>
      <c r="T459" s="1205"/>
      <c r="U459" s="1205"/>
    </row>
    <row r="460" spans="1:21" ht="15.75" thickBot="1" x14ac:dyDescent="0.3">
      <c r="A460" s="1248"/>
      <c r="B460" s="1205"/>
      <c r="C460" s="1193"/>
      <c r="D460" s="1193"/>
      <c r="E460" s="1193"/>
      <c r="F460" s="1205"/>
      <c r="G460" s="1205"/>
      <c r="H460" s="1201" t="s">
        <v>1488</v>
      </c>
      <c r="I460" s="1205"/>
      <c r="J460" s="1205"/>
      <c r="K460" s="1205"/>
      <c r="L460" s="1205"/>
      <c r="M460" s="1205"/>
      <c r="N460" s="1205"/>
      <c r="O460" s="1205"/>
      <c r="P460" s="1205"/>
      <c r="Q460" s="1205"/>
      <c r="R460" s="1205"/>
      <c r="S460" s="1205"/>
      <c r="T460" s="1201" t="s">
        <v>528</v>
      </c>
      <c r="U460" s="1205"/>
    </row>
    <row r="461" spans="1:21" ht="18" customHeight="1" thickBot="1" x14ac:dyDescent="0.3">
      <c r="A461" s="1248"/>
      <c r="B461" s="1205"/>
      <c r="C461" s="1198" t="s">
        <v>1598</v>
      </c>
      <c r="D461" s="1603" t="s">
        <v>1708</v>
      </c>
      <c r="E461" s="1586"/>
      <c r="F461" s="1205"/>
      <c r="G461" s="1205"/>
      <c r="H461" s="1166"/>
      <c r="I461" s="1205"/>
      <c r="J461" s="1205"/>
      <c r="K461" s="1205"/>
      <c r="L461" s="1205"/>
      <c r="M461" s="1205"/>
      <c r="N461" s="1205"/>
      <c r="O461" s="1205"/>
      <c r="P461" s="1205"/>
      <c r="Q461" s="1205"/>
      <c r="R461" s="1205"/>
      <c r="S461" s="1205"/>
      <c r="T461" s="1233" t="str">
        <f>IF(Z34&lt;&gt;"","Yes","No")</f>
        <v>No</v>
      </c>
      <c r="U461" s="1205"/>
    </row>
    <row r="462" spans="1:21" ht="15.75" thickBot="1" x14ac:dyDescent="0.3">
      <c r="A462" s="1248"/>
      <c r="B462" s="1205"/>
      <c r="C462" s="1205"/>
      <c r="D462" s="1205"/>
      <c r="E462" s="1205"/>
      <c r="F462" s="1205"/>
      <c r="G462" s="1205"/>
      <c r="H462" s="1205"/>
      <c r="I462" s="1205"/>
      <c r="J462" s="1205"/>
      <c r="K462" s="1205"/>
      <c r="L462" s="1205"/>
      <c r="M462" s="1205"/>
      <c r="N462" s="1205"/>
      <c r="O462" s="1205"/>
      <c r="P462" s="1205"/>
      <c r="Q462" s="1205"/>
      <c r="R462" s="1205"/>
      <c r="S462" s="1205"/>
      <c r="T462" s="1205"/>
      <c r="U462" s="1205"/>
    </row>
    <row r="463" spans="1:21" ht="15.75" thickBot="1" x14ac:dyDescent="0.3">
      <c r="A463" s="1248"/>
      <c r="B463" s="1607" t="s">
        <v>1723</v>
      </c>
      <c r="C463" s="1585"/>
      <c r="D463" s="1585"/>
      <c r="E463" s="1585"/>
      <c r="F463" s="1585"/>
      <c r="G463" s="1585"/>
      <c r="H463" s="1585"/>
      <c r="I463" s="1585"/>
      <c r="J463" s="1585"/>
      <c r="K463" s="1585"/>
      <c r="L463" s="1585"/>
      <c r="M463" s="1585"/>
      <c r="N463" s="1585"/>
      <c r="O463" s="1585"/>
      <c r="P463" s="1585"/>
      <c r="Q463" s="1585"/>
      <c r="R463" s="1585"/>
      <c r="S463" s="1585"/>
      <c r="T463" s="1585"/>
      <c r="U463" s="1586"/>
    </row>
    <row r="464" spans="1:21" ht="15.75" thickBot="1" x14ac:dyDescent="0.3">
      <c r="A464" s="1248"/>
      <c r="B464" s="1205"/>
      <c r="C464" s="1205"/>
      <c r="D464" s="1205"/>
      <c r="E464" s="1205"/>
      <c r="F464" s="1205"/>
      <c r="G464" s="1205"/>
      <c r="H464" s="1205"/>
      <c r="I464" s="1205"/>
      <c r="J464" s="1205"/>
      <c r="K464" s="1205"/>
      <c r="L464" s="1205"/>
      <c r="M464" s="1205"/>
      <c r="N464" s="1205"/>
      <c r="O464" s="1205"/>
      <c r="P464" s="1205"/>
      <c r="Q464" s="1205"/>
      <c r="R464" s="1205"/>
      <c r="S464" s="1205"/>
      <c r="T464" s="1205"/>
      <c r="U464" s="1205"/>
    </row>
    <row r="465" spans="1:21" ht="30.75" thickBot="1" x14ac:dyDescent="0.3">
      <c r="A465" s="134"/>
      <c r="B465" s="1205"/>
      <c r="C465" s="1198" t="s">
        <v>1482</v>
      </c>
      <c r="D465" s="1601" t="s">
        <v>1724</v>
      </c>
      <c r="E465" s="1602"/>
      <c r="F465" s="1205"/>
      <c r="G465" s="1205"/>
      <c r="H465" s="1201" t="s">
        <v>1479</v>
      </c>
      <c r="I465" s="1205"/>
      <c r="J465" s="1201" t="s">
        <v>1480</v>
      </c>
      <c r="K465" s="1205"/>
      <c r="L465" s="1201" t="s">
        <v>1496</v>
      </c>
      <c r="M465" s="1205"/>
      <c r="N465" s="1201" t="s">
        <v>1481</v>
      </c>
      <c r="O465" s="1205"/>
      <c r="P465" s="1205"/>
      <c r="Q465" s="1205"/>
      <c r="R465" s="1201" t="s">
        <v>1589</v>
      </c>
      <c r="S465" s="1205"/>
      <c r="T465" s="1201" t="s">
        <v>1590</v>
      </c>
      <c r="U465" s="1205"/>
    </row>
    <row r="466" spans="1:21" ht="15.75" thickBot="1" x14ac:dyDescent="0.3">
      <c r="A466" s="1248"/>
      <c r="B466" s="1205"/>
      <c r="C466" s="1193"/>
      <c r="D466" s="1193"/>
      <c r="E466" s="1193"/>
      <c r="F466" s="1205"/>
      <c r="G466" s="1205"/>
      <c r="H466" s="1237"/>
      <c r="I466" s="1205"/>
      <c r="J466" s="1191"/>
      <c r="K466" s="1205"/>
      <c r="L466" s="1191"/>
      <c r="M466" s="1205"/>
      <c r="N466" s="1237"/>
      <c r="O466" s="1205"/>
      <c r="P466" s="1205"/>
      <c r="Q466" s="1205"/>
      <c r="R466" s="1233" t="s">
        <v>1704</v>
      </c>
      <c r="S466" s="1205"/>
      <c r="T466" s="1233" t="s">
        <v>651</v>
      </c>
      <c r="U466" s="1205"/>
    </row>
    <row r="467" spans="1:21" ht="30.75" thickBot="1" x14ac:dyDescent="0.3">
      <c r="A467" s="1248"/>
      <c r="B467" s="1205"/>
      <c r="C467" s="1198" t="s">
        <v>1593</v>
      </c>
      <c r="D467" s="1603">
        <v>601</v>
      </c>
      <c r="E467" s="1604"/>
      <c r="F467" s="1205"/>
      <c r="G467" s="1205"/>
      <c r="H467" s="1205"/>
      <c r="I467" s="1205"/>
      <c r="J467" s="1205"/>
      <c r="K467" s="1205"/>
      <c r="L467" s="1205"/>
      <c r="M467" s="1205"/>
      <c r="N467" s="1205"/>
      <c r="O467" s="1205"/>
      <c r="P467" s="1205"/>
      <c r="Q467" s="1205"/>
      <c r="R467" s="1205"/>
      <c r="S467" s="1205"/>
      <c r="T467" s="1205"/>
      <c r="U467" s="1205"/>
    </row>
    <row r="468" spans="1:21" ht="15.75" thickBot="1" x14ac:dyDescent="0.3">
      <c r="A468" s="1248"/>
      <c r="B468" s="1205"/>
      <c r="C468" s="1193"/>
      <c r="D468" s="1193"/>
      <c r="E468" s="1193"/>
      <c r="F468" s="1205"/>
      <c r="G468" s="1205"/>
      <c r="H468" s="1200" t="s">
        <v>1495</v>
      </c>
      <c r="I468" s="1205"/>
      <c r="J468" s="1201" t="s">
        <v>1583</v>
      </c>
      <c r="K468" s="1205"/>
      <c r="L468" s="1201" t="s">
        <v>751</v>
      </c>
      <c r="M468" s="1205"/>
      <c r="N468" s="1619" t="s">
        <v>1725</v>
      </c>
      <c r="O468" s="1619"/>
      <c r="P468" s="1619"/>
      <c r="Q468" s="1205"/>
      <c r="R468" s="1201" t="s">
        <v>1705</v>
      </c>
      <c r="S468" s="1205"/>
      <c r="T468" s="1201" t="s">
        <v>1706</v>
      </c>
      <c r="U468" s="1205"/>
    </row>
    <row r="469" spans="1:21" ht="30.75" customHeight="1" thickBot="1" x14ac:dyDescent="0.3">
      <c r="A469" s="1248"/>
      <c r="B469" s="1205"/>
      <c r="C469" s="1198" t="s">
        <v>1484</v>
      </c>
      <c r="D469" s="1605" t="str">
        <f>AA35</f>
        <v/>
      </c>
      <c r="E469" s="1606"/>
      <c r="F469" s="1205"/>
      <c r="G469" s="1205"/>
      <c r="H469" s="1166"/>
      <c r="I469" s="1205"/>
      <c r="J469" s="1167">
        <v>1</v>
      </c>
      <c r="K469" s="1205"/>
      <c r="L469" s="1166"/>
      <c r="M469" s="1205"/>
      <c r="N469" s="1620" t="s">
        <v>1726</v>
      </c>
      <c r="O469" s="1620"/>
      <c r="P469" s="1620"/>
      <c r="Q469" s="1205"/>
      <c r="R469" s="1233" t="s">
        <v>1714</v>
      </c>
      <c r="S469" s="1205"/>
      <c r="T469" s="1233" t="s">
        <v>397</v>
      </c>
      <c r="U469" s="1205"/>
    </row>
    <row r="470" spans="1:21" ht="29.25" customHeight="1" thickBot="1" x14ac:dyDescent="0.3">
      <c r="A470" s="1248"/>
      <c r="B470" s="1205"/>
      <c r="C470" s="1193"/>
      <c r="D470" s="1186"/>
      <c r="E470" s="1186"/>
      <c r="F470" s="1205"/>
      <c r="G470" s="1205"/>
      <c r="H470" s="1205"/>
      <c r="I470" s="1205"/>
      <c r="J470" s="1167">
        <v>2</v>
      </c>
      <c r="K470" s="1205"/>
      <c r="L470" s="1166"/>
      <c r="M470" s="1205"/>
      <c r="N470" s="1621" t="s">
        <v>1727</v>
      </c>
      <c r="O470" s="1621"/>
      <c r="P470" s="1621"/>
      <c r="Q470" s="1205"/>
      <c r="R470" s="1205"/>
      <c r="S470" s="1205"/>
      <c r="T470" s="1205"/>
      <c r="U470" s="1205"/>
    </row>
    <row r="471" spans="1:21" ht="30.75" thickBot="1" x14ac:dyDescent="0.3">
      <c r="A471" s="1248"/>
      <c r="B471" s="1205"/>
      <c r="C471" s="1198" t="s">
        <v>1485</v>
      </c>
      <c r="D471" s="1605" t="str">
        <f>AB35</f>
        <v/>
      </c>
      <c r="E471" s="1606"/>
      <c r="F471" s="1205"/>
      <c r="G471" s="1205"/>
      <c r="H471" s="1200" t="s">
        <v>1594</v>
      </c>
      <c r="I471" s="1205"/>
      <c r="J471" s="1167">
        <v>3</v>
      </c>
      <c r="K471" s="1205"/>
      <c r="L471" s="1192"/>
      <c r="M471" s="1205"/>
      <c r="N471" s="1621" t="s">
        <v>1728</v>
      </c>
      <c r="O471" s="1621"/>
      <c r="P471" s="1621"/>
      <c r="Q471" s="1205"/>
      <c r="R471" s="1205"/>
      <c r="S471" s="1205"/>
      <c r="T471" s="1201" t="s">
        <v>1701</v>
      </c>
      <c r="U471" s="1205"/>
    </row>
    <row r="472" spans="1:21" ht="29.25" customHeight="1" thickBot="1" x14ac:dyDescent="0.3">
      <c r="A472" s="1248"/>
      <c r="B472" s="1205"/>
      <c r="C472" s="1193"/>
      <c r="D472" s="1193"/>
      <c r="E472" s="1193"/>
      <c r="F472" s="1205"/>
      <c r="G472" s="1205"/>
      <c r="H472" s="1187" t="s">
        <v>651</v>
      </c>
      <c r="I472" s="1205"/>
      <c r="J472" s="1167">
        <v>4</v>
      </c>
      <c r="K472" s="1205"/>
      <c r="L472" s="1192"/>
      <c r="M472" s="1205"/>
      <c r="N472" s="1620" t="s">
        <v>1729</v>
      </c>
      <c r="O472" s="1620"/>
      <c r="P472" s="1620"/>
      <c r="Q472" s="1205"/>
      <c r="R472" s="1205"/>
      <c r="S472" s="1205"/>
      <c r="T472" s="1233" t="s">
        <v>653</v>
      </c>
      <c r="U472" s="1205"/>
    </row>
    <row r="473" spans="1:21" ht="30.75" thickBot="1" x14ac:dyDescent="0.3">
      <c r="A473" s="1248"/>
      <c r="B473" s="1205"/>
      <c r="C473" s="1199" t="s">
        <v>1597</v>
      </c>
      <c r="D473" s="1593" t="s">
        <v>651</v>
      </c>
      <c r="E473" s="1594"/>
      <c r="F473" s="1205"/>
      <c r="G473" s="1205"/>
      <c r="H473" s="1205"/>
      <c r="I473" s="1205"/>
      <c r="J473" s="1167">
        <v>5</v>
      </c>
      <c r="K473" s="1205"/>
      <c r="L473" s="1192"/>
      <c r="M473" s="1205"/>
      <c r="N473" s="1620" t="s">
        <v>1730</v>
      </c>
      <c r="O473" s="1620"/>
      <c r="P473" s="1620"/>
      <c r="Q473" s="1205"/>
      <c r="R473" s="1205"/>
      <c r="S473" s="1205"/>
      <c r="T473" s="1205"/>
      <c r="U473" s="1205"/>
    </row>
    <row r="474" spans="1:21" ht="15.75" thickBot="1" x14ac:dyDescent="0.3">
      <c r="A474" s="1248"/>
      <c r="B474" s="1205"/>
      <c r="C474" s="1193"/>
      <c r="D474" s="1193"/>
      <c r="E474" s="1193"/>
      <c r="F474" s="1205"/>
      <c r="G474" s="1205"/>
      <c r="H474" s="1205"/>
      <c r="I474" s="1205"/>
      <c r="J474" s="1205"/>
      <c r="K474" s="1205"/>
      <c r="L474" s="1205"/>
      <c r="M474" s="1205"/>
      <c r="N474" s="1205"/>
      <c r="O474" s="1205"/>
      <c r="P474" s="1205"/>
      <c r="Q474" s="1205"/>
      <c r="R474" s="1205"/>
      <c r="S474" s="1205"/>
      <c r="T474" s="1201" t="s">
        <v>528</v>
      </c>
      <c r="U474" s="1205"/>
    </row>
    <row r="475" spans="1:21" ht="15.75" thickBot="1" x14ac:dyDescent="0.3">
      <c r="A475" s="1248"/>
      <c r="B475" s="1205"/>
      <c r="C475" s="1198" t="s">
        <v>1598</v>
      </c>
      <c r="D475" s="1603" t="s">
        <v>1708</v>
      </c>
      <c r="E475" s="1586"/>
      <c r="F475" s="1205"/>
      <c r="G475" s="1205"/>
      <c r="H475" s="1205"/>
      <c r="I475" s="1205"/>
      <c r="J475" s="1205"/>
      <c r="K475" s="1205"/>
      <c r="L475" s="1205"/>
      <c r="M475" s="1205"/>
      <c r="N475" s="1205"/>
      <c r="O475" s="1205"/>
      <c r="P475" s="1205"/>
      <c r="Q475" s="1205"/>
      <c r="R475" s="1205"/>
      <c r="S475" s="1205"/>
      <c r="T475" s="1233" t="str">
        <f>IF(Z35&lt;&gt;"","Yes","No")</f>
        <v>No</v>
      </c>
      <c r="U475" s="1205"/>
    </row>
    <row r="476" spans="1:21" ht="15.75" thickBot="1" x14ac:dyDescent="0.3">
      <c r="A476" s="1248"/>
      <c r="B476" s="1205"/>
      <c r="C476" s="1205"/>
      <c r="D476" s="1205"/>
      <c r="E476" s="1205"/>
      <c r="F476" s="1205"/>
      <c r="G476" s="1205"/>
      <c r="H476" s="1205"/>
      <c r="I476" s="1205"/>
      <c r="J476" s="1205"/>
      <c r="K476" s="1205"/>
      <c r="L476" s="1205"/>
      <c r="M476" s="1205"/>
      <c r="N476" s="1205"/>
      <c r="O476" s="1205"/>
      <c r="P476" s="1205"/>
      <c r="Q476" s="1205"/>
      <c r="R476" s="1205"/>
      <c r="S476" s="1205"/>
      <c r="T476" s="1205"/>
      <c r="U476" s="1205"/>
    </row>
    <row r="477" spans="1:21" ht="21" customHeight="1" thickBot="1" x14ac:dyDescent="0.3">
      <c r="A477" s="1248"/>
      <c r="B477" s="1607" t="s">
        <v>1731</v>
      </c>
      <c r="C477" s="1585"/>
      <c r="D477" s="1585"/>
      <c r="E477" s="1585"/>
      <c r="F477" s="1585"/>
      <c r="G477" s="1585"/>
      <c r="H477" s="1585"/>
      <c r="I477" s="1585"/>
      <c r="J477" s="1585"/>
      <c r="K477" s="1585"/>
      <c r="L477" s="1585"/>
      <c r="M477" s="1585"/>
      <c r="N477" s="1585"/>
      <c r="O477" s="1585"/>
      <c r="P477" s="1585"/>
      <c r="Q477" s="1585"/>
      <c r="R477" s="1585"/>
      <c r="S477" s="1585"/>
      <c r="T477" s="1585"/>
      <c r="U477" s="1586"/>
    </row>
    <row r="478" spans="1:21" ht="15.75" thickBot="1" x14ac:dyDescent="0.3">
      <c r="A478" s="1248"/>
      <c r="B478" s="1205"/>
      <c r="C478" s="1205"/>
      <c r="D478" s="1205"/>
      <c r="E478" s="1205"/>
      <c r="F478" s="1205"/>
      <c r="G478" s="1205"/>
      <c r="H478" s="1205"/>
      <c r="I478" s="1205"/>
      <c r="J478" s="1205"/>
      <c r="K478" s="1205"/>
      <c r="L478" s="1205"/>
      <c r="M478" s="1205"/>
      <c r="N478" s="1205"/>
      <c r="O478" s="1205"/>
      <c r="P478" s="1205"/>
      <c r="Q478" s="1205"/>
      <c r="R478" s="1205"/>
      <c r="S478" s="1205"/>
      <c r="T478" s="1205"/>
      <c r="U478" s="1205"/>
    </row>
    <row r="479" spans="1:21" ht="30.75" thickBot="1" x14ac:dyDescent="0.3">
      <c r="A479" s="134"/>
      <c r="B479" s="1205"/>
      <c r="C479" s="1198" t="s">
        <v>1482</v>
      </c>
      <c r="D479" s="1601" t="s">
        <v>1724</v>
      </c>
      <c r="E479" s="1602"/>
      <c r="F479" s="1205"/>
      <c r="G479" s="1205"/>
      <c r="H479" s="1201" t="s">
        <v>1479</v>
      </c>
      <c r="I479" s="1205"/>
      <c r="J479" s="1201" t="s">
        <v>1480</v>
      </c>
      <c r="K479" s="1205"/>
      <c r="L479" s="1201" t="s">
        <v>1496</v>
      </c>
      <c r="M479" s="1205"/>
      <c r="N479" s="1201" t="s">
        <v>1481</v>
      </c>
      <c r="O479" s="1205"/>
      <c r="P479" s="1205"/>
      <c r="Q479" s="1205"/>
      <c r="R479" s="1201" t="s">
        <v>1589</v>
      </c>
      <c r="S479" s="1205"/>
      <c r="T479" s="1201" t="s">
        <v>1590</v>
      </c>
      <c r="U479" s="1205"/>
    </row>
    <row r="480" spans="1:21" ht="15.75" thickBot="1" x14ac:dyDescent="0.3">
      <c r="A480" s="1248"/>
      <c r="B480" s="1205"/>
      <c r="C480" s="1193"/>
      <c r="D480" s="1193"/>
      <c r="E480" s="1193"/>
      <c r="F480" s="1205"/>
      <c r="G480" s="1205"/>
      <c r="H480" s="1237"/>
      <c r="I480" s="1205"/>
      <c r="J480" s="1191"/>
      <c r="K480" s="1205"/>
      <c r="L480" s="1191"/>
      <c r="M480" s="1205"/>
      <c r="N480" s="1237"/>
      <c r="O480" s="1205"/>
      <c r="P480" s="1205"/>
      <c r="Q480" s="1205"/>
      <c r="R480" s="1233" t="s">
        <v>1704</v>
      </c>
      <c r="S480" s="1205"/>
      <c r="T480" s="1233" t="s">
        <v>651</v>
      </c>
      <c r="U480" s="1205"/>
    </row>
    <row r="481" spans="1:21" ht="30.75" thickBot="1" x14ac:dyDescent="0.3">
      <c r="A481" s="1248"/>
      <c r="B481" s="1205"/>
      <c r="C481" s="1198" t="s">
        <v>1593</v>
      </c>
      <c r="D481" s="1603">
        <v>602</v>
      </c>
      <c r="E481" s="1604"/>
      <c r="F481" s="1205"/>
      <c r="G481" s="1205"/>
      <c r="H481" s="1205"/>
      <c r="I481" s="1205"/>
      <c r="J481" s="1205"/>
      <c r="K481" s="1205"/>
      <c r="L481" s="1205"/>
      <c r="M481" s="1205"/>
      <c r="N481" s="1205"/>
      <c r="O481" s="1205"/>
      <c r="P481" s="1205"/>
      <c r="Q481" s="1205"/>
      <c r="R481" s="1205"/>
      <c r="S481" s="1205"/>
      <c r="T481" s="1205"/>
      <c r="U481" s="1205"/>
    </row>
    <row r="482" spans="1:21" ht="15.75" thickBot="1" x14ac:dyDescent="0.3">
      <c r="A482" s="1248"/>
      <c r="B482" s="1205"/>
      <c r="C482" s="1193"/>
      <c r="D482" s="1193"/>
      <c r="E482" s="1193"/>
      <c r="F482" s="1205"/>
      <c r="G482" s="1205"/>
      <c r="H482" s="1200" t="s">
        <v>1495</v>
      </c>
      <c r="I482" s="1205"/>
      <c r="J482" s="1201" t="s">
        <v>1583</v>
      </c>
      <c r="K482" s="1205"/>
      <c r="L482" s="1201" t="s">
        <v>751</v>
      </c>
      <c r="M482" s="1205"/>
      <c r="N482" s="1619" t="s">
        <v>1725</v>
      </c>
      <c r="O482" s="1619"/>
      <c r="P482" s="1619"/>
      <c r="Q482" s="1205"/>
      <c r="R482" s="1201" t="s">
        <v>1705</v>
      </c>
      <c r="S482" s="1205"/>
      <c r="T482" s="1201" t="s">
        <v>1706</v>
      </c>
      <c r="U482" s="1205"/>
    </row>
    <row r="483" spans="1:21" ht="30.75" customHeight="1" thickBot="1" x14ac:dyDescent="0.3">
      <c r="A483" s="1248"/>
      <c r="B483" s="1205"/>
      <c r="C483" s="1198" t="s">
        <v>1484</v>
      </c>
      <c r="D483" s="1605" t="str">
        <f>AA36</f>
        <v/>
      </c>
      <c r="E483" s="1606"/>
      <c r="F483" s="1205"/>
      <c r="G483" s="1205"/>
      <c r="H483" s="1232"/>
      <c r="I483" s="1205"/>
      <c r="J483" s="1167">
        <v>1</v>
      </c>
      <c r="K483" s="1205"/>
      <c r="L483" s="1192"/>
      <c r="M483" s="1205"/>
      <c r="N483" s="1620" t="s">
        <v>1726</v>
      </c>
      <c r="O483" s="1620"/>
      <c r="P483" s="1620"/>
      <c r="Q483" s="1205"/>
      <c r="R483" s="1233" t="s">
        <v>1714</v>
      </c>
      <c r="S483" s="1205"/>
      <c r="T483" s="1233" t="s">
        <v>397</v>
      </c>
      <c r="U483" s="1205"/>
    </row>
    <row r="484" spans="1:21" ht="30.75" customHeight="1" thickBot="1" x14ac:dyDescent="0.3">
      <c r="A484" s="1248"/>
      <c r="B484" s="1205"/>
      <c r="C484" s="1193"/>
      <c r="D484" s="1186"/>
      <c r="E484" s="1186"/>
      <c r="F484" s="1205"/>
      <c r="G484" s="1205"/>
      <c r="H484" s="1205"/>
      <c r="I484" s="1205"/>
      <c r="J484" s="1167">
        <v>2</v>
      </c>
      <c r="K484" s="1205"/>
      <c r="L484" s="1192"/>
      <c r="M484" s="1205"/>
      <c r="N484" s="1620" t="s">
        <v>1727</v>
      </c>
      <c r="O484" s="1620"/>
      <c r="P484" s="1620"/>
      <c r="Q484" s="1205"/>
      <c r="R484" s="1205"/>
      <c r="S484" s="1205"/>
      <c r="T484" s="1205"/>
      <c r="U484" s="1205"/>
    </row>
    <row r="485" spans="1:21" ht="30.75" thickBot="1" x14ac:dyDescent="0.3">
      <c r="A485" s="1248"/>
      <c r="B485" s="1205"/>
      <c r="C485" s="1198" t="s">
        <v>1485</v>
      </c>
      <c r="D485" s="1605" t="str">
        <f>AB36</f>
        <v/>
      </c>
      <c r="E485" s="1606"/>
      <c r="F485" s="1205"/>
      <c r="G485" s="1205"/>
      <c r="H485" s="1200" t="s">
        <v>1594</v>
      </c>
      <c r="I485" s="1205"/>
      <c r="J485" s="1167">
        <v>3</v>
      </c>
      <c r="K485" s="1205"/>
      <c r="L485" s="1192"/>
      <c r="M485" s="1205"/>
      <c r="N485" s="1620" t="s">
        <v>1728</v>
      </c>
      <c r="O485" s="1620"/>
      <c r="P485" s="1620"/>
      <c r="Q485" s="1205"/>
      <c r="R485" s="1205"/>
      <c r="S485" s="1205"/>
      <c r="T485" s="1201" t="s">
        <v>1701</v>
      </c>
      <c r="U485" s="1205"/>
    </row>
    <row r="486" spans="1:21" ht="30" customHeight="1" thickBot="1" x14ac:dyDescent="0.3">
      <c r="A486" s="1248"/>
      <c r="B486" s="1205"/>
      <c r="C486" s="1193"/>
      <c r="D486" s="1193"/>
      <c r="E486" s="1193"/>
      <c r="F486" s="1205"/>
      <c r="G486" s="1205"/>
      <c r="H486" s="1187" t="s">
        <v>651</v>
      </c>
      <c r="I486" s="1205"/>
      <c r="J486" s="1167">
        <v>4</v>
      </c>
      <c r="K486" s="1205"/>
      <c r="L486" s="1192"/>
      <c r="M486" s="1205"/>
      <c r="N486" s="1620" t="s">
        <v>1729</v>
      </c>
      <c r="O486" s="1620"/>
      <c r="P486" s="1620"/>
      <c r="Q486" s="1205"/>
      <c r="R486" s="1205"/>
      <c r="S486" s="1205"/>
      <c r="T486" s="1233" t="s">
        <v>653</v>
      </c>
      <c r="U486" s="1205"/>
    </row>
    <row r="487" spans="1:21" ht="30.75" thickBot="1" x14ac:dyDescent="0.3">
      <c r="A487" s="1248"/>
      <c r="B487" s="1205"/>
      <c r="C487" s="1199" t="s">
        <v>1597</v>
      </c>
      <c r="D487" s="1593" t="s">
        <v>651</v>
      </c>
      <c r="E487" s="1594"/>
      <c r="F487" s="1205"/>
      <c r="G487" s="1205"/>
      <c r="H487" s="1205"/>
      <c r="I487" s="1205"/>
      <c r="J487" s="1167">
        <v>5</v>
      </c>
      <c r="K487" s="1205"/>
      <c r="L487" s="1192"/>
      <c r="M487" s="1205"/>
      <c r="N487" s="1620" t="s">
        <v>1730</v>
      </c>
      <c r="O487" s="1620"/>
      <c r="P487" s="1620"/>
      <c r="Q487" s="1205"/>
      <c r="R487" s="1205"/>
      <c r="S487" s="1205"/>
      <c r="T487" s="1205"/>
      <c r="U487" s="1205"/>
    </row>
    <row r="488" spans="1:21" ht="15.75" thickBot="1" x14ac:dyDescent="0.3">
      <c r="A488" s="1248"/>
      <c r="B488" s="1205"/>
      <c r="C488" s="1193"/>
      <c r="D488" s="1193"/>
      <c r="E488" s="1193"/>
      <c r="F488" s="1205"/>
      <c r="G488" s="1205"/>
      <c r="H488" s="1205"/>
      <c r="I488" s="1205"/>
      <c r="J488" s="1205"/>
      <c r="K488" s="1205"/>
      <c r="L488" s="1205"/>
      <c r="M488" s="1205"/>
      <c r="N488" s="1205"/>
      <c r="O488" s="1205"/>
      <c r="P488" s="1205"/>
      <c r="Q488" s="1205"/>
      <c r="R488" s="1205"/>
      <c r="S488" s="1205"/>
      <c r="T488" s="1201" t="s">
        <v>528</v>
      </c>
      <c r="U488" s="1205"/>
    </row>
    <row r="489" spans="1:21" ht="18" customHeight="1" thickBot="1" x14ac:dyDescent="0.3">
      <c r="A489" s="1248"/>
      <c r="B489" s="1205"/>
      <c r="C489" s="1198" t="s">
        <v>1598</v>
      </c>
      <c r="D489" s="1603" t="s">
        <v>1708</v>
      </c>
      <c r="E489" s="1586"/>
      <c r="F489" s="1205"/>
      <c r="G489" s="1205"/>
      <c r="H489" s="1205"/>
      <c r="I489" s="1205"/>
      <c r="J489" s="1205"/>
      <c r="K489" s="1205"/>
      <c r="L489" s="1205"/>
      <c r="M489" s="1205"/>
      <c r="N489" s="1205"/>
      <c r="O489" s="1205"/>
      <c r="P489" s="1205"/>
      <c r="Q489" s="1205"/>
      <c r="R489" s="1205"/>
      <c r="S489" s="1205"/>
      <c r="T489" s="1233" t="str">
        <f>IF(Z36&lt;&gt;"","Yes","No")</f>
        <v>No</v>
      </c>
      <c r="U489" s="1205"/>
    </row>
    <row r="490" spans="1:21" ht="15.75" thickBot="1" x14ac:dyDescent="0.3">
      <c r="A490" s="1248"/>
      <c r="B490" s="1205"/>
      <c r="C490" s="1205"/>
      <c r="D490" s="1205"/>
      <c r="E490" s="1205"/>
      <c r="F490" s="1205"/>
      <c r="G490" s="1205"/>
      <c r="H490" s="1205"/>
      <c r="I490" s="1205"/>
      <c r="J490" s="1205"/>
      <c r="K490" s="1205"/>
      <c r="L490" s="1205"/>
      <c r="M490" s="1205"/>
      <c r="N490" s="1205"/>
      <c r="O490" s="1205"/>
      <c r="P490" s="1205"/>
      <c r="Q490" s="1205"/>
      <c r="R490" s="1205"/>
      <c r="S490" s="1205"/>
      <c r="T490" s="1205"/>
      <c r="U490" s="1205"/>
    </row>
    <row r="491" spans="1:21" ht="20.25" customHeight="1" thickBot="1" x14ac:dyDescent="0.3">
      <c r="A491" s="1248"/>
      <c r="B491" s="1607" t="s">
        <v>1732</v>
      </c>
      <c r="C491" s="1585"/>
      <c r="D491" s="1585"/>
      <c r="E491" s="1585"/>
      <c r="F491" s="1585"/>
      <c r="G491" s="1585"/>
      <c r="H491" s="1585"/>
      <c r="I491" s="1585"/>
      <c r="J491" s="1585"/>
      <c r="K491" s="1585"/>
      <c r="L491" s="1585"/>
      <c r="M491" s="1585"/>
      <c r="N491" s="1585"/>
      <c r="O491" s="1585"/>
      <c r="P491" s="1585"/>
      <c r="Q491" s="1585"/>
      <c r="R491" s="1585"/>
      <c r="S491" s="1585"/>
      <c r="T491" s="1585"/>
      <c r="U491" s="1586"/>
    </row>
    <row r="492" spans="1:21" ht="15.75" thickBot="1" x14ac:dyDescent="0.3">
      <c r="A492" s="134"/>
      <c r="B492" s="1205"/>
      <c r="C492" s="1205"/>
      <c r="D492" s="1205"/>
      <c r="E492" s="1205"/>
      <c r="F492" s="1205"/>
      <c r="G492" s="1205"/>
      <c r="H492" s="1205"/>
      <c r="I492" s="1205"/>
      <c r="J492" s="1205"/>
      <c r="K492" s="1205"/>
      <c r="L492" s="1205"/>
      <c r="M492" s="1205"/>
      <c r="N492" s="1205"/>
      <c r="O492" s="1205"/>
      <c r="P492" s="1205"/>
      <c r="Q492" s="1205"/>
      <c r="R492" s="1205"/>
      <c r="S492" s="1205"/>
      <c r="T492" s="1205"/>
      <c r="U492" s="1205"/>
    </row>
    <row r="493" spans="1:21" ht="15.75" thickBot="1" x14ac:dyDescent="0.3">
      <c r="A493" s="1248"/>
      <c r="B493" s="1205"/>
      <c r="C493" s="1198" t="s">
        <v>1482</v>
      </c>
      <c r="D493" s="1601" t="s">
        <v>1733</v>
      </c>
      <c r="E493" s="1602"/>
      <c r="F493" s="1205"/>
      <c r="G493" s="1205"/>
      <c r="H493" s="1205"/>
      <c r="I493" s="1205"/>
      <c r="J493" s="1201" t="s">
        <v>1480</v>
      </c>
      <c r="K493" s="1205"/>
      <c r="L493" s="1201" t="s">
        <v>1496</v>
      </c>
      <c r="M493" s="1205"/>
      <c r="N493" s="1205"/>
      <c r="O493" s="1205"/>
      <c r="P493" s="1205"/>
      <c r="Q493" s="1205"/>
      <c r="R493" s="1205"/>
      <c r="S493" s="1205"/>
      <c r="T493" s="1205"/>
      <c r="U493" s="1205"/>
    </row>
    <row r="494" spans="1:21" ht="15.75" thickBot="1" x14ac:dyDescent="0.3">
      <c r="A494" s="1248"/>
      <c r="B494" s="1205"/>
      <c r="C494" s="1193"/>
      <c r="D494" s="1193"/>
      <c r="E494" s="1193"/>
      <c r="F494" s="1205"/>
      <c r="G494" s="1205"/>
      <c r="H494" s="1205"/>
      <c r="I494" s="1205"/>
      <c r="J494" s="1191"/>
      <c r="K494" s="1205"/>
      <c r="L494" s="1191"/>
      <c r="M494" s="1205"/>
      <c r="N494" s="1205"/>
      <c r="O494" s="1205"/>
      <c r="P494" s="1205"/>
      <c r="Q494" s="1205"/>
      <c r="R494" s="1205"/>
      <c r="S494" s="1205"/>
      <c r="T494" s="1205"/>
      <c r="U494" s="1205"/>
    </row>
    <row r="495" spans="1:21" ht="30.75" thickBot="1" x14ac:dyDescent="0.3">
      <c r="A495" s="1248"/>
      <c r="B495" s="1205"/>
      <c r="C495" s="1198" t="s">
        <v>1593</v>
      </c>
      <c r="D495" s="1603">
        <v>1001</v>
      </c>
      <c r="E495" s="1604"/>
      <c r="F495" s="1205"/>
      <c r="G495" s="1205"/>
      <c r="H495" s="1205"/>
      <c r="I495" s="1205"/>
      <c r="J495" s="1205"/>
      <c r="K495" s="1205"/>
      <c r="L495" s="1205"/>
      <c r="M495" s="1205"/>
      <c r="N495" s="1205"/>
      <c r="O495" s="1205"/>
      <c r="P495" s="1205"/>
      <c r="Q495" s="1205"/>
      <c r="R495" s="1205"/>
      <c r="S495" s="1205"/>
      <c r="T495" s="1205"/>
      <c r="U495" s="1205"/>
    </row>
    <row r="496" spans="1:21" ht="15.75" thickBot="1" x14ac:dyDescent="0.3">
      <c r="A496" s="1248"/>
      <c r="B496" s="1205"/>
      <c r="C496" s="1193"/>
      <c r="D496" s="1193"/>
      <c r="E496" s="1193"/>
      <c r="F496" s="1205"/>
      <c r="G496" s="1205"/>
      <c r="H496" s="1205"/>
      <c r="I496" s="1205"/>
      <c r="J496" s="1205"/>
      <c r="K496" s="1205"/>
      <c r="L496" s="1201" t="s">
        <v>1488</v>
      </c>
      <c r="M496" s="1205"/>
      <c r="N496" s="1205"/>
      <c r="O496" s="1205"/>
      <c r="P496" s="1205"/>
      <c r="Q496" s="1205"/>
      <c r="R496" s="1205"/>
      <c r="S496" s="1205"/>
      <c r="T496" s="1201" t="s">
        <v>1701</v>
      </c>
      <c r="U496" s="1205"/>
    </row>
    <row r="497" spans="1:21" ht="15.75" thickBot="1" x14ac:dyDescent="0.3">
      <c r="A497" s="1248"/>
      <c r="B497" s="1205"/>
      <c r="C497" s="1198" t="s">
        <v>1484</v>
      </c>
      <c r="D497" s="1605" t="str">
        <f>AA37</f>
        <v/>
      </c>
      <c r="E497" s="1606"/>
      <c r="F497" s="1205"/>
      <c r="G497" s="1205"/>
      <c r="H497" s="1205"/>
      <c r="I497" s="1205"/>
      <c r="J497" s="1205"/>
      <c r="K497" s="1205"/>
      <c r="L497" s="1166"/>
      <c r="M497" s="1205"/>
      <c r="N497" s="1205"/>
      <c r="O497" s="1205"/>
      <c r="P497" s="1205"/>
      <c r="Q497" s="1205"/>
      <c r="R497" s="1205"/>
      <c r="S497" s="1205"/>
      <c r="T497" s="1233" t="s">
        <v>653</v>
      </c>
      <c r="U497" s="1205"/>
    </row>
    <row r="498" spans="1:21" ht="15.75" thickBot="1" x14ac:dyDescent="0.3">
      <c r="A498" s="1248"/>
      <c r="B498" s="1205"/>
      <c r="C498" s="1193"/>
      <c r="D498" s="1186"/>
      <c r="E498" s="1186"/>
      <c r="F498" s="1205"/>
      <c r="G498" s="1205"/>
      <c r="H498" s="1205"/>
      <c r="I498" s="1205"/>
      <c r="J498" s="1205"/>
      <c r="K498" s="1205"/>
      <c r="L498" s="1205"/>
      <c r="M498" s="1205"/>
      <c r="N498" s="1205"/>
      <c r="O498" s="1205"/>
      <c r="P498" s="1205"/>
      <c r="Q498" s="1205"/>
      <c r="R498" s="1205"/>
      <c r="S498" s="1205"/>
      <c r="T498" s="1205"/>
      <c r="U498" s="1205"/>
    </row>
    <row r="499" spans="1:21" ht="15.75" thickBot="1" x14ac:dyDescent="0.3">
      <c r="A499" s="1248"/>
      <c r="B499" s="1205"/>
      <c r="C499" s="1198" t="s">
        <v>1485</v>
      </c>
      <c r="D499" s="1605" t="str">
        <f>AB37</f>
        <v/>
      </c>
      <c r="E499" s="1606"/>
      <c r="F499" s="1205"/>
      <c r="G499" s="1205"/>
      <c r="H499" s="1205"/>
      <c r="I499" s="1205"/>
      <c r="J499" s="1205"/>
      <c r="K499" s="1205"/>
      <c r="L499" s="1205"/>
      <c r="M499" s="1205"/>
      <c r="N499" s="1205"/>
      <c r="O499" s="1205"/>
      <c r="P499" s="1205"/>
      <c r="Q499" s="1205"/>
      <c r="R499" s="1205"/>
      <c r="S499" s="1205"/>
      <c r="T499" s="1205"/>
      <c r="U499" s="1205"/>
    </row>
    <row r="500" spans="1:21" ht="15.75" thickBot="1" x14ac:dyDescent="0.3">
      <c r="A500" s="1248"/>
      <c r="B500" s="1205"/>
      <c r="C500" s="1193"/>
      <c r="D500" s="1193"/>
      <c r="E500" s="1193"/>
      <c r="F500" s="1205"/>
      <c r="G500" s="1205"/>
      <c r="H500" s="1205"/>
      <c r="I500" s="1205"/>
      <c r="J500" s="1205"/>
      <c r="K500" s="1205"/>
      <c r="L500" s="1205"/>
      <c r="M500" s="1205"/>
      <c r="N500" s="1205"/>
      <c r="O500" s="1205"/>
      <c r="P500" s="1205"/>
      <c r="Q500" s="1205"/>
      <c r="R500" s="1205"/>
      <c r="S500" s="1205"/>
      <c r="T500" s="1201" t="s">
        <v>528</v>
      </c>
      <c r="U500" s="1205"/>
    </row>
    <row r="501" spans="1:21" ht="30" customHeight="1" thickBot="1" x14ac:dyDescent="0.3">
      <c r="A501" s="1248"/>
      <c r="B501" s="1205"/>
      <c r="C501" s="1199" t="s">
        <v>1597</v>
      </c>
      <c r="D501" s="1593" t="s">
        <v>651</v>
      </c>
      <c r="E501" s="1594"/>
      <c r="F501" s="1205"/>
      <c r="G501" s="1205"/>
      <c r="H501" s="1205"/>
      <c r="I501" s="1205"/>
      <c r="J501" s="1205"/>
      <c r="K501" s="1205"/>
      <c r="L501" s="1205"/>
      <c r="M501" s="1205"/>
      <c r="N501" s="1205"/>
      <c r="O501" s="1205"/>
      <c r="P501" s="1205"/>
      <c r="Q501" s="1205"/>
      <c r="R501" s="1205"/>
      <c r="S501" s="1205"/>
      <c r="T501" s="1233" t="str">
        <f>IF(Z37&lt;&gt;"","Yes","No")</f>
        <v>No</v>
      </c>
      <c r="U501" s="1205"/>
    </row>
    <row r="502" spans="1:21" x14ac:dyDescent="0.25">
      <c r="A502" s="1248"/>
      <c r="B502" s="1205"/>
      <c r="C502" s="1205"/>
      <c r="D502" s="1205"/>
      <c r="E502" s="1205"/>
      <c r="F502" s="1205"/>
      <c r="G502" s="1205"/>
      <c r="H502" s="1205"/>
      <c r="I502" s="1205"/>
      <c r="J502" s="1205"/>
      <c r="K502" s="1205"/>
      <c r="L502" s="1205"/>
      <c r="M502" s="1205"/>
      <c r="N502" s="1205"/>
      <c r="O502" s="1205"/>
      <c r="P502" s="1205"/>
      <c r="Q502" s="1205"/>
      <c r="R502" s="1205"/>
      <c r="S502" s="1205"/>
      <c r="T502" s="1205"/>
      <c r="U502" s="1205"/>
    </row>
    <row r="503" spans="1:21" x14ac:dyDescent="0.25">
      <c r="A503" s="653"/>
      <c r="B503" s="906"/>
      <c r="C503" s="906"/>
      <c r="D503" s="906"/>
      <c r="E503" s="906"/>
      <c r="F503" s="906"/>
      <c r="G503" s="1263"/>
      <c r="H503" s="906"/>
      <c r="I503" s="906"/>
      <c r="J503" s="906"/>
      <c r="K503" s="906"/>
      <c r="L503" s="906"/>
      <c r="M503" s="906"/>
      <c r="N503" s="906"/>
      <c r="O503" s="906"/>
      <c r="P503" s="906"/>
      <c r="Q503" s="906"/>
      <c r="R503" s="906"/>
      <c r="S503" s="906"/>
      <c r="T503" s="906"/>
      <c r="U503" s="906"/>
    </row>
    <row r="504" spans="1:21" x14ac:dyDescent="0.25">
      <c r="A504" s="653"/>
      <c r="B504" s="653"/>
      <c r="C504" s="653"/>
      <c r="D504" s="653"/>
      <c r="E504" s="653"/>
      <c r="F504" s="653"/>
      <c r="G504" s="1243"/>
      <c r="H504" s="653"/>
      <c r="I504" s="653"/>
      <c r="J504" s="653"/>
      <c r="K504" s="653"/>
      <c r="L504" s="653"/>
      <c r="M504" s="653"/>
      <c r="N504" s="653"/>
      <c r="O504" s="653"/>
      <c r="P504" s="653"/>
      <c r="Q504" s="653"/>
      <c r="R504" s="653"/>
      <c r="S504" s="653"/>
      <c r="T504" s="653"/>
      <c r="U504" s="653"/>
    </row>
    <row r="505" spans="1:21" x14ac:dyDescent="0.25">
      <c r="A505" s="653"/>
      <c r="B505" s="653"/>
      <c r="C505" s="653"/>
      <c r="D505" s="653"/>
      <c r="E505" s="653"/>
      <c r="F505" s="653"/>
      <c r="G505" s="1243"/>
      <c r="H505" s="653"/>
      <c r="I505" s="653"/>
      <c r="J505" s="653"/>
      <c r="K505" s="653"/>
      <c r="L505" s="653"/>
      <c r="M505" s="653"/>
      <c r="N505" s="653"/>
      <c r="O505" s="653"/>
      <c r="P505" s="653"/>
      <c r="Q505" s="653"/>
      <c r="R505" s="653"/>
      <c r="S505" s="653"/>
      <c r="T505" s="653"/>
      <c r="U505" s="653"/>
    </row>
    <row r="506" spans="1:21" x14ac:dyDescent="0.25">
      <c r="A506" s="653"/>
      <c r="B506" s="653"/>
      <c r="C506" s="653"/>
      <c r="D506" s="653"/>
      <c r="E506" s="653"/>
      <c r="F506" s="653"/>
      <c r="G506" s="1243"/>
      <c r="H506" s="653"/>
      <c r="I506" s="653"/>
      <c r="J506" s="653"/>
      <c r="K506" s="653"/>
      <c r="L506" s="653"/>
      <c r="M506" s="653"/>
      <c r="N506" s="653"/>
      <c r="O506" s="653"/>
      <c r="P506" s="653"/>
      <c r="Q506" s="653"/>
      <c r="R506" s="653"/>
      <c r="S506" s="653"/>
      <c r="T506" s="653"/>
      <c r="U506" s="653"/>
    </row>
    <row r="507" spans="1:21" x14ac:dyDescent="0.25">
      <c r="A507" s="653"/>
      <c r="B507" s="653"/>
      <c r="C507" s="653"/>
      <c r="D507" s="653"/>
      <c r="E507" s="653"/>
      <c r="F507" s="653"/>
      <c r="G507" s="1243"/>
      <c r="H507" s="653"/>
      <c r="I507" s="653"/>
      <c r="J507" s="653"/>
      <c r="K507" s="653"/>
      <c r="L507" s="653"/>
      <c r="M507" s="653"/>
      <c r="N507" s="653"/>
      <c r="O507" s="653"/>
      <c r="P507" s="653"/>
      <c r="Q507" s="653"/>
      <c r="R507" s="653"/>
      <c r="S507" s="653"/>
      <c r="T507" s="653"/>
      <c r="U507" s="653"/>
    </row>
    <row r="508" spans="1:21" x14ac:dyDescent="0.25">
      <c r="A508" s="653"/>
      <c r="B508" s="653"/>
      <c r="C508" s="653"/>
      <c r="D508" s="653"/>
      <c r="E508" s="653"/>
      <c r="F508" s="653"/>
      <c r="G508" s="1243"/>
      <c r="H508" s="653"/>
      <c r="I508" s="653"/>
      <c r="J508" s="653"/>
      <c r="K508" s="653"/>
      <c r="L508" s="653"/>
      <c r="M508" s="653"/>
      <c r="N508" s="653"/>
      <c r="O508" s="653"/>
      <c r="P508" s="653"/>
      <c r="Q508" s="653"/>
      <c r="R508" s="653"/>
      <c r="S508" s="653"/>
      <c r="T508" s="653"/>
      <c r="U508" s="653"/>
    </row>
    <row r="509" spans="1:21" x14ac:dyDescent="0.25">
      <c r="A509" s="653"/>
      <c r="B509" s="653"/>
      <c r="C509" s="653"/>
      <c r="D509" s="653"/>
      <c r="E509" s="653"/>
      <c r="F509" s="653"/>
      <c r="G509" s="1243"/>
      <c r="H509" s="653"/>
      <c r="I509" s="653"/>
      <c r="J509" s="653"/>
      <c r="K509" s="653"/>
      <c r="L509" s="653"/>
      <c r="M509" s="653"/>
      <c r="N509" s="653"/>
      <c r="O509" s="653"/>
      <c r="P509" s="653"/>
      <c r="Q509" s="653"/>
      <c r="R509" s="653"/>
      <c r="S509" s="653"/>
      <c r="T509" s="653"/>
      <c r="U509" s="653"/>
    </row>
    <row r="510" spans="1:21" x14ac:dyDescent="0.25">
      <c r="A510" s="653"/>
      <c r="B510" s="653"/>
      <c r="C510" s="653"/>
      <c r="D510" s="653"/>
      <c r="E510" s="653"/>
      <c r="F510" s="653"/>
      <c r="G510" s="1243"/>
      <c r="H510" s="653"/>
      <c r="I510" s="653"/>
      <c r="J510" s="653"/>
      <c r="K510" s="653"/>
      <c r="L510" s="653"/>
      <c r="M510" s="653"/>
      <c r="N510" s="653"/>
      <c r="O510" s="653"/>
      <c r="P510" s="653"/>
      <c r="Q510" s="653"/>
      <c r="R510" s="653"/>
      <c r="S510" s="653"/>
      <c r="T510" s="653"/>
      <c r="U510" s="653"/>
    </row>
    <row r="511" spans="1:21" x14ac:dyDescent="0.25">
      <c r="A511" s="653"/>
      <c r="B511" s="653"/>
      <c r="C511" s="653"/>
      <c r="D511" s="653"/>
      <c r="E511" s="653"/>
      <c r="F511" s="653"/>
      <c r="G511" s="1243"/>
      <c r="H511" s="653"/>
      <c r="I511" s="653"/>
      <c r="J511" s="653"/>
      <c r="K511" s="653"/>
      <c r="L511" s="653"/>
      <c r="M511" s="653"/>
      <c r="N511" s="653"/>
      <c r="O511" s="653"/>
      <c r="P511" s="653"/>
      <c r="Q511" s="653"/>
      <c r="R511" s="653"/>
      <c r="S511" s="653"/>
      <c r="T511" s="653"/>
      <c r="U511" s="653"/>
    </row>
    <row r="512" spans="1:21" x14ac:dyDescent="0.25">
      <c r="A512" s="653"/>
      <c r="B512" s="653"/>
      <c r="C512" s="653"/>
      <c r="D512" s="653"/>
      <c r="E512" s="653"/>
      <c r="F512" s="653"/>
      <c r="G512" s="1243"/>
      <c r="H512" s="653"/>
      <c r="I512" s="653"/>
      <c r="J512" s="653"/>
      <c r="K512" s="653"/>
      <c r="L512" s="653"/>
      <c r="M512" s="653"/>
      <c r="N512" s="653"/>
      <c r="O512" s="653"/>
      <c r="P512" s="653"/>
      <c r="Q512" s="653"/>
      <c r="R512" s="653"/>
      <c r="S512" s="653"/>
      <c r="T512" s="653"/>
      <c r="U512" s="653"/>
    </row>
    <row r="513" spans="1:21" x14ac:dyDescent="0.25">
      <c r="A513" s="653"/>
      <c r="B513" s="653"/>
      <c r="C513" s="653"/>
      <c r="D513" s="653"/>
      <c r="E513" s="653"/>
      <c r="F513" s="653"/>
      <c r="G513" s="1243"/>
      <c r="H513" s="653"/>
      <c r="I513" s="653"/>
      <c r="J513" s="653"/>
      <c r="K513" s="653"/>
      <c r="L513" s="653"/>
      <c r="M513" s="653"/>
      <c r="N513" s="653"/>
      <c r="O513" s="653"/>
      <c r="P513" s="653"/>
      <c r="Q513" s="653"/>
      <c r="R513" s="653"/>
      <c r="S513" s="653"/>
      <c r="T513" s="653"/>
      <c r="U513" s="653"/>
    </row>
    <row r="514" spans="1:21" x14ac:dyDescent="0.25">
      <c r="A514" s="653"/>
      <c r="B514" s="653"/>
      <c r="C514" s="653"/>
      <c r="D514" s="653"/>
      <c r="E514" s="653"/>
      <c r="F514" s="653"/>
      <c r="G514" s="1243"/>
      <c r="H514" s="653"/>
      <c r="I514" s="653"/>
      <c r="J514" s="653"/>
      <c r="K514" s="653"/>
      <c r="L514" s="653"/>
      <c r="M514" s="653"/>
      <c r="N514" s="653"/>
      <c r="O514" s="653"/>
      <c r="P514" s="653"/>
      <c r="Q514" s="653"/>
      <c r="R514" s="653"/>
      <c r="S514" s="653"/>
      <c r="T514" s="653"/>
      <c r="U514" s="653"/>
    </row>
    <row r="515" spans="1:21" x14ac:dyDescent="0.25">
      <c r="A515" s="653"/>
      <c r="B515" s="653"/>
      <c r="C515" s="653"/>
      <c r="D515" s="653"/>
      <c r="E515" s="653"/>
      <c r="F515" s="653"/>
      <c r="G515" s="1243"/>
      <c r="H515" s="653"/>
      <c r="I515" s="653"/>
      <c r="J515" s="653"/>
      <c r="K515" s="653"/>
      <c r="L515" s="653"/>
      <c r="M515" s="653"/>
      <c r="N515" s="653"/>
      <c r="O515" s="653"/>
      <c r="P515" s="653"/>
      <c r="Q515" s="653"/>
      <c r="R515" s="653"/>
      <c r="S515" s="653"/>
      <c r="T515" s="653"/>
      <c r="U515" s="653"/>
    </row>
    <row r="516" spans="1:21" x14ac:dyDescent="0.25">
      <c r="A516" s="653"/>
      <c r="B516" s="653"/>
      <c r="C516" s="653"/>
      <c r="D516" s="653"/>
      <c r="E516" s="653"/>
      <c r="F516" s="653"/>
      <c r="G516" s="1243"/>
      <c r="H516" s="653"/>
      <c r="I516" s="653"/>
      <c r="J516" s="653"/>
      <c r="K516" s="653"/>
      <c r="L516" s="653"/>
      <c r="M516" s="653"/>
      <c r="N516" s="653"/>
      <c r="O516" s="653"/>
      <c r="P516" s="653"/>
      <c r="Q516" s="653"/>
      <c r="R516" s="653"/>
      <c r="S516" s="653"/>
      <c r="T516" s="653"/>
      <c r="U516" s="653"/>
    </row>
    <row r="517" spans="1:21" x14ac:dyDescent="0.25">
      <c r="A517" s="653"/>
      <c r="B517" s="653"/>
      <c r="C517" s="653"/>
      <c r="D517" s="653"/>
      <c r="E517" s="653"/>
      <c r="F517" s="653"/>
      <c r="G517" s="1243"/>
      <c r="H517" s="653"/>
      <c r="I517" s="653"/>
      <c r="J517" s="653"/>
      <c r="K517" s="653"/>
      <c r="L517" s="653"/>
      <c r="M517" s="653"/>
      <c r="N517" s="653"/>
      <c r="O517" s="653"/>
      <c r="P517" s="653"/>
      <c r="Q517" s="653"/>
      <c r="R517" s="653"/>
      <c r="S517" s="653"/>
      <c r="T517" s="653"/>
      <c r="U517" s="653"/>
    </row>
    <row r="518" spans="1:21" x14ac:dyDescent="0.25">
      <c r="A518" s="653"/>
      <c r="B518" s="653"/>
      <c r="C518" s="653"/>
      <c r="D518" s="653"/>
      <c r="E518" s="653"/>
      <c r="F518" s="653"/>
      <c r="G518" s="1243"/>
      <c r="H518" s="653"/>
      <c r="I518" s="653"/>
      <c r="J518" s="653"/>
      <c r="K518" s="653"/>
      <c r="L518" s="653"/>
      <c r="M518" s="653"/>
      <c r="N518" s="653"/>
      <c r="O518" s="653"/>
      <c r="P518" s="653"/>
      <c r="Q518" s="653"/>
      <c r="R518" s="653"/>
      <c r="S518" s="653"/>
      <c r="T518" s="653"/>
      <c r="U518" s="653"/>
    </row>
    <row r="519" spans="1:21" x14ac:dyDescent="0.25">
      <c r="A519" s="653"/>
      <c r="B519" s="653"/>
      <c r="C519" s="653"/>
      <c r="D519" s="653"/>
      <c r="E519" s="653"/>
      <c r="F519" s="653"/>
      <c r="G519" s="1243"/>
      <c r="H519" s="653"/>
      <c r="I519" s="653"/>
      <c r="J519" s="653"/>
      <c r="K519" s="653"/>
      <c r="L519" s="653"/>
      <c r="M519" s="653"/>
      <c r="N519" s="653"/>
      <c r="O519" s="653"/>
      <c r="P519" s="653"/>
      <c r="Q519" s="653"/>
      <c r="R519" s="653"/>
      <c r="S519" s="653"/>
      <c r="T519" s="653"/>
      <c r="U519" s="653"/>
    </row>
    <row r="520" spans="1:21" x14ac:dyDescent="0.25">
      <c r="A520" s="653"/>
      <c r="B520" s="653"/>
      <c r="C520" s="653"/>
      <c r="D520" s="653"/>
      <c r="E520" s="653"/>
      <c r="F520" s="653"/>
      <c r="G520" s="1243"/>
      <c r="H520" s="653"/>
      <c r="I520" s="653"/>
      <c r="J520" s="653"/>
      <c r="K520" s="653"/>
      <c r="L520" s="653"/>
      <c r="M520" s="653"/>
      <c r="N520" s="653"/>
      <c r="O520" s="653"/>
      <c r="P520" s="653"/>
      <c r="Q520" s="653"/>
      <c r="R520" s="653"/>
      <c r="S520" s="653"/>
      <c r="T520" s="653"/>
      <c r="U520" s="653"/>
    </row>
    <row r="521" spans="1:21" x14ac:dyDescent="0.25">
      <c r="A521" s="653"/>
      <c r="B521" s="653"/>
      <c r="C521" s="653"/>
      <c r="D521" s="653"/>
      <c r="E521" s="653"/>
      <c r="F521" s="653"/>
      <c r="G521" s="1243"/>
      <c r="H521" s="653"/>
      <c r="I521" s="653"/>
      <c r="J521" s="653"/>
      <c r="K521" s="653"/>
      <c r="L521" s="653"/>
      <c r="M521" s="653"/>
      <c r="N521" s="653"/>
      <c r="O521" s="653"/>
      <c r="P521" s="653"/>
      <c r="Q521" s="653"/>
      <c r="R521" s="653"/>
      <c r="S521" s="653"/>
      <c r="T521" s="653"/>
      <c r="U521" s="653"/>
    </row>
    <row r="522" spans="1:21" x14ac:dyDescent="0.25">
      <c r="A522" s="653"/>
      <c r="B522" s="653"/>
      <c r="C522" s="653"/>
      <c r="D522" s="653"/>
      <c r="E522" s="653"/>
      <c r="F522" s="653"/>
      <c r="G522" s="1243"/>
      <c r="H522" s="653"/>
      <c r="I522" s="653"/>
      <c r="J522" s="653"/>
      <c r="K522" s="653"/>
      <c r="L522" s="653"/>
      <c r="M522" s="653"/>
      <c r="N522" s="653"/>
      <c r="O522" s="653"/>
      <c r="P522" s="653"/>
      <c r="Q522" s="653"/>
      <c r="R522" s="653"/>
      <c r="S522" s="653"/>
      <c r="T522" s="653"/>
      <c r="U522" s="653"/>
    </row>
    <row r="523" spans="1:21" x14ac:dyDescent="0.25">
      <c r="A523" s="653"/>
      <c r="B523" s="653"/>
      <c r="C523" s="653"/>
      <c r="D523" s="653"/>
      <c r="E523" s="653"/>
      <c r="F523" s="653"/>
      <c r="G523" s="1243"/>
      <c r="H523" s="653"/>
      <c r="I523" s="653"/>
      <c r="J523" s="653"/>
      <c r="K523" s="653"/>
      <c r="L523" s="653"/>
      <c r="M523" s="653"/>
      <c r="N523" s="653"/>
      <c r="O523" s="653"/>
      <c r="P523" s="653"/>
      <c r="Q523" s="653"/>
      <c r="R523" s="653"/>
      <c r="S523" s="653"/>
      <c r="T523" s="653"/>
      <c r="U523" s="653"/>
    </row>
    <row r="524" spans="1:21" x14ac:dyDescent="0.25">
      <c r="A524" s="653"/>
      <c r="B524" s="653"/>
      <c r="C524" s="653"/>
      <c r="D524" s="653"/>
      <c r="E524" s="653"/>
      <c r="F524" s="653"/>
      <c r="G524" s="1243"/>
      <c r="H524" s="653"/>
      <c r="I524" s="653"/>
      <c r="J524" s="653"/>
      <c r="K524" s="653"/>
      <c r="L524" s="653"/>
      <c r="M524" s="653"/>
      <c r="N524" s="653"/>
      <c r="O524" s="653"/>
      <c r="P524" s="653"/>
      <c r="Q524" s="653"/>
      <c r="R524" s="653"/>
      <c r="S524" s="653"/>
      <c r="T524" s="653"/>
      <c r="U524" s="653"/>
    </row>
    <row r="525" spans="1:21" x14ac:dyDescent="0.25">
      <c r="A525" s="653"/>
      <c r="B525" s="653"/>
      <c r="C525" s="653"/>
      <c r="D525" s="653"/>
      <c r="E525" s="653"/>
      <c r="F525" s="653"/>
      <c r="G525" s="1243"/>
      <c r="H525" s="653"/>
      <c r="I525" s="653"/>
      <c r="J525" s="653"/>
      <c r="K525" s="653"/>
      <c r="L525" s="653"/>
      <c r="M525" s="653"/>
      <c r="N525" s="653"/>
      <c r="O525" s="653"/>
      <c r="P525" s="653"/>
      <c r="Q525" s="653"/>
      <c r="R525" s="653"/>
      <c r="S525" s="653"/>
      <c r="T525" s="653"/>
      <c r="U525" s="653"/>
    </row>
    <row r="526" spans="1:21" x14ac:dyDescent="0.25">
      <c r="A526" s="653"/>
      <c r="B526" s="653"/>
      <c r="C526" s="653"/>
      <c r="D526" s="653"/>
      <c r="E526" s="653"/>
      <c r="F526" s="653"/>
      <c r="G526" s="1243"/>
      <c r="H526" s="653"/>
      <c r="I526" s="653"/>
      <c r="J526" s="653"/>
      <c r="K526" s="653"/>
      <c r="L526" s="653"/>
      <c r="M526" s="653"/>
      <c r="N526" s="653"/>
      <c r="O526" s="653"/>
      <c r="P526" s="653"/>
      <c r="Q526" s="653"/>
      <c r="R526" s="653"/>
      <c r="S526" s="653"/>
      <c r="T526" s="653"/>
      <c r="U526" s="653"/>
    </row>
    <row r="527" spans="1:21" x14ac:dyDescent="0.25">
      <c r="A527" s="653"/>
      <c r="B527" s="653"/>
      <c r="C527" s="653"/>
      <c r="D527" s="653"/>
      <c r="E527" s="653"/>
      <c r="F527" s="653"/>
      <c r="G527" s="1243"/>
      <c r="H527" s="653"/>
      <c r="I527" s="653"/>
      <c r="J527" s="653"/>
      <c r="K527" s="653"/>
      <c r="L527" s="653"/>
      <c r="M527" s="653"/>
      <c r="N527" s="653"/>
      <c r="O527" s="653"/>
      <c r="P527" s="653"/>
      <c r="Q527" s="653"/>
      <c r="R527" s="653"/>
      <c r="S527" s="653"/>
      <c r="T527" s="653"/>
      <c r="U527" s="653"/>
    </row>
    <row r="528" spans="1:21" x14ac:dyDescent="0.25">
      <c r="A528" s="653"/>
      <c r="B528" s="653"/>
      <c r="C528" s="653"/>
      <c r="D528" s="653"/>
      <c r="E528" s="653"/>
      <c r="F528" s="653"/>
      <c r="G528" s="1243"/>
      <c r="H528" s="653"/>
      <c r="I528" s="653"/>
      <c r="J528" s="653"/>
      <c r="K528" s="653"/>
      <c r="L528" s="653"/>
      <c r="M528" s="653"/>
      <c r="N528" s="653"/>
      <c r="O528" s="653"/>
      <c r="P528" s="653"/>
      <c r="Q528" s="653"/>
      <c r="R528" s="653"/>
      <c r="S528" s="653"/>
      <c r="T528" s="653"/>
      <c r="U528" s="653"/>
    </row>
    <row r="529" spans="1:21" x14ac:dyDescent="0.25">
      <c r="A529" s="653"/>
      <c r="B529" s="653"/>
      <c r="C529" s="653"/>
      <c r="D529" s="653"/>
      <c r="E529" s="653"/>
      <c r="F529" s="653"/>
      <c r="G529" s="1243"/>
      <c r="H529" s="653"/>
      <c r="I529" s="653"/>
      <c r="J529" s="653"/>
      <c r="K529" s="653"/>
      <c r="L529" s="653"/>
      <c r="M529" s="653"/>
      <c r="N529" s="653"/>
      <c r="O529" s="653"/>
      <c r="P529" s="653"/>
      <c r="Q529" s="653"/>
      <c r="R529" s="653"/>
      <c r="S529" s="653"/>
      <c r="T529" s="653"/>
      <c r="U529" s="653"/>
    </row>
    <row r="530" spans="1:21" x14ac:dyDescent="0.25">
      <c r="A530" s="653"/>
      <c r="B530" s="653"/>
      <c r="C530" s="653"/>
      <c r="D530" s="653"/>
      <c r="E530" s="653"/>
      <c r="F530" s="653"/>
      <c r="G530" s="1243"/>
      <c r="H530" s="653"/>
      <c r="I530" s="653"/>
      <c r="J530" s="653"/>
      <c r="K530" s="653"/>
      <c r="L530" s="653"/>
      <c r="M530" s="653"/>
      <c r="N530" s="653"/>
      <c r="O530" s="653"/>
      <c r="P530" s="653"/>
      <c r="Q530" s="653"/>
      <c r="R530" s="653"/>
      <c r="S530" s="653"/>
      <c r="T530" s="653"/>
      <c r="U530" s="653"/>
    </row>
    <row r="531" spans="1:21" x14ac:dyDescent="0.25">
      <c r="A531" s="653"/>
      <c r="B531" s="653"/>
      <c r="C531" s="653"/>
      <c r="D531" s="653"/>
      <c r="E531" s="653"/>
      <c r="F531" s="653"/>
      <c r="G531" s="1243"/>
      <c r="H531" s="653"/>
      <c r="I531" s="653"/>
      <c r="J531" s="653"/>
      <c r="K531" s="653"/>
      <c r="L531" s="653"/>
      <c r="M531" s="653"/>
      <c r="N531" s="653"/>
      <c r="O531" s="653"/>
      <c r="P531" s="653"/>
      <c r="Q531" s="653"/>
      <c r="R531" s="653"/>
      <c r="S531" s="653"/>
      <c r="T531" s="653"/>
      <c r="U531" s="653"/>
    </row>
    <row r="532" spans="1:21" x14ac:dyDescent="0.25">
      <c r="A532" s="653"/>
      <c r="B532" s="653"/>
      <c r="C532" s="653"/>
      <c r="D532" s="653"/>
      <c r="E532" s="653"/>
      <c r="F532" s="653"/>
      <c r="G532" s="1243"/>
      <c r="H532" s="653"/>
      <c r="I532" s="653"/>
      <c r="J532" s="653"/>
      <c r="K532" s="653"/>
      <c r="L532" s="653"/>
      <c r="M532" s="653"/>
      <c r="N532" s="653"/>
      <c r="O532" s="653"/>
      <c r="P532" s="653"/>
      <c r="Q532" s="653"/>
      <c r="R532" s="653"/>
      <c r="S532" s="653"/>
      <c r="T532" s="653"/>
      <c r="U532" s="653"/>
    </row>
    <row r="533" spans="1:21" x14ac:dyDescent="0.25">
      <c r="A533" s="653"/>
      <c r="B533" s="653"/>
      <c r="C533" s="653"/>
      <c r="D533" s="653"/>
      <c r="E533" s="653"/>
      <c r="F533" s="653"/>
      <c r="G533" s="1243"/>
      <c r="H533" s="653"/>
      <c r="I533" s="653"/>
      <c r="J533" s="653"/>
      <c r="K533" s="653"/>
      <c r="L533" s="653"/>
      <c r="M533" s="653"/>
      <c r="N533" s="653"/>
      <c r="O533" s="653"/>
      <c r="P533" s="653"/>
      <c r="Q533" s="653"/>
      <c r="R533" s="653"/>
      <c r="S533" s="653"/>
      <c r="T533" s="653"/>
      <c r="U533" s="653"/>
    </row>
    <row r="534" spans="1:21" x14ac:dyDescent="0.25">
      <c r="A534" s="653"/>
      <c r="B534" s="653"/>
      <c r="C534" s="653"/>
      <c r="D534" s="653"/>
      <c r="E534" s="653"/>
      <c r="F534" s="653"/>
      <c r="G534" s="1243"/>
      <c r="H534" s="653"/>
      <c r="I534" s="653"/>
      <c r="J534" s="653"/>
      <c r="K534" s="653"/>
      <c r="L534" s="653"/>
      <c r="M534" s="653"/>
      <c r="N534" s="653"/>
      <c r="O534" s="653"/>
      <c r="P534" s="653"/>
      <c r="Q534" s="653"/>
      <c r="R534" s="653"/>
      <c r="S534" s="653"/>
      <c r="T534" s="653"/>
      <c r="U534" s="653"/>
    </row>
    <row r="535" spans="1:21" x14ac:dyDescent="0.25">
      <c r="A535" s="653"/>
      <c r="B535" s="653"/>
      <c r="C535" s="653"/>
      <c r="D535" s="653"/>
      <c r="E535" s="653"/>
      <c r="F535" s="653"/>
      <c r="G535" s="1243"/>
      <c r="H535" s="653"/>
      <c r="I535" s="653"/>
      <c r="J535" s="653"/>
      <c r="K535" s="653"/>
      <c r="L535" s="653"/>
      <c r="M535" s="653"/>
      <c r="N535" s="653"/>
      <c r="O535" s="653"/>
      <c r="P535" s="653"/>
      <c r="Q535" s="653"/>
      <c r="R535" s="653"/>
      <c r="S535" s="653"/>
      <c r="T535" s="653"/>
      <c r="U535" s="653"/>
    </row>
    <row r="536" spans="1:21" x14ac:dyDescent="0.25">
      <c r="A536" s="653"/>
      <c r="B536" s="653"/>
      <c r="C536" s="653"/>
      <c r="D536" s="653"/>
      <c r="E536" s="653"/>
      <c r="F536" s="653"/>
      <c r="G536" s="1243"/>
      <c r="H536" s="653"/>
      <c r="I536" s="653"/>
      <c r="J536" s="653"/>
      <c r="K536" s="653"/>
      <c r="L536" s="653"/>
      <c r="M536" s="653"/>
      <c r="N536" s="653"/>
      <c r="O536" s="653"/>
      <c r="P536" s="653"/>
      <c r="Q536" s="653"/>
      <c r="R536" s="653"/>
      <c r="S536" s="653"/>
      <c r="T536" s="653"/>
      <c r="U536" s="653"/>
    </row>
    <row r="537" spans="1:21" x14ac:dyDescent="0.25">
      <c r="A537" s="653"/>
      <c r="B537" s="653"/>
      <c r="C537" s="653"/>
      <c r="D537" s="653"/>
      <c r="E537" s="653"/>
      <c r="F537" s="653"/>
      <c r="G537" s="1243"/>
      <c r="H537" s="653"/>
      <c r="I537" s="653"/>
      <c r="J537" s="653"/>
      <c r="K537" s="653"/>
      <c r="L537" s="653"/>
      <c r="M537" s="653"/>
      <c r="N537" s="653"/>
      <c r="O537" s="653"/>
      <c r="P537" s="653"/>
      <c r="Q537" s="653"/>
      <c r="R537" s="653"/>
      <c r="S537" s="653"/>
      <c r="T537" s="653"/>
      <c r="U537" s="653"/>
    </row>
    <row r="538" spans="1:21" x14ac:dyDescent="0.25">
      <c r="A538" s="653"/>
      <c r="B538" s="653"/>
      <c r="C538" s="653"/>
      <c r="D538" s="653"/>
      <c r="E538" s="653"/>
      <c r="F538" s="653"/>
      <c r="G538" s="1243"/>
      <c r="H538" s="653"/>
      <c r="I538" s="653"/>
      <c r="J538" s="653"/>
      <c r="K538" s="653"/>
      <c r="L538" s="653"/>
      <c r="M538" s="653"/>
      <c r="N538" s="653"/>
      <c r="O538" s="653"/>
      <c r="P538" s="653"/>
      <c r="Q538" s="653"/>
      <c r="R538" s="653"/>
      <c r="S538" s="653"/>
      <c r="T538" s="653"/>
      <c r="U538" s="653"/>
    </row>
    <row r="539" spans="1:21" x14ac:dyDescent="0.25">
      <c r="A539" s="653"/>
      <c r="B539" s="653"/>
      <c r="C539" s="653"/>
      <c r="D539" s="653"/>
      <c r="E539" s="653"/>
      <c r="F539" s="653"/>
      <c r="G539" s="1243"/>
      <c r="H539" s="653"/>
      <c r="I539" s="653"/>
      <c r="J539" s="653"/>
      <c r="K539" s="653"/>
      <c r="L539" s="653"/>
      <c r="M539" s="653"/>
      <c r="N539" s="653"/>
      <c r="O539" s="653"/>
      <c r="P539" s="653"/>
      <c r="Q539" s="653"/>
      <c r="R539" s="653"/>
      <c r="S539" s="653"/>
      <c r="T539" s="653"/>
      <c r="U539" s="653"/>
    </row>
    <row r="540" spans="1:21" x14ac:dyDescent="0.25">
      <c r="A540" s="653"/>
      <c r="B540" s="653"/>
      <c r="C540" s="653"/>
      <c r="D540" s="653"/>
      <c r="E540" s="653"/>
      <c r="F540" s="653"/>
      <c r="G540" s="1243"/>
      <c r="H540" s="653"/>
      <c r="I540" s="653"/>
      <c r="J540" s="653"/>
      <c r="K540" s="653"/>
      <c r="L540" s="653"/>
      <c r="M540" s="653"/>
      <c r="N540" s="653"/>
      <c r="O540" s="653"/>
      <c r="P540" s="653"/>
      <c r="Q540" s="653"/>
      <c r="R540" s="653"/>
      <c r="S540" s="653"/>
      <c r="T540" s="653"/>
      <c r="U540" s="653"/>
    </row>
    <row r="541" spans="1:21" x14ac:dyDescent="0.25">
      <c r="A541" s="653"/>
      <c r="B541" s="653"/>
      <c r="C541" s="653"/>
      <c r="D541" s="653"/>
      <c r="E541" s="653"/>
      <c r="F541" s="653"/>
      <c r="G541" s="1243"/>
      <c r="H541" s="653"/>
      <c r="I541" s="653"/>
      <c r="J541" s="653"/>
      <c r="K541" s="653"/>
      <c r="L541" s="653"/>
      <c r="M541" s="653"/>
      <c r="N541" s="653"/>
      <c r="O541" s="653"/>
      <c r="P541" s="653"/>
      <c r="Q541" s="653"/>
      <c r="R541" s="653"/>
      <c r="S541" s="653"/>
      <c r="T541" s="653"/>
      <c r="U541" s="653"/>
    </row>
    <row r="542" spans="1:21" x14ac:dyDescent="0.25">
      <c r="A542" s="653"/>
      <c r="B542" s="653"/>
      <c r="C542" s="653"/>
      <c r="D542" s="653"/>
      <c r="E542" s="653"/>
      <c r="F542" s="653"/>
      <c r="G542" s="1243"/>
      <c r="H542" s="653"/>
      <c r="I542" s="653"/>
      <c r="J542" s="653"/>
      <c r="K542" s="653"/>
      <c r="L542" s="653"/>
      <c r="M542" s="653"/>
      <c r="N542" s="653"/>
      <c r="O542" s="653"/>
      <c r="P542" s="653"/>
      <c r="Q542" s="653"/>
      <c r="R542" s="653"/>
      <c r="S542" s="653"/>
      <c r="T542" s="653"/>
      <c r="U542" s="653"/>
    </row>
    <row r="543" spans="1:21" x14ac:dyDescent="0.25">
      <c r="A543" s="653"/>
      <c r="B543" s="653"/>
      <c r="C543" s="653"/>
      <c r="D543" s="653"/>
      <c r="E543" s="653"/>
      <c r="F543" s="653"/>
      <c r="G543" s="1243"/>
      <c r="H543" s="653"/>
      <c r="I543" s="653"/>
      <c r="J543" s="653"/>
      <c r="K543" s="653"/>
      <c r="L543" s="653"/>
      <c r="M543" s="653"/>
      <c r="N543" s="653"/>
      <c r="O543" s="653"/>
      <c r="P543" s="653"/>
      <c r="Q543" s="653"/>
      <c r="R543" s="653"/>
      <c r="S543" s="653"/>
      <c r="T543" s="653"/>
      <c r="U543" s="653"/>
    </row>
    <row r="544" spans="1:21" x14ac:dyDescent="0.25">
      <c r="A544" s="653"/>
      <c r="B544" s="653"/>
      <c r="C544" s="653"/>
      <c r="D544" s="653"/>
      <c r="E544" s="653"/>
      <c r="F544" s="653"/>
      <c r="G544" s="1243"/>
      <c r="H544" s="653"/>
      <c r="I544" s="653"/>
      <c r="J544" s="653"/>
      <c r="K544" s="653"/>
      <c r="L544" s="653"/>
      <c r="M544" s="653"/>
      <c r="N544" s="653"/>
      <c r="O544" s="653"/>
      <c r="P544" s="653"/>
      <c r="Q544" s="653"/>
      <c r="R544" s="653"/>
      <c r="S544" s="653"/>
      <c r="T544" s="653"/>
      <c r="U544" s="653"/>
    </row>
    <row r="545" spans="1:21" x14ac:dyDescent="0.25">
      <c r="A545" s="653"/>
      <c r="B545" s="653"/>
      <c r="C545" s="653"/>
      <c r="D545" s="653"/>
      <c r="E545" s="653"/>
      <c r="F545" s="653"/>
      <c r="G545" s="1243"/>
      <c r="H545" s="653"/>
      <c r="I545" s="653"/>
      <c r="J545" s="653"/>
      <c r="K545" s="653"/>
      <c r="L545" s="653"/>
      <c r="M545" s="653"/>
      <c r="N545" s="653"/>
      <c r="O545" s="653"/>
      <c r="P545" s="653"/>
      <c r="Q545" s="653"/>
      <c r="R545" s="653"/>
      <c r="S545" s="653"/>
      <c r="T545" s="653"/>
      <c r="U545" s="653"/>
    </row>
    <row r="546" spans="1:21" x14ac:dyDescent="0.25">
      <c r="A546" s="653"/>
      <c r="B546" s="653"/>
      <c r="C546" s="653"/>
      <c r="D546" s="653"/>
      <c r="E546" s="653"/>
      <c r="F546" s="653"/>
      <c r="G546" s="1243"/>
      <c r="H546" s="653"/>
      <c r="I546" s="653"/>
      <c r="J546" s="653"/>
      <c r="K546" s="653"/>
      <c r="L546" s="653"/>
      <c r="M546" s="653"/>
      <c r="N546" s="653"/>
      <c r="O546" s="653"/>
      <c r="P546" s="653"/>
      <c r="Q546" s="653"/>
      <c r="R546" s="653"/>
      <c r="S546" s="653"/>
      <c r="T546" s="653"/>
      <c r="U546" s="653"/>
    </row>
    <row r="547" spans="1:21" x14ac:dyDescent="0.25">
      <c r="A547" s="653"/>
      <c r="B547" s="653"/>
      <c r="C547" s="653"/>
      <c r="D547" s="653"/>
      <c r="E547" s="653"/>
      <c r="F547" s="653"/>
      <c r="G547" s="1243"/>
      <c r="H547" s="653"/>
      <c r="I547" s="653"/>
      <c r="J547" s="653"/>
      <c r="K547" s="653"/>
      <c r="L547" s="653"/>
      <c r="M547" s="653"/>
      <c r="N547" s="653"/>
      <c r="O547" s="653"/>
      <c r="P547" s="653"/>
      <c r="Q547" s="653"/>
      <c r="R547" s="653"/>
      <c r="S547" s="653"/>
      <c r="T547" s="653"/>
      <c r="U547" s="653"/>
    </row>
    <row r="548" spans="1:21" x14ac:dyDescent="0.25">
      <c r="A548" s="653"/>
      <c r="B548" s="653"/>
      <c r="C548" s="653"/>
      <c r="D548" s="653"/>
      <c r="E548" s="653"/>
      <c r="F548" s="653"/>
      <c r="G548" s="1243"/>
      <c r="H548" s="653"/>
      <c r="I548" s="653"/>
      <c r="J548" s="653"/>
      <c r="K548" s="653"/>
      <c r="L548" s="653"/>
      <c r="M548" s="653"/>
      <c r="N548" s="653"/>
      <c r="O548" s="653"/>
      <c r="P548" s="653"/>
      <c r="Q548" s="653"/>
      <c r="R548" s="653"/>
      <c r="S548" s="653"/>
      <c r="T548" s="653"/>
      <c r="U548" s="653"/>
    </row>
    <row r="549" spans="1:21" x14ac:dyDescent="0.25">
      <c r="A549" s="653"/>
      <c r="B549" s="653"/>
      <c r="C549" s="653"/>
      <c r="D549" s="653"/>
      <c r="E549" s="653"/>
      <c r="F549" s="653"/>
      <c r="G549" s="1243"/>
      <c r="H549" s="653"/>
      <c r="I549" s="653"/>
      <c r="J549" s="653"/>
      <c r="K549" s="653"/>
      <c r="L549" s="653"/>
      <c r="M549" s="653"/>
      <c r="N549" s="653"/>
      <c r="O549" s="653"/>
      <c r="P549" s="653"/>
      <c r="Q549" s="653"/>
      <c r="R549" s="653"/>
      <c r="S549" s="653"/>
      <c r="T549" s="653"/>
      <c r="U549" s="653"/>
    </row>
    <row r="550" spans="1:21" x14ac:dyDescent="0.25">
      <c r="A550" s="653"/>
      <c r="B550" s="653"/>
      <c r="C550" s="653"/>
      <c r="D550" s="653"/>
      <c r="E550" s="653"/>
      <c r="F550" s="653"/>
      <c r="G550" s="1243"/>
      <c r="H550" s="653"/>
      <c r="I550" s="653"/>
      <c r="J550" s="653"/>
      <c r="K550" s="653"/>
      <c r="L550" s="653"/>
      <c r="M550" s="653"/>
      <c r="N550" s="653"/>
      <c r="O550" s="653"/>
      <c r="P550" s="653"/>
      <c r="Q550" s="653"/>
      <c r="R550" s="653"/>
      <c r="S550" s="653"/>
      <c r="T550" s="653"/>
      <c r="U550" s="653"/>
    </row>
    <row r="551" spans="1:21" x14ac:dyDescent="0.25">
      <c r="A551" s="653"/>
      <c r="B551" s="653"/>
      <c r="C551" s="653"/>
      <c r="D551" s="653"/>
      <c r="E551" s="653"/>
      <c r="F551" s="653"/>
      <c r="G551" s="1243"/>
      <c r="H551" s="653"/>
      <c r="I551" s="653"/>
      <c r="J551" s="653"/>
      <c r="K551" s="653"/>
      <c r="L551" s="653"/>
      <c r="M551" s="653"/>
      <c r="N551" s="653"/>
      <c r="O551" s="653"/>
      <c r="P551" s="653"/>
      <c r="Q551" s="653"/>
      <c r="R551" s="653"/>
      <c r="S551" s="653"/>
      <c r="T551" s="653"/>
      <c r="U551" s="653"/>
    </row>
    <row r="552" spans="1:21" x14ac:dyDescent="0.25">
      <c r="A552" s="653"/>
      <c r="B552" s="653"/>
      <c r="C552" s="653"/>
      <c r="D552" s="653"/>
      <c r="E552" s="653"/>
      <c r="F552" s="653"/>
      <c r="G552" s="1243"/>
      <c r="H552" s="653"/>
      <c r="I552" s="653"/>
      <c r="J552" s="653"/>
      <c r="K552" s="653"/>
      <c r="L552" s="653"/>
      <c r="M552" s="653"/>
      <c r="N552" s="653"/>
      <c r="O552" s="653"/>
      <c r="P552" s="653"/>
      <c r="Q552" s="653"/>
      <c r="R552" s="653"/>
      <c r="S552" s="653"/>
      <c r="T552" s="653"/>
      <c r="U552" s="653"/>
    </row>
    <row r="553" spans="1:21" x14ac:dyDescent="0.25">
      <c r="A553" s="653"/>
      <c r="B553" s="653"/>
      <c r="C553" s="653"/>
      <c r="D553" s="653"/>
      <c r="E553" s="653"/>
      <c r="F553" s="653"/>
      <c r="G553" s="1243"/>
      <c r="H553" s="653"/>
      <c r="I553" s="653"/>
      <c r="J553" s="653"/>
      <c r="K553" s="653"/>
      <c r="L553" s="653"/>
      <c r="M553" s="653"/>
      <c r="N553" s="653"/>
      <c r="O553" s="653"/>
      <c r="P553" s="653"/>
      <c r="Q553" s="653"/>
      <c r="R553" s="653"/>
      <c r="S553" s="653"/>
      <c r="T553" s="653"/>
      <c r="U553" s="653"/>
    </row>
    <row r="554" spans="1:21" x14ac:dyDescent="0.25">
      <c r="A554" s="653"/>
      <c r="B554" s="653"/>
      <c r="C554" s="653"/>
      <c r="D554" s="653"/>
      <c r="E554" s="653"/>
      <c r="F554" s="653"/>
      <c r="G554" s="1243"/>
      <c r="H554" s="653"/>
      <c r="I554" s="653"/>
      <c r="J554" s="653"/>
      <c r="K554" s="653"/>
      <c r="L554" s="653"/>
      <c r="M554" s="653"/>
      <c r="N554" s="653"/>
      <c r="O554" s="653"/>
      <c r="P554" s="653"/>
      <c r="Q554" s="653"/>
      <c r="R554" s="653"/>
      <c r="S554" s="653"/>
      <c r="T554" s="653"/>
      <c r="U554" s="653"/>
    </row>
    <row r="555" spans="1:21" x14ac:dyDescent="0.25">
      <c r="A555" s="653"/>
      <c r="B555" s="653"/>
      <c r="C555" s="653"/>
      <c r="D555" s="653"/>
      <c r="E555" s="653"/>
      <c r="F555" s="653"/>
      <c r="G555" s="1243"/>
      <c r="H555" s="653"/>
      <c r="I555" s="653"/>
      <c r="J555" s="653"/>
      <c r="K555" s="653"/>
      <c r="L555" s="653"/>
      <c r="M555" s="653"/>
      <c r="N555" s="653"/>
      <c r="O555" s="653"/>
      <c r="P555" s="653"/>
      <c r="Q555" s="653"/>
      <c r="R555" s="653"/>
      <c r="S555" s="653"/>
      <c r="T555" s="653"/>
      <c r="U555" s="653"/>
    </row>
    <row r="556" spans="1:21" x14ac:dyDescent="0.25">
      <c r="A556" s="653"/>
      <c r="B556" s="653"/>
      <c r="C556" s="653"/>
      <c r="D556" s="653"/>
      <c r="E556" s="653"/>
      <c r="F556" s="653"/>
      <c r="G556" s="1243"/>
      <c r="H556" s="653"/>
      <c r="I556" s="653"/>
      <c r="J556" s="653"/>
      <c r="K556" s="653"/>
      <c r="L556" s="653"/>
      <c r="M556" s="653"/>
      <c r="N556" s="653"/>
      <c r="O556" s="653"/>
      <c r="P556" s="653"/>
      <c r="Q556" s="653"/>
      <c r="R556" s="653"/>
      <c r="S556" s="653"/>
      <c r="T556" s="653"/>
      <c r="U556" s="653"/>
    </row>
    <row r="557" spans="1:21" x14ac:dyDescent="0.25">
      <c r="A557" s="653"/>
      <c r="B557" s="653"/>
      <c r="C557" s="653"/>
      <c r="D557" s="653"/>
      <c r="E557" s="653"/>
      <c r="F557" s="653"/>
      <c r="G557" s="1243"/>
      <c r="H557" s="653"/>
      <c r="I557" s="653"/>
      <c r="J557" s="653"/>
      <c r="K557" s="653"/>
      <c r="L557" s="653"/>
      <c r="M557" s="653"/>
      <c r="N557" s="653"/>
      <c r="O557" s="653"/>
      <c r="P557" s="653"/>
      <c r="Q557" s="653"/>
      <c r="R557" s="653"/>
      <c r="S557" s="653"/>
      <c r="T557" s="653"/>
      <c r="U557" s="653"/>
    </row>
    <row r="558" spans="1:21" x14ac:dyDescent="0.25">
      <c r="A558" s="653"/>
      <c r="B558" s="653"/>
      <c r="C558" s="653"/>
      <c r="D558" s="653"/>
      <c r="E558" s="653"/>
      <c r="F558" s="653"/>
      <c r="G558" s="1243"/>
      <c r="H558" s="653"/>
      <c r="I558" s="653"/>
      <c r="J558" s="653"/>
      <c r="K558" s="653"/>
      <c r="L558" s="653"/>
      <c r="M558" s="653"/>
      <c r="N558" s="653"/>
      <c r="O558" s="653"/>
      <c r="P558" s="653"/>
      <c r="Q558" s="653"/>
      <c r="R558" s="653"/>
      <c r="S558" s="653"/>
      <c r="T558" s="653"/>
      <c r="U558" s="653"/>
    </row>
    <row r="559" spans="1:21" x14ac:dyDescent="0.25">
      <c r="A559" s="653"/>
      <c r="B559" s="653"/>
      <c r="C559" s="653"/>
      <c r="D559" s="653"/>
      <c r="E559" s="653"/>
      <c r="F559" s="653"/>
      <c r="G559" s="1243"/>
      <c r="H559" s="653"/>
      <c r="I559" s="653"/>
      <c r="J559" s="653"/>
      <c r="K559" s="653"/>
      <c r="L559" s="653"/>
      <c r="M559" s="653"/>
      <c r="N559" s="653"/>
      <c r="O559" s="653"/>
      <c r="P559" s="653"/>
      <c r="Q559" s="653"/>
      <c r="R559" s="653"/>
      <c r="S559" s="653"/>
      <c r="T559" s="653"/>
      <c r="U559" s="653"/>
    </row>
    <row r="560" spans="1:21" x14ac:dyDescent="0.25">
      <c r="A560" s="653"/>
      <c r="B560" s="653"/>
      <c r="C560" s="653"/>
      <c r="D560" s="653"/>
      <c r="E560" s="653"/>
      <c r="F560" s="653"/>
      <c r="G560" s="1243"/>
      <c r="H560" s="653"/>
      <c r="I560" s="653"/>
      <c r="J560" s="653"/>
      <c r="K560" s="653"/>
      <c r="L560" s="653"/>
      <c r="M560" s="653"/>
      <c r="N560" s="653"/>
      <c r="O560" s="653"/>
      <c r="P560" s="653"/>
      <c r="Q560" s="653"/>
      <c r="R560" s="653"/>
      <c r="S560" s="653"/>
      <c r="T560" s="653"/>
      <c r="U560" s="653"/>
    </row>
    <row r="561" spans="1:21" x14ac:dyDescent="0.25">
      <c r="A561" s="653"/>
      <c r="B561" s="653"/>
      <c r="C561" s="653"/>
      <c r="D561" s="653"/>
      <c r="E561" s="653"/>
      <c r="F561" s="653"/>
      <c r="G561" s="1243"/>
      <c r="H561" s="653"/>
      <c r="I561" s="653"/>
      <c r="J561" s="653"/>
      <c r="K561" s="653"/>
      <c r="L561" s="653"/>
      <c r="M561" s="653"/>
      <c r="N561" s="653"/>
      <c r="O561" s="653"/>
      <c r="P561" s="653"/>
      <c r="Q561" s="653"/>
      <c r="R561" s="653"/>
      <c r="S561" s="653"/>
      <c r="T561" s="653"/>
      <c r="U561" s="653"/>
    </row>
    <row r="562" spans="1:21" x14ac:dyDescent="0.25">
      <c r="A562" s="653"/>
      <c r="B562" s="653"/>
      <c r="C562" s="653"/>
      <c r="D562" s="653"/>
      <c r="E562" s="653"/>
      <c r="F562" s="653"/>
      <c r="G562" s="1243"/>
      <c r="H562" s="653"/>
      <c r="I562" s="653"/>
      <c r="J562" s="653"/>
      <c r="K562" s="653"/>
      <c r="L562" s="653"/>
      <c r="M562" s="653"/>
      <c r="N562" s="653"/>
      <c r="O562" s="653"/>
      <c r="P562" s="653"/>
      <c r="Q562" s="653"/>
      <c r="R562" s="653"/>
      <c r="S562" s="653"/>
      <c r="T562" s="653"/>
      <c r="U562" s="653"/>
    </row>
    <row r="563" spans="1:21" x14ac:dyDescent="0.25">
      <c r="A563" s="653"/>
      <c r="B563" s="653"/>
      <c r="C563" s="653"/>
      <c r="D563" s="653"/>
      <c r="E563" s="653"/>
      <c r="F563" s="653"/>
      <c r="G563" s="1243"/>
      <c r="H563" s="653"/>
      <c r="I563" s="653"/>
      <c r="J563" s="653"/>
      <c r="K563" s="653"/>
      <c r="L563" s="653"/>
      <c r="M563" s="653"/>
      <c r="N563" s="653"/>
      <c r="O563" s="653"/>
      <c r="P563" s="653"/>
      <c r="Q563" s="653"/>
      <c r="R563" s="653"/>
      <c r="S563" s="653"/>
      <c r="T563" s="653"/>
      <c r="U563" s="653"/>
    </row>
    <row r="564" spans="1:21" x14ac:dyDescent="0.25">
      <c r="A564" s="653"/>
      <c r="B564" s="653"/>
      <c r="C564" s="653"/>
      <c r="D564" s="653"/>
      <c r="E564" s="653"/>
      <c r="F564" s="653"/>
      <c r="G564" s="1243"/>
      <c r="H564" s="653"/>
      <c r="I564" s="653"/>
      <c r="J564" s="653"/>
      <c r="K564" s="653"/>
      <c r="L564" s="653"/>
      <c r="M564" s="653"/>
      <c r="N564" s="653"/>
      <c r="O564" s="653"/>
      <c r="P564" s="653"/>
      <c r="Q564" s="653"/>
      <c r="R564" s="653"/>
      <c r="S564" s="653"/>
      <c r="T564" s="653"/>
      <c r="U564" s="653"/>
    </row>
    <row r="565" spans="1:21" x14ac:dyDescent="0.25">
      <c r="A565" s="653"/>
      <c r="B565" s="653"/>
      <c r="C565" s="653"/>
      <c r="D565" s="653"/>
      <c r="E565" s="653"/>
      <c r="F565" s="653"/>
      <c r="G565" s="1243"/>
      <c r="H565" s="653"/>
      <c r="I565" s="653"/>
      <c r="J565" s="653"/>
      <c r="K565" s="653"/>
      <c r="L565" s="653"/>
      <c r="M565" s="653"/>
      <c r="N565" s="653"/>
      <c r="O565" s="653"/>
      <c r="P565" s="653"/>
      <c r="Q565" s="653"/>
      <c r="R565" s="653"/>
      <c r="S565" s="653"/>
      <c r="T565" s="653"/>
      <c r="U565" s="653"/>
    </row>
    <row r="566" spans="1:21" x14ac:dyDescent="0.25">
      <c r="A566" s="653"/>
      <c r="B566" s="653"/>
      <c r="C566" s="653"/>
      <c r="D566" s="653"/>
      <c r="E566" s="653"/>
      <c r="F566" s="653"/>
      <c r="G566" s="1243"/>
      <c r="H566" s="653"/>
      <c r="I566" s="653"/>
      <c r="J566" s="653"/>
      <c r="K566" s="653"/>
      <c r="L566" s="653"/>
      <c r="M566" s="653"/>
      <c r="N566" s="653"/>
      <c r="O566" s="653"/>
      <c r="P566" s="653"/>
      <c r="Q566" s="653"/>
      <c r="R566" s="653"/>
      <c r="S566" s="653"/>
      <c r="T566" s="653"/>
      <c r="U566" s="653"/>
    </row>
    <row r="567" spans="1:21" x14ac:dyDescent="0.25">
      <c r="A567" s="653"/>
      <c r="B567" s="653"/>
      <c r="C567" s="653"/>
      <c r="D567" s="653"/>
      <c r="E567" s="653"/>
      <c r="F567" s="653"/>
      <c r="G567" s="1243"/>
      <c r="H567" s="653"/>
      <c r="I567" s="653"/>
      <c r="J567" s="653"/>
      <c r="K567" s="653"/>
      <c r="L567" s="653"/>
      <c r="M567" s="653"/>
      <c r="N567" s="653"/>
      <c r="O567" s="653"/>
      <c r="P567" s="653"/>
      <c r="Q567" s="653"/>
      <c r="R567" s="653"/>
      <c r="S567" s="653"/>
      <c r="T567" s="653"/>
      <c r="U567" s="653"/>
    </row>
    <row r="568" spans="1:21" x14ac:dyDescent="0.25">
      <c r="A568" s="653"/>
      <c r="B568" s="653"/>
      <c r="C568" s="653"/>
      <c r="D568" s="653"/>
      <c r="E568" s="653"/>
      <c r="F568" s="653"/>
      <c r="G568" s="1243"/>
      <c r="H568" s="653"/>
      <c r="I568" s="653"/>
      <c r="J568" s="653"/>
      <c r="K568" s="653"/>
      <c r="L568" s="653"/>
      <c r="M568" s="653"/>
      <c r="N568" s="653"/>
      <c r="O568" s="653"/>
      <c r="P568" s="653"/>
      <c r="Q568" s="653"/>
      <c r="R568" s="653"/>
      <c r="S568" s="653"/>
      <c r="T568" s="653"/>
      <c r="U568" s="653"/>
    </row>
    <row r="569" spans="1:21" x14ac:dyDescent="0.25">
      <c r="A569" s="653"/>
      <c r="B569" s="653"/>
      <c r="C569" s="653"/>
      <c r="D569" s="653"/>
      <c r="E569" s="653"/>
      <c r="F569" s="653"/>
      <c r="G569" s="1243"/>
      <c r="H569" s="653"/>
      <c r="I569" s="653"/>
      <c r="J569" s="653"/>
      <c r="K569" s="653"/>
      <c r="L569" s="653"/>
      <c r="M569" s="653"/>
      <c r="N569" s="653"/>
      <c r="O569" s="653"/>
      <c r="P569" s="653"/>
      <c r="Q569" s="653"/>
      <c r="R569" s="653"/>
      <c r="S569" s="653"/>
      <c r="T569" s="653"/>
      <c r="U569" s="653"/>
    </row>
    <row r="570" spans="1:21" x14ac:dyDescent="0.25">
      <c r="A570" s="653"/>
      <c r="B570" s="653"/>
      <c r="C570" s="653"/>
      <c r="D570" s="653"/>
      <c r="E570" s="653"/>
      <c r="F570" s="653"/>
      <c r="G570" s="1243"/>
      <c r="H570" s="653"/>
      <c r="I570" s="653"/>
      <c r="J570" s="653"/>
      <c r="K570" s="653"/>
      <c r="L570" s="653"/>
      <c r="M570" s="653"/>
      <c r="N570" s="653"/>
      <c r="O570" s="653"/>
      <c r="P570" s="653"/>
      <c r="Q570" s="653"/>
      <c r="R570" s="653"/>
      <c r="S570" s="653"/>
      <c r="T570" s="653"/>
      <c r="U570" s="653"/>
    </row>
    <row r="571" spans="1:21" x14ac:dyDescent="0.25">
      <c r="A571" s="653"/>
      <c r="B571" s="653"/>
      <c r="C571" s="653"/>
      <c r="D571" s="653"/>
      <c r="E571" s="653"/>
      <c r="F571" s="653"/>
      <c r="G571" s="1243"/>
      <c r="H571" s="653"/>
      <c r="I571" s="653"/>
      <c r="J571" s="653"/>
      <c r="K571" s="653"/>
      <c r="L571" s="653"/>
      <c r="M571" s="653"/>
      <c r="N571" s="653"/>
      <c r="O571" s="653"/>
      <c r="P571" s="653"/>
      <c r="Q571" s="653"/>
      <c r="R571" s="653"/>
      <c r="S571" s="653"/>
      <c r="T571" s="653"/>
      <c r="U571" s="653"/>
    </row>
    <row r="572" spans="1:21" x14ac:dyDescent="0.25">
      <c r="A572" s="653"/>
      <c r="B572" s="653"/>
      <c r="C572" s="653"/>
      <c r="D572" s="653"/>
      <c r="E572" s="653"/>
      <c r="F572" s="653"/>
      <c r="G572" s="1243"/>
      <c r="H572" s="653"/>
      <c r="I572" s="653"/>
      <c r="J572" s="653"/>
      <c r="K572" s="653"/>
      <c r="L572" s="653"/>
      <c r="M572" s="653"/>
      <c r="N572" s="653"/>
      <c r="O572" s="653"/>
      <c r="P572" s="653"/>
      <c r="Q572" s="653"/>
      <c r="R572" s="653"/>
      <c r="S572" s="653"/>
      <c r="T572" s="653"/>
      <c r="U572" s="653"/>
    </row>
    <row r="573" spans="1:21" x14ac:dyDescent="0.25">
      <c r="A573" s="653"/>
      <c r="B573" s="653"/>
      <c r="C573" s="653"/>
      <c r="D573" s="653"/>
      <c r="E573" s="653"/>
      <c r="F573" s="653"/>
      <c r="G573" s="1243"/>
      <c r="H573" s="653"/>
      <c r="I573" s="653"/>
      <c r="J573" s="653"/>
      <c r="K573" s="653"/>
      <c r="L573" s="653"/>
      <c r="M573" s="653"/>
      <c r="N573" s="653"/>
      <c r="O573" s="653"/>
      <c r="P573" s="653"/>
      <c r="Q573" s="653"/>
      <c r="R573" s="653"/>
      <c r="S573" s="653"/>
      <c r="T573" s="653"/>
      <c r="U573" s="653"/>
    </row>
    <row r="574" spans="1:21" x14ac:dyDescent="0.25">
      <c r="A574" s="653"/>
      <c r="B574" s="653"/>
      <c r="C574" s="653"/>
      <c r="D574" s="653"/>
      <c r="E574" s="653"/>
      <c r="F574" s="653"/>
      <c r="G574" s="1243"/>
      <c r="H574" s="653"/>
      <c r="I574" s="653"/>
      <c r="J574" s="653"/>
      <c r="K574" s="653"/>
      <c r="L574" s="653"/>
      <c r="M574" s="653"/>
      <c r="N574" s="653"/>
      <c r="O574" s="653"/>
      <c r="P574" s="653"/>
      <c r="Q574" s="653"/>
      <c r="R574" s="653"/>
      <c r="S574" s="653"/>
      <c r="T574" s="653"/>
      <c r="U574" s="653"/>
    </row>
    <row r="575" spans="1:21" x14ac:dyDescent="0.25">
      <c r="A575" s="653"/>
      <c r="B575" s="653"/>
      <c r="C575" s="653"/>
      <c r="D575" s="653"/>
      <c r="E575" s="653"/>
      <c r="F575" s="653"/>
      <c r="G575" s="1243"/>
      <c r="H575" s="653"/>
      <c r="I575" s="653"/>
      <c r="J575" s="653"/>
      <c r="K575" s="653"/>
      <c r="L575" s="653"/>
      <c r="M575" s="653"/>
      <c r="N575" s="653"/>
      <c r="O575" s="653"/>
      <c r="P575" s="653"/>
      <c r="Q575" s="653"/>
      <c r="R575" s="653"/>
      <c r="S575" s="653"/>
      <c r="T575" s="653"/>
      <c r="U575" s="653"/>
    </row>
    <row r="576" spans="1:21" x14ac:dyDescent="0.25">
      <c r="A576" s="653"/>
      <c r="B576" s="653"/>
      <c r="C576" s="653"/>
      <c r="D576" s="653"/>
      <c r="E576" s="653"/>
      <c r="F576" s="653"/>
      <c r="G576" s="1243"/>
      <c r="H576" s="653"/>
      <c r="I576" s="653"/>
      <c r="J576" s="653"/>
      <c r="K576" s="653"/>
      <c r="L576" s="653"/>
      <c r="M576" s="653"/>
      <c r="N576" s="653"/>
      <c r="O576" s="653"/>
      <c r="P576" s="653"/>
      <c r="Q576" s="653"/>
      <c r="R576" s="653"/>
      <c r="S576" s="653"/>
      <c r="T576" s="653"/>
      <c r="U576" s="653"/>
    </row>
    <row r="577" spans="1:21" x14ac:dyDescent="0.25">
      <c r="A577" s="653"/>
      <c r="B577" s="653"/>
      <c r="C577" s="653"/>
      <c r="D577" s="653"/>
      <c r="E577" s="653"/>
      <c r="F577" s="653"/>
      <c r="G577" s="1243"/>
      <c r="H577" s="653"/>
      <c r="I577" s="653"/>
      <c r="J577" s="653"/>
      <c r="K577" s="653"/>
      <c r="L577" s="653"/>
      <c r="M577" s="653"/>
      <c r="N577" s="653"/>
      <c r="O577" s="653"/>
      <c r="P577" s="653"/>
      <c r="Q577" s="653"/>
      <c r="R577" s="653"/>
      <c r="S577" s="653"/>
      <c r="T577" s="653"/>
      <c r="U577" s="653"/>
    </row>
    <row r="578" spans="1:21" x14ac:dyDescent="0.25">
      <c r="A578" s="653"/>
      <c r="B578" s="653"/>
      <c r="C578" s="653"/>
      <c r="D578" s="653"/>
      <c r="E578" s="653"/>
      <c r="F578" s="653"/>
      <c r="G578" s="1243"/>
      <c r="H578" s="653"/>
      <c r="I578" s="653"/>
      <c r="J578" s="653"/>
      <c r="K578" s="653"/>
      <c r="L578" s="653"/>
      <c r="M578" s="653"/>
      <c r="N578" s="653"/>
      <c r="O578" s="653"/>
      <c r="P578" s="653"/>
      <c r="Q578" s="653"/>
      <c r="R578" s="653"/>
      <c r="S578" s="653"/>
      <c r="T578" s="653"/>
      <c r="U578" s="653"/>
    </row>
    <row r="579" spans="1:21" x14ac:dyDescent="0.25">
      <c r="A579" s="653"/>
      <c r="B579" s="653"/>
      <c r="C579" s="653"/>
      <c r="D579" s="653"/>
      <c r="E579" s="653"/>
      <c r="F579" s="653"/>
      <c r="G579" s="1243"/>
      <c r="H579" s="653"/>
      <c r="I579" s="653"/>
      <c r="J579" s="653"/>
      <c r="K579" s="653"/>
      <c r="L579" s="653"/>
      <c r="M579" s="653"/>
      <c r="N579" s="653"/>
      <c r="O579" s="653"/>
      <c r="P579" s="653"/>
      <c r="Q579" s="653"/>
      <c r="R579" s="653"/>
      <c r="S579" s="653"/>
      <c r="T579" s="653"/>
      <c r="U579" s="653"/>
    </row>
    <row r="580" spans="1:21" x14ac:dyDescent="0.25">
      <c r="A580" s="653"/>
      <c r="B580" s="653"/>
      <c r="C580" s="653"/>
      <c r="D580" s="653"/>
      <c r="E580" s="653"/>
      <c r="F580" s="653"/>
      <c r="G580" s="1243"/>
      <c r="H580" s="653"/>
      <c r="I580" s="653"/>
      <c r="J580" s="653"/>
      <c r="K580" s="653"/>
      <c r="L580" s="653"/>
      <c r="M580" s="653"/>
      <c r="N580" s="653"/>
      <c r="O580" s="653"/>
      <c r="P580" s="653"/>
      <c r="Q580" s="653"/>
      <c r="R580" s="653"/>
      <c r="S580" s="653"/>
      <c r="T580" s="653"/>
      <c r="U580" s="653"/>
    </row>
    <row r="581" spans="1:21" x14ac:dyDescent="0.25">
      <c r="A581" s="653"/>
      <c r="B581" s="653"/>
      <c r="C581" s="653"/>
      <c r="D581" s="653"/>
      <c r="E581" s="653"/>
      <c r="F581" s="653"/>
      <c r="G581" s="1243"/>
      <c r="H581" s="653"/>
      <c r="I581" s="653"/>
      <c r="J581" s="653"/>
      <c r="K581" s="653"/>
      <c r="L581" s="653"/>
      <c r="M581" s="653"/>
      <c r="N581" s="653"/>
      <c r="O581" s="653"/>
      <c r="P581" s="653"/>
      <c r="Q581" s="653"/>
      <c r="R581" s="653"/>
      <c r="S581" s="653"/>
      <c r="T581" s="653"/>
      <c r="U581" s="653"/>
    </row>
    <row r="582" spans="1:21" x14ac:dyDescent="0.25">
      <c r="A582" s="653"/>
      <c r="B582" s="653"/>
      <c r="C582" s="653"/>
      <c r="D582" s="653"/>
      <c r="E582" s="653"/>
      <c r="F582" s="653"/>
      <c r="G582" s="1243"/>
      <c r="H582" s="653"/>
      <c r="I582" s="653"/>
      <c r="J582" s="653"/>
      <c r="K582" s="653"/>
      <c r="L582" s="653"/>
      <c r="M582" s="653"/>
      <c r="N582" s="653"/>
      <c r="O582" s="653"/>
      <c r="P582" s="653"/>
      <c r="Q582" s="653"/>
      <c r="R582" s="653"/>
      <c r="S582" s="653"/>
      <c r="T582" s="653"/>
      <c r="U582" s="653"/>
    </row>
    <row r="583" spans="1:21" x14ac:dyDescent="0.25">
      <c r="A583" s="653"/>
      <c r="B583" s="653"/>
      <c r="C583" s="653"/>
      <c r="D583" s="653"/>
      <c r="E583" s="653"/>
      <c r="F583" s="653"/>
      <c r="G583" s="1243"/>
      <c r="H583" s="653"/>
      <c r="I583" s="653"/>
      <c r="J583" s="653"/>
      <c r="K583" s="653"/>
      <c r="L583" s="653"/>
      <c r="M583" s="653"/>
      <c r="N583" s="653"/>
      <c r="O583" s="653"/>
      <c r="P583" s="653"/>
      <c r="Q583" s="653"/>
      <c r="R583" s="653"/>
      <c r="S583" s="653"/>
      <c r="T583" s="653"/>
      <c r="U583" s="653"/>
    </row>
    <row r="584" spans="1:21" x14ac:dyDescent="0.25">
      <c r="A584" s="653"/>
      <c r="B584" s="653"/>
      <c r="C584" s="653"/>
      <c r="D584" s="653"/>
      <c r="E584" s="653"/>
      <c r="F584" s="653"/>
      <c r="G584" s="1243"/>
      <c r="H584" s="653"/>
      <c r="I584" s="653"/>
      <c r="J584" s="653"/>
      <c r="K584" s="653"/>
      <c r="L584" s="653"/>
      <c r="M584" s="653"/>
      <c r="N584" s="653"/>
      <c r="O584" s="653"/>
      <c r="P584" s="653"/>
      <c r="Q584" s="653"/>
      <c r="R584" s="653"/>
      <c r="S584" s="653"/>
      <c r="T584" s="653"/>
      <c r="U584" s="653"/>
    </row>
    <row r="585" spans="1:21" x14ac:dyDescent="0.25">
      <c r="A585" s="653"/>
      <c r="B585" s="653"/>
      <c r="C585" s="653"/>
      <c r="D585" s="653"/>
      <c r="E585" s="653"/>
      <c r="F585" s="653"/>
      <c r="G585" s="1243"/>
      <c r="H585" s="653"/>
      <c r="I585" s="653"/>
      <c r="J585" s="653"/>
      <c r="K585" s="653"/>
      <c r="L585" s="653"/>
      <c r="M585" s="653"/>
      <c r="N585" s="653"/>
      <c r="O585" s="653"/>
      <c r="P585" s="653"/>
      <c r="Q585" s="653"/>
      <c r="R585" s="653"/>
      <c r="S585" s="653"/>
      <c r="T585" s="653"/>
      <c r="U585" s="653"/>
    </row>
    <row r="586" spans="1:21" x14ac:dyDescent="0.25">
      <c r="A586" s="653"/>
      <c r="B586" s="653"/>
      <c r="C586" s="653"/>
      <c r="D586" s="653"/>
      <c r="E586" s="653"/>
      <c r="F586" s="653"/>
      <c r="G586" s="1243"/>
      <c r="H586" s="653"/>
      <c r="I586" s="653"/>
      <c r="J586" s="653"/>
      <c r="K586" s="653"/>
      <c r="L586" s="653"/>
      <c r="M586" s="653"/>
      <c r="N586" s="653"/>
      <c r="O586" s="653"/>
      <c r="P586" s="653"/>
      <c r="Q586" s="653"/>
      <c r="R586" s="653"/>
      <c r="S586" s="653"/>
      <c r="T586" s="653"/>
      <c r="U586" s="653"/>
    </row>
    <row r="587" spans="1:21" x14ac:dyDescent="0.25">
      <c r="A587" s="653"/>
      <c r="B587" s="653"/>
      <c r="C587" s="653"/>
      <c r="D587" s="653"/>
      <c r="E587" s="653"/>
      <c r="F587" s="653"/>
      <c r="G587" s="1243"/>
      <c r="H587" s="653"/>
      <c r="I587" s="653"/>
      <c r="J587" s="653"/>
      <c r="K587" s="653"/>
      <c r="L587" s="653"/>
      <c r="M587" s="653"/>
      <c r="N587" s="653"/>
      <c r="O587" s="653"/>
      <c r="P587" s="653"/>
      <c r="Q587" s="653"/>
      <c r="R587" s="653"/>
      <c r="S587" s="653"/>
      <c r="T587" s="653"/>
      <c r="U587" s="653"/>
    </row>
    <row r="588" spans="1:21" x14ac:dyDescent="0.25">
      <c r="A588" s="653"/>
      <c r="B588" s="653"/>
      <c r="C588" s="653"/>
      <c r="D588" s="653"/>
      <c r="E588" s="653"/>
      <c r="F588" s="653"/>
      <c r="G588" s="1243"/>
      <c r="H588" s="653"/>
      <c r="I588" s="653"/>
      <c r="J588" s="653"/>
      <c r="K588" s="653"/>
      <c r="L588" s="653"/>
      <c r="M588" s="653"/>
      <c r="N588" s="653"/>
      <c r="O588" s="653"/>
      <c r="P588" s="653"/>
      <c r="Q588" s="653"/>
      <c r="R588" s="653"/>
      <c r="S588" s="653"/>
      <c r="T588" s="653"/>
      <c r="U588" s="653"/>
    </row>
    <row r="589" spans="1:21" x14ac:dyDescent="0.25">
      <c r="A589" s="653"/>
      <c r="B589" s="653"/>
      <c r="C589" s="653"/>
      <c r="D589" s="653"/>
      <c r="E589" s="653"/>
      <c r="F589" s="653"/>
      <c r="G589" s="1243"/>
      <c r="H589" s="653"/>
      <c r="I589" s="653"/>
      <c r="J589" s="653"/>
      <c r="K589" s="653"/>
      <c r="L589" s="653"/>
      <c r="M589" s="653"/>
      <c r="N589" s="653"/>
      <c r="O589" s="653"/>
      <c r="P589" s="653"/>
      <c r="Q589" s="653"/>
      <c r="R589" s="653"/>
      <c r="S589" s="653"/>
      <c r="T589" s="653"/>
      <c r="U589" s="653"/>
    </row>
    <row r="590" spans="1:21" x14ac:dyDescent="0.25">
      <c r="A590" s="653"/>
      <c r="B590" s="653"/>
      <c r="C590" s="653"/>
      <c r="D590" s="653"/>
      <c r="E590" s="653"/>
      <c r="F590" s="653"/>
      <c r="G590" s="1243"/>
      <c r="H590" s="653"/>
      <c r="I590" s="653"/>
      <c r="J590" s="653"/>
      <c r="K590" s="653"/>
      <c r="L590" s="653"/>
      <c r="M590" s="653"/>
      <c r="N590" s="653"/>
      <c r="O590" s="653"/>
      <c r="P590" s="653"/>
      <c r="Q590" s="653"/>
      <c r="R590" s="653"/>
      <c r="S590" s="653"/>
      <c r="T590" s="653"/>
      <c r="U590" s="653"/>
    </row>
    <row r="591" spans="1:21" x14ac:dyDescent="0.25">
      <c r="A591" s="653"/>
      <c r="B591" s="653"/>
      <c r="C591" s="653"/>
      <c r="D591" s="653"/>
      <c r="E591" s="653"/>
      <c r="F591" s="653"/>
      <c r="G591" s="1243"/>
      <c r="H591" s="653"/>
      <c r="I591" s="653"/>
      <c r="J591" s="653"/>
      <c r="K591" s="653"/>
      <c r="L591" s="653"/>
      <c r="M591" s="653"/>
      <c r="N591" s="653"/>
      <c r="O591" s="653"/>
      <c r="P591" s="653"/>
      <c r="Q591" s="653"/>
      <c r="R591" s="653"/>
      <c r="S591" s="653"/>
      <c r="T591" s="653"/>
      <c r="U591" s="653"/>
    </row>
    <row r="592" spans="1:21" x14ac:dyDescent="0.25">
      <c r="A592" s="653"/>
      <c r="B592" s="653"/>
      <c r="C592" s="653"/>
      <c r="D592" s="653"/>
      <c r="E592" s="653"/>
      <c r="F592" s="653"/>
      <c r="G592" s="1243"/>
      <c r="H592" s="653"/>
      <c r="I592" s="653"/>
      <c r="J592" s="653"/>
      <c r="K592" s="653"/>
      <c r="L592" s="653"/>
      <c r="M592" s="653"/>
      <c r="N592" s="653"/>
      <c r="O592" s="653"/>
      <c r="P592" s="653"/>
      <c r="Q592" s="653"/>
      <c r="R592" s="653"/>
      <c r="S592" s="653"/>
      <c r="T592" s="653"/>
      <c r="U592" s="653"/>
    </row>
    <row r="593" spans="1:21" x14ac:dyDescent="0.25">
      <c r="A593" s="653"/>
      <c r="B593" s="653"/>
      <c r="C593" s="653"/>
      <c r="D593" s="653"/>
      <c r="E593" s="653"/>
      <c r="F593" s="653"/>
      <c r="G593" s="1243"/>
      <c r="H593" s="653"/>
      <c r="I593" s="653"/>
      <c r="J593" s="653"/>
      <c r="K593" s="653"/>
      <c r="L593" s="653"/>
      <c r="M593" s="653"/>
      <c r="N593" s="653"/>
      <c r="O593" s="653"/>
      <c r="P593" s="653"/>
      <c r="Q593" s="653"/>
      <c r="R593" s="653"/>
      <c r="S593" s="653"/>
      <c r="T593" s="653"/>
      <c r="U593" s="653"/>
    </row>
    <row r="594" spans="1:21" x14ac:dyDescent="0.25">
      <c r="A594" s="653"/>
      <c r="B594" s="653"/>
      <c r="C594" s="653"/>
      <c r="D594" s="653"/>
      <c r="E594" s="653"/>
      <c r="F594" s="653"/>
      <c r="G594" s="1243"/>
      <c r="H594" s="653"/>
      <c r="I594" s="653"/>
      <c r="J594" s="653"/>
      <c r="K594" s="653"/>
      <c r="L594" s="653"/>
      <c r="M594" s="653"/>
      <c r="N594" s="653"/>
      <c r="O594" s="653"/>
      <c r="P594" s="653"/>
      <c r="Q594" s="653"/>
      <c r="R594" s="653"/>
      <c r="S594" s="653"/>
      <c r="T594" s="653"/>
      <c r="U594" s="653"/>
    </row>
    <row r="595" spans="1:21" x14ac:dyDescent="0.25">
      <c r="A595" s="653"/>
      <c r="B595" s="653"/>
      <c r="C595" s="653"/>
      <c r="D595" s="653"/>
      <c r="E595" s="653"/>
      <c r="F595" s="653"/>
      <c r="G595" s="1243"/>
      <c r="H595" s="653"/>
      <c r="I595" s="653"/>
      <c r="J595" s="653"/>
      <c r="K595" s="653"/>
      <c r="L595" s="653"/>
      <c r="M595" s="653"/>
      <c r="N595" s="653"/>
      <c r="O595" s="653"/>
      <c r="P595" s="653"/>
      <c r="Q595" s="653"/>
      <c r="R595" s="653"/>
      <c r="S595" s="653"/>
      <c r="T595" s="653"/>
      <c r="U595" s="653"/>
    </row>
    <row r="596" spans="1:21" x14ac:dyDescent="0.25">
      <c r="A596" s="653"/>
      <c r="B596" s="653"/>
      <c r="C596" s="653"/>
      <c r="D596" s="653"/>
      <c r="E596" s="653"/>
      <c r="F596" s="653"/>
      <c r="G596" s="1243"/>
      <c r="H596" s="653"/>
      <c r="I596" s="653"/>
      <c r="J596" s="653"/>
      <c r="K596" s="653"/>
      <c r="L596" s="653"/>
      <c r="M596" s="653"/>
      <c r="N596" s="653"/>
      <c r="O596" s="653"/>
      <c r="P596" s="653"/>
      <c r="Q596" s="653"/>
      <c r="R596" s="653"/>
      <c r="S596" s="653"/>
      <c r="T596" s="653"/>
      <c r="U596" s="653"/>
    </row>
    <row r="597" spans="1:21" x14ac:dyDescent="0.25">
      <c r="A597" s="653"/>
      <c r="B597" s="653"/>
      <c r="C597" s="653"/>
      <c r="D597" s="653"/>
      <c r="E597" s="653"/>
      <c r="F597" s="653"/>
      <c r="G597" s="1243"/>
      <c r="H597" s="653"/>
      <c r="I597" s="653"/>
      <c r="J597" s="653"/>
      <c r="K597" s="653"/>
      <c r="L597" s="653"/>
      <c r="M597" s="653"/>
      <c r="N597" s="653"/>
      <c r="O597" s="653"/>
      <c r="P597" s="653"/>
      <c r="Q597" s="653"/>
      <c r="R597" s="653"/>
      <c r="S597" s="653"/>
      <c r="T597" s="653"/>
      <c r="U597" s="653"/>
    </row>
    <row r="598" spans="1:21" x14ac:dyDescent="0.25">
      <c r="A598" s="653"/>
      <c r="B598" s="653"/>
      <c r="C598" s="653"/>
      <c r="D598" s="653"/>
      <c r="E598" s="653"/>
      <c r="F598" s="653"/>
      <c r="G598" s="1243"/>
      <c r="H598" s="653"/>
      <c r="I598" s="653"/>
      <c r="J598" s="653"/>
      <c r="K598" s="653"/>
      <c r="L598" s="653"/>
      <c r="M598" s="653"/>
      <c r="N598" s="653"/>
      <c r="O598" s="653"/>
      <c r="P598" s="653"/>
      <c r="Q598" s="653"/>
      <c r="R598" s="653"/>
      <c r="S598" s="653"/>
      <c r="T598" s="653"/>
      <c r="U598" s="653"/>
    </row>
    <row r="599" spans="1:21" x14ac:dyDescent="0.25">
      <c r="A599" s="653"/>
      <c r="B599" s="653"/>
      <c r="C599" s="653"/>
      <c r="D599" s="653"/>
      <c r="E599" s="653"/>
      <c r="F599" s="653"/>
      <c r="G599" s="1243"/>
      <c r="H599" s="653"/>
      <c r="I599" s="653"/>
      <c r="J599" s="653"/>
      <c r="K599" s="653"/>
      <c r="L599" s="653"/>
      <c r="M599" s="653"/>
      <c r="N599" s="653"/>
      <c r="O599" s="653"/>
      <c r="P599" s="653"/>
      <c r="Q599" s="653"/>
      <c r="R599" s="653"/>
      <c r="S599" s="653"/>
      <c r="T599" s="653"/>
      <c r="U599" s="653"/>
    </row>
    <row r="600" spans="1:21" x14ac:dyDescent="0.25">
      <c r="A600" s="653"/>
      <c r="B600" s="653"/>
      <c r="C600" s="653"/>
      <c r="D600" s="653"/>
      <c r="E600" s="653"/>
      <c r="F600" s="653"/>
      <c r="G600" s="1243"/>
      <c r="H600" s="653"/>
      <c r="I600" s="653"/>
      <c r="J600" s="653"/>
      <c r="K600" s="653"/>
      <c r="L600" s="653"/>
      <c r="M600" s="653"/>
      <c r="N600" s="653"/>
      <c r="O600" s="653"/>
      <c r="P600" s="653"/>
      <c r="Q600" s="653"/>
      <c r="R600" s="653"/>
      <c r="S600" s="653"/>
      <c r="T600" s="653"/>
      <c r="U600" s="653"/>
    </row>
    <row r="601" spans="1:21" x14ac:dyDescent="0.25">
      <c r="A601" s="653"/>
      <c r="B601" s="653"/>
      <c r="C601" s="653"/>
      <c r="D601" s="653"/>
      <c r="E601" s="653"/>
      <c r="F601" s="653"/>
      <c r="G601" s="1243"/>
      <c r="H601" s="653"/>
      <c r="I601" s="653"/>
      <c r="J601" s="653"/>
      <c r="K601" s="653"/>
      <c r="L601" s="653"/>
      <c r="M601" s="653"/>
      <c r="N601" s="653"/>
      <c r="O601" s="653"/>
      <c r="P601" s="653"/>
      <c r="Q601" s="653"/>
      <c r="R601" s="653"/>
      <c r="S601" s="653"/>
      <c r="T601" s="653"/>
      <c r="U601" s="653"/>
    </row>
    <row r="602" spans="1:21" x14ac:dyDescent="0.25">
      <c r="A602" s="653"/>
      <c r="B602" s="653"/>
      <c r="C602" s="653"/>
      <c r="D602" s="653"/>
      <c r="E602" s="653"/>
      <c r="F602" s="653"/>
      <c r="G602" s="1243"/>
      <c r="H602" s="653"/>
      <c r="I602" s="653"/>
      <c r="J602" s="653"/>
      <c r="K602" s="653"/>
      <c r="L602" s="653"/>
      <c r="M602" s="653"/>
      <c r="N602" s="653"/>
      <c r="O602" s="653"/>
      <c r="P602" s="653"/>
      <c r="Q602" s="653"/>
      <c r="R602" s="653"/>
      <c r="S602" s="653"/>
      <c r="T602" s="653"/>
      <c r="U602" s="653"/>
    </row>
    <row r="603" spans="1:21" x14ac:dyDescent="0.25">
      <c r="A603" s="653"/>
      <c r="B603" s="653"/>
      <c r="C603" s="653"/>
      <c r="D603" s="653"/>
      <c r="E603" s="653"/>
      <c r="F603" s="653"/>
      <c r="G603" s="1243"/>
      <c r="H603" s="653"/>
      <c r="I603" s="653"/>
      <c r="J603" s="653"/>
      <c r="K603" s="653"/>
      <c r="L603" s="653"/>
      <c r="M603" s="653"/>
      <c r="N603" s="653"/>
      <c r="O603" s="653"/>
      <c r="P603" s="653"/>
      <c r="Q603" s="653"/>
      <c r="R603" s="653"/>
      <c r="S603" s="653"/>
      <c r="T603" s="653"/>
      <c r="U603" s="653"/>
    </row>
    <row r="604" spans="1:21" x14ac:dyDescent="0.25">
      <c r="A604" s="653"/>
      <c r="B604" s="653"/>
      <c r="C604" s="653"/>
      <c r="D604" s="653"/>
      <c r="E604" s="653"/>
      <c r="F604" s="653"/>
      <c r="G604" s="1243"/>
      <c r="H604" s="653"/>
      <c r="I604" s="653"/>
      <c r="J604" s="653"/>
      <c r="K604" s="653"/>
      <c r="L604" s="653"/>
      <c r="M604" s="653"/>
      <c r="N604" s="653"/>
      <c r="O604" s="653"/>
      <c r="P604" s="653"/>
      <c r="Q604" s="653"/>
      <c r="R604" s="653"/>
      <c r="S604" s="653"/>
      <c r="T604" s="653"/>
      <c r="U604" s="653"/>
    </row>
    <row r="605" spans="1:21" x14ac:dyDescent="0.25">
      <c r="A605" s="653"/>
      <c r="B605" s="653"/>
      <c r="C605" s="653"/>
      <c r="D605" s="653"/>
      <c r="E605" s="653"/>
      <c r="F605" s="653"/>
      <c r="G605" s="1243"/>
      <c r="H605" s="653"/>
      <c r="I605" s="653"/>
      <c r="J605" s="653"/>
      <c r="K605" s="653"/>
      <c r="L605" s="653"/>
      <c r="M605" s="653"/>
      <c r="N605" s="653"/>
      <c r="O605" s="653"/>
      <c r="P605" s="653"/>
      <c r="Q605" s="653"/>
      <c r="R605" s="653"/>
      <c r="S605" s="653"/>
      <c r="T605" s="653"/>
      <c r="U605" s="653"/>
    </row>
    <row r="606" spans="1:21" x14ac:dyDescent="0.25">
      <c r="A606" s="653"/>
      <c r="B606" s="653"/>
      <c r="C606" s="653"/>
      <c r="D606" s="653"/>
      <c r="E606" s="653"/>
      <c r="F606" s="653"/>
      <c r="G606" s="1243"/>
      <c r="H606" s="653"/>
      <c r="I606" s="653"/>
      <c r="J606" s="653"/>
      <c r="K606" s="653"/>
      <c r="L606" s="653"/>
      <c r="M606" s="653"/>
      <c r="N606" s="653"/>
      <c r="O606" s="653"/>
      <c r="P606" s="653"/>
      <c r="Q606" s="653"/>
      <c r="R606" s="653"/>
      <c r="S606" s="653"/>
      <c r="T606" s="653"/>
      <c r="U606" s="653"/>
    </row>
    <row r="607" spans="1:21" x14ac:dyDescent="0.25">
      <c r="A607" s="653"/>
      <c r="B607" s="653"/>
      <c r="C607" s="653"/>
      <c r="D607" s="653"/>
      <c r="E607" s="653"/>
      <c r="F607" s="653"/>
      <c r="G607" s="1243"/>
      <c r="H607" s="653"/>
      <c r="I607" s="653"/>
      <c r="J607" s="653"/>
      <c r="K607" s="653"/>
      <c r="L607" s="653"/>
      <c r="M607" s="653"/>
      <c r="N607" s="653"/>
      <c r="O607" s="653"/>
      <c r="P607" s="653"/>
      <c r="Q607" s="653"/>
      <c r="R607" s="653"/>
      <c r="S607" s="653"/>
      <c r="T607" s="653"/>
      <c r="U607" s="653"/>
    </row>
    <row r="608" spans="1:21" x14ac:dyDescent="0.25">
      <c r="A608" s="653"/>
      <c r="B608" s="653"/>
      <c r="C608" s="653"/>
      <c r="D608" s="653"/>
      <c r="E608" s="653"/>
      <c r="F608" s="653"/>
      <c r="G608" s="1243"/>
      <c r="H608" s="653"/>
      <c r="I608" s="653"/>
      <c r="J608" s="653"/>
      <c r="K608" s="653"/>
      <c r="L608" s="653"/>
      <c r="M608" s="653"/>
      <c r="N608" s="653"/>
      <c r="O608" s="653"/>
      <c r="P608" s="653"/>
      <c r="Q608" s="653"/>
      <c r="R608" s="653"/>
      <c r="S608" s="653"/>
      <c r="T608" s="653"/>
      <c r="U608" s="653"/>
    </row>
    <row r="609" spans="1:21" x14ac:dyDescent="0.25">
      <c r="A609" s="653"/>
      <c r="B609" s="653"/>
      <c r="C609" s="653"/>
      <c r="D609" s="653"/>
      <c r="E609" s="653"/>
      <c r="F609" s="653"/>
      <c r="G609" s="1243"/>
      <c r="H609" s="653"/>
      <c r="I609" s="653"/>
      <c r="J609" s="653"/>
      <c r="K609" s="653"/>
      <c r="L609" s="653"/>
      <c r="M609" s="653"/>
      <c r="N609" s="653"/>
      <c r="O609" s="653"/>
      <c r="P609" s="653"/>
      <c r="Q609" s="653"/>
      <c r="R609" s="653"/>
      <c r="S609" s="653"/>
      <c r="T609" s="653"/>
      <c r="U609" s="653"/>
    </row>
    <row r="610" spans="1:21" x14ac:dyDescent="0.25">
      <c r="A610" s="653"/>
      <c r="B610" s="653"/>
      <c r="C610" s="653"/>
      <c r="D610" s="653"/>
      <c r="E610" s="653"/>
      <c r="F610" s="653"/>
      <c r="G610" s="1243"/>
      <c r="H610" s="653"/>
      <c r="I610" s="653"/>
      <c r="J610" s="653"/>
      <c r="K610" s="653"/>
      <c r="L610" s="653"/>
      <c r="M610" s="653"/>
      <c r="N610" s="653"/>
      <c r="O610" s="653"/>
      <c r="P610" s="653"/>
      <c r="Q610" s="653"/>
      <c r="R610" s="653"/>
      <c r="S610" s="653"/>
      <c r="T610" s="653"/>
      <c r="U610" s="653"/>
    </row>
    <row r="611" spans="1:21" x14ac:dyDescent="0.25">
      <c r="A611" s="653"/>
      <c r="B611" s="653"/>
      <c r="C611" s="653"/>
      <c r="D611" s="653"/>
      <c r="E611" s="653"/>
      <c r="F611" s="653"/>
      <c r="G611" s="1243"/>
      <c r="H611" s="653"/>
      <c r="I611" s="653"/>
      <c r="J611" s="653"/>
      <c r="K611" s="653"/>
      <c r="L611" s="653"/>
      <c r="M611" s="653"/>
      <c r="N611" s="653"/>
      <c r="O611" s="653"/>
      <c r="P611" s="653"/>
      <c r="Q611" s="653"/>
      <c r="R611" s="653"/>
      <c r="S611" s="653"/>
      <c r="T611" s="653"/>
      <c r="U611" s="653"/>
    </row>
    <row r="612" spans="1:21" x14ac:dyDescent="0.25">
      <c r="A612" s="653"/>
      <c r="B612" s="653"/>
      <c r="C612" s="653"/>
      <c r="D612" s="653"/>
      <c r="E612" s="653"/>
      <c r="F612" s="653"/>
      <c r="G612" s="1243"/>
      <c r="H612" s="653"/>
      <c r="I612" s="653"/>
      <c r="J612" s="653"/>
      <c r="K612" s="653"/>
      <c r="L612" s="653"/>
      <c r="M612" s="653"/>
      <c r="N612" s="653"/>
      <c r="O612" s="653"/>
      <c r="P612" s="653"/>
      <c r="Q612" s="653"/>
      <c r="R612" s="653"/>
      <c r="S612" s="653"/>
      <c r="T612" s="653"/>
      <c r="U612" s="653"/>
    </row>
    <row r="613" spans="1:21" x14ac:dyDescent="0.25">
      <c r="A613" s="653"/>
      <c r="B613" s="653"/>
      <c r="C613" s="653"/>
      <c r="D613" s="653"/>
      <c r="E613" s="653"/>
      <c r="F613" s="653"/>
      <c r="G613" s="1243"/>
      <c r="H613" s="653"/>
      <c r="I613" s="653"/>
      <c r="J613" s="653"/>
      <c r="K613" s="653"/>
      <c r="L613" s="653"/>
      <c r="M613" s="653"/>
      <c r="N613" s="653"/>
      <c r="O613" s="653"/>
      <c r="P613" s="653"/>
      <c r="Q613" s="653"/>
      <c r="R613" s="653"/>
      <c r="S613" s="653"/>
      <c r="T613" s="653"/>
      <c r="U613" s="653"/>
    </row>
    <row r="614" spans="1:21" x14ac:dyDescent="0.25">
      <c r="A614" s="653"/>
      <c r="B614" s="653"/>
      <c r="C614" s="653"/>
      <c r="D614" s="653"/>
      <c r="E614" s="653"/>
      <c r="F614" s="653"/>
      <c r="G614" s="1243"/>
      <c r="H614" s="653"/>
      <c r="I614" s="653"/>
      <c r="J614" s="653"/>
      <c r="K614" s="653"/>
      <c r="L614" s="653"/>
      <c r="M614" s="653"/>
      <c r="N614" s="653"/>
      <c r="O614" s="653"/>
      <c r="P614" s="653"/>
      <c r="Q614" s="653"/>
      <c r="R614" s="653"/>
      <c r="S614" s="653"/>
      <c r="T614" s="653"/>
      <c r="U614" s="653"/>
    </row>
    <row r="615" spans="1:21" x14ac:dyDescent="0.25">
      <c r="A615" s="653"/>
      <c r="B615" s="653"/>
      <c r="C615" s="653"/>
      <c r="D615" s="653"/>
      <c r="E615" s="653"/>
      <c r="F615" s="653"/>
      <c r="G615" s="1243"/>
      <c r="H615" s="653"/>
      <c r="I615" s="653"/>
      <c r="J615" s="653"/>
      <c r="K615" s="653"/>
      <c r="L615" s="653"/>
      <c r="M615" s="653"/>
      <c r="N615" s="653"/>
      <c r="O615" s="653"/>
      <c r="P615" s="653"/>
      <c r="Q615" s="653"/>
      <c r="R615" s="653"/>
      <c r="S615" s="653"/>
      <c r="T615" s="653"/>
      <c r="U615" s="653"/>
    </row>
    <row r="616" spans="1:21" x14ac:dyDescent="0.25">
      <c r="A616" s="653"/>
      <c r="B616" s="653"/>
      <c r="C616" s="653"/>
      <c r="D616" s="653"/>
      <c r="E616" s="653"/>
      <c r="F616" s="653"/>
      <c r="G616" s="1243"/>
      <c r="H616" s="653"/>
      <c r="I616" s="653"/>
      <c r="J616" s="653"/>
      <c r="K616" s="653"/>
      <c r="L616" s="653"/>
      <c r="M616" s="653"/>
      <c r="N616" s="653"/>
      <c r="O616" s="653"/>
      <c r="P616" s="653"/>
      <c r="Q616" s="653"/>
      <c r="R616" s="653"/>
      <c r="S616" s="653"/>
      <c r="T616" s="653"/>
      <c r="U616" s="653"/>
    </row>
    <row r="617" spans="1:21" x14ac:dyDescent="0.25">
      <c r="A617" s="653"/>
      <c r="B617" s="653"/>
      <c r="C617" s="653"/>
      <c r="D617" s="653"/>
      <c r="E617" s="653"/>
      <c r="F617" s="653"/>
      <c r="G617" s="1243"/>
      <c r="H617" s="653"/>
      <c r="I617" s="653"/>
      <c r="J617" s="653"/>
      <c r="K617" s="653"/>
      <c r="L617" s="653"/>
      <c r="M617" s="653"/>
      <c r="N617" s="653"/>
      <c r="O617" s="653"/>
      <c r="P617" s="653"/>
      <c r="Q617" s="653"/>
      <c r="R617" s="653"/>
      <c r="S617" s="653"/>
      <c r="T617" s="653"/>
      <c r="U617" s="653"/>
    </row>
    <row r="618" spans="1:21" x14ac:dyDescent="0.25">
      <c r="A618" s="653"/>
      <c r="B618" s="653"/>
      <c r="C618" s="653"/>
      <c r="D618" s="653"/>
      <c r="E618" s="653"/>
      <c r="F618" s="653"/>
      <c r="G618" s="1243"/>
      <c r="H618" s="653"/>
      <c r="I618" s="653"/>
      <c r="J618" s="653"/>
      <c r="K618" s="653"/>
      <c r="L618" s="653"/>
      <c r="M618" s="653"/>
      <c r="N618" s="653"/>
      <c r="O618" s="653"/>
      <c r="P618" s="653"/>
      <c r="Q618" s="653"/>
      <c r="R618" s="653"/>
      <c r="S618" s="653"/>
      <c r="T618" s="653"/>
      <c r="U618" s="653"/>
    </row>
    <row r="619" spans="1:21" x14ac:dyDescent="0.25">
      <c r="A619" s="653"/>
      <c r="B619" s="653"/>
      <c r="C619" s="653"/>
      <c r="D619" s="653"/>
      <c r="E619" s="653"/>
      <c r="F619" s="653"/>
      <c r="G619" s="1243"/>
      <c r="H619" s="653"/>
      <c r="I619" s="653"/>
      <c r="J619" s="653"/>
      <c r="K619" s="653"/>
      <c r="L619" s="653"/>
      <c r="M619" s="653"/>
      <c r="N619" s="653"/>
      <c r="O619" s="653"/>
      <c r="P619" s="653"/>
      <c r="Q619" s="653"/>
      <c r="R619" s="653"/>
      <c r="S619" s="653"/>
      <c r="T619" s="653"/>
      <c r="U619" s="653"/>
    </row>
    <row r="620" spans="1:21" x14ac:dyDescent="0.25">
      <c r="A620" s="653"/>
      <c r="B620" s="653"/>
      <c r="C620" s="653"/>
      <c r="D620" s="653"/>
      <c r="E620" s="653"/>
      <c r="F620" s="653"/>
      <c r="G620" s="1243"/>
      <c r="H620" s="653"/>
      <c r="I620" s="653"/>
      <c r="J620" s="653"/>
      <c r="K620" s="653"/>
      <c r="L620" s="653"/>
      <c r="M620" s="653"/>
      <c r="N620" s="653"/>
      <c r="O620" s="653"/>
      <c r="P620" s="653"/>
      <c r="Q620" s="653"/>
      <c r="R620" s="653"/>
      <c r="S620" s="653"/>
      <c r="T620" s="653"/>
      <c r="U620" s="653"/>
    </row>
    <row r="621" spans="1:21" x14ac:dyDescent="0.25">
      <c r="A621" s="653"/>
      <c r="B621" s="653"/>
      <c r="C621" s="653"/>
      <c r="D621" s="653"/>
      <c r="E621" s="653"/>
      <c r="F621" s="653"/>
      <c r="G621" s="1243"/>
      <c r="H621" s="653"/>
      <c r="I621" s="653"/>
      <c r="J621" s="653"/>
      <c r="K621" s="653"/>
      <c r="L621" s="653"/>
      <c r="M621" s="653"/>
      <c r="N621" s="653"/>
      <c r="O621" s="653"/>
      <c r="P621" s="653"/>
      <c r="Q621" s="653"/>
      <c r="R621" s="653"/>
      <c r="S621" s="653"/>
      <c r="T621" s="653"/>
      <c r="U621" s="653"/>
    </row>
    <row r="622" spans="1:21" x14ac:dyDescent="0.25">
      <c r="A622" s="653"/>
      <c r="B622" s="653"/>
      <c r="C622" s="653"/>
      <c r="D622" s="653"/>
      <c r="E622" s="653"/>
      <c r="F622" s="653"/>
      <c r="G622" s="1243"/>
      <c r="H622" s="653"/>
      <c r="I622" s="653"/>
      <c r="J622" s="653"/>
      <c r="K622" s="653"/>
      <c r="L622" s="653"/>
      <c r="M622" s="653"/>
      <c r="N622" s="653"/>
      <c r="O622" s="653"/>
      <c r="P622" s="653"/>
      <c r="Q622" s="653"/>
      <c r="R622" s="653"/>
      <c r="S622" s="653"/>
      <c r="T622" s="653"/>
      <c r="U622" s="653"/>
    </row>
    <row r="623" spans="1:21" x14ac:dyDescent="0.25">
      <c r="A623" s="653"/>
      <c r="B623" s="653"/>
      <c r="C623" s="653"/>
      <c r="D623" s="653"/>
      <c r="E623" s="653"/>
      <c r="F623" s="653"/>
      <c r="G623" s="1243"/>
      <c r="H623" s="653"/>
      <c r="I623" s="653"/>
      <c r="J623" s="653"/>
      <c r="K623" s="653"/>
      <c r="L623" s="653"/>
      <c r="M623" s="653"/>
      <c r="N623" s="653"/>
      <c r="O623" s="653"/>
      <c r="P623" s="653"/>
      <c r="Q623" s="653"/>
      <c r="R623" s="653"/>
      <c r="S623" s="653"/>
      <c r="T623" s="653"/>
      <c r="U623" s="653"/>
    </row>
    <row r="624" spans="1:21" x14ac:dyDescent="0.25">
      <c r="A624" s="653"/>
      <c r="B624" s="653"/>
      <c r="C624" s="653"/>
      <c r="D624" s="653"/>
      <c r="E624" s="653"/>
      <c r="F624" s="653"/>
      <c r="G624" s="1243"/>
      <c r="H624" s="653"/>
      <c r="I624" s="653"/>
      <c r="J624" s="653"/>
      <c r="K624" s="653"/>
      <c r="L624" s="653"/>
      <c r="M624" s="653"/>
      <c r="N624" s="653"/>
      <c r="O624" s="653"/>
      <c r="P624" s="653"/>
      <c r="Q624" s="653"/>
      <c r="R624" s="653"/>
      <c r="S624" s="653"/>
      <c r="T624" s="653"/>
      <c r="U624" s="653"/>
    </row>
    <row r="625" spans="1:21" x14ac:dyDescent="0.25">
      <c r="A625" s="653"/>
      <c r="B625" s="653"/>
      <c r="C625" s="653"/>
      <c r="D625" s="653"/>
      <c r="E625" s="653"/>
      <c r="F625" s="653"/>
      <c r="G625" s="1243"/>
      <c r="H625" s="653"/>
      <c r="I625" s="653"/>
      <c r="J625" s="653"/>
      <c r="K625" s="653"/>
      <c r="L625" s="653"/>
      <c r="M625" s="653"/>
      <c r="N625" s="653"/>
      <c r="O625" s="653"/>
      <c r="P625" s="653"/>
      <c r="Q625" s="653"/>
      <c r="R625" s="653"/>
      <c r="S625" s="653"/>
      <c r="T625" s="653"/>
      <c r="U625" s="653"/>
    </row>
    <row r="626" spans="1:21" x14ac:dyDescent="0.25">
      <c r="A626" s="653"/>
      <c r="B626" s="653"/>
      <c r="C626" s="653"/>
      <c r="D626" s="653"/>
      <c r="E626" s="653"/>
      <c r="F626" s="653"/>
      <c r="G626" s="1243"/>
      <c r="H626" s="653"/>
      <c r="I626" s="653"/>
      <c r="J626" s="653"/>
      <c r="K626" s="653"/>
      <c r="L626" s="653"/>
      <c r="M626" s="653"/>
      <c r="N626" s="653"/>
      <c r="O626" s="653"/>
      <c r="P626" s="653"/>
      <c r="Q626" s="653"/>
      <c r="R626" s="653"/>
      <c r="S626" s="653"/>
      <c r="T626" s="653"/>
      <c r="U626" s="653"/>
    </row>
    <row r="627" spans="1:21" x14ac:dyDescent="0.25">
      <c r="A627" s="653"/>
      <c r="B627" s="653"/>
      <c r="C627" s="653"/>
      <c r="D627" s="653"/>
      <c r="E627" s="653"/>
      <c r="F627" s="653"/>
      <c r="G627" s="1243"/>
      <c r="H627" s="653"/>
      <c r="I627" s="653"/>
      <c r="J627" s="653"/>
      <c r="K627" s="653"/>
      <c r="L627" s="653"/>
      <c r="M627" s="653"/>
      <c r="N627" s="653"/>
      <c r="O627" s="653"/>
      <c r="P627" s="653"/>
      <c r="Q627" s="653"/>
      <c r="R627" s="653"/>
      <c r="S627" s="653"/>
      <c r="T627" s="653"/>
      <c r="U627" s="653"/>
    </row>
    <row r="628" spans="1:21" x14ac:dyDescent="0.25">
      <c r="A628" s="653"/>
      <c r="B628" s="653"/>
      <c r="C628" s="653"/>
      <c r="D628" s="653"/>
      <c r="E628" s="653"/>
      <c r="F628" s="653"/>
      <c r="G628" s="1243"/>
      <c r="H628" s="653"/>
      <c r="I628" s="653"/>
      <c r="J628" s="653"/>
      <c r="K628" s="653"/>
      <c r="L628" s="653"/>
      <c r="M628" s="653"/>
      <c r="N628" s="653"/>
      <c r="O628" s="653"/>
      <c r="P628" s="653"/>
      <c r="Q628" s="653"/>
      <c r="R628" s="653"/>
      <c r="S628" s="653"/>
      <c r="T628" s="653"/>
      <c r="U628" s="653"/>
    </row>
    <row r="629" spans="1:21" x14ac:dyDescent="0.25">
      <c r="A629" s="653"/>
      <c r="B629" s="653"/>
      <c r="C629" s="653"/>
      <c r="D629" s="653"/>
      <c r="E629" s="653"/>
      <c r="F629" s="653"/>
      <c r="G629" s="1243"/>
      <c r="H629" s="653"/>
      <c r="I629" s="653"/>
      <c r="J629" s="653"/>
      <c r="K629" s="653"/>
      <c r="L629" s="653"/>
      <c r="M629" s="653"/>
      <c r="N629" s="653"/>
      <c r="O629" s="653"/>
      <c r="P629" s="653"/>
      <c r="Q629" s="653"/>
      <c r="R629" s="653"/>
      <c r="S629" s="653"/>
      <c r="T629" s="653"/>
      <c r="U629" s="653"/>
    </row>
    <row r="630" spans="1:21" x14ac:dyDescent="0.25">
      <c r="A630" s="653"/>
      <c r="B630" s="653"/>
      <c r="C630" s="653"/>
      <c r="D630" s="653"/>
      <c r="E630" s="653"/>
      <c r="F630" s="653"/>
      <c r="G630" s="1243"/>
      <c r="H630" s="653"/>
      <c r="I630" s="653"/>
      <c r="J630" s="653"/>
      <c r="K630" s="653"/>
      <c r="L630" s="653"/>
      <c r="M630" s="653"/>
      <c r="N630" s="653"/>
      <c r="O630" s="653"/>
      <c r="P630" s="653"/>
      <c r="Q630" s="653"/>
      <c r="R630" s="653"/>
      <c r="S630" s="653"/>
      <c r="T630" s="653"/>
      <c r="U630" s="653"/>
    </row>
    <row r="631" spans="1:21" x14ac:dyDescent="0.25">
      <c r="A631" s="653"/>
      <c r="B631" s="653"/>
      <c r="C631" s="653"/>
      <c r="D631" s="653"/>
      <c r="E631" s="653"/>
      <c r="F631" s="653"/>
      <c r="G631" s="1243"/>
      <c r="H631" s="653"/>
      <c r="I631" s="653"/>
      <c r="J631" s="653"/>
      <c r="K631" s="653"/>
      <c r="L631" s="653"/>
      <c r="M631" s="653"/>
      <c r="N631" s="653"/>
      <c r="O631" s="653"/>
      <c r="P631" s="653"/>
      <c r="Q631" s="653"/>
      <c r="R631" s="653"/>
      <c r="S631" s="653"/>
      <c r="T631" s="653"/>
      <c r="U631" s="653"/>
    </row>
    <row r="632" spans="1:21" x14ac:dyDescent="0.25">
      <c r="A632" s="653"/>
      <c r="B632" s="653"/>
      <c r="C632" s="653"/>
      <c r="D632" s="653"/>
      <c r="E632" s="653"/>
      <c r="F632" s="653"/>
      <c r="G632" s="1243"/>
      <c r="H632" s="653"/>
      <c r="I632" s="653"/>
      <c r="J632" s="653"/>
      <c r="K632" s="653"/>
      <c r="L632" s="653"/>
      <c r="M632" s="653"/>
      <c r="N632" s="653"/>
      <c r="O632" s="653"/>
      <c r="P632" s="653"/>
      <c r="Q632" s="653"/>
      <c r="R632" s="653"/>
      <c r="S632" s="653"/>
      <c r="T632" s="653"/>
      <c r="U632" s="653"/>
    </row>
    <row r="633" spans="1:21" x14ac:dyDescent="0.25">
      <c r="A633" s="653"/>
      <c r="B633" s="653"/>
      <c r="C633" s="653"/>
      <c r="D633" s="653"/>
      <c r="E633" s="653"/>
      <c r="F633" s="653"/>
      <c r="G633" s="1243"/>
      <c r="H633" s="653"/>
      <c r="I633" s="653"/>
      <c r="J633" s="653"/>
      <c r="K633" s="653"/>
      <c r="L633" s="653"/>
      <c r="M633" s="653"/>
      <c r="N633" s="653"/>
      <c r="O633" s="653"/>
      <c r="P633" s="653"/>
      <c r="Q633" s="653"/>
      <c r="R633" s="653"/>
      <c r="S633" s="653"/>
      <c r="T633" s="653"/>
      <c r="U633" s="653"/>
    </row>
    <row r="634" spans="1:21" x14ac:dyDescent="0.25">
      <c r="A634" s="653"/>
      <c r="B634" s="653"/>
      <c r="C634" s="653"/>
      <c r="D634" s="653"/>
      <c r="E634" s="653"/>
      <c r="F634" s="653"/>
      <c r="G634" s="1243"/>
      <c r="H634" s="653"/>
      <c r="I634" s="653"/>
      <c r="J634" s="653"/>
      <c r="K634" s="653"/>
      <c r="L634" s="653"/>
      <c r="M634" s="653"/>
      <c r="N634" s="653"/>
      <c r="O634" s="653"/>
      <c r="P634" s="653"/>
      <c r="Q634" s="653"/>
      <c r="R634" s="653"/>
      <c r="S634" s="653"/>
      <c r="T634" s="653"/>
      <c r="U634" s="653"/>
    </row>
    <row r="635" spans="1:21" x14ac:dyDescent="0.25">
      <c r="A635" s="653"/>
      <c r="B635" s="653"/>
      <c r="C635" s="653"/>
      <c r="D635" s="653"/>
      <c r="E635" s="653"/>
      <c r="F635" s="653"/>
      <c r="G635" s="1243"/>
      <c r="H635" s="653"/>
      <c r="I635" s="653"/>
      <c r="J635" s="653"/>
      <c r="K635" s="653"/>
      <c r="L635" s="653"/>
      <c r="M635" s="653"/>
      <c r="N635" s="653"/>
      <c r="O635" s="653"/>
      <c r="P635" s="653"/>
      <c r="Q635" s="653"/>
      <c r="R635" s="653"/>
      <c r="S635" s="653"/>
      <c r="T635" s="653"/>
      <c r="U635" s="653"/>
    </row>
    <row r="636" spans="1:21" x14ac:dyDescent="0.25">
      <c r="A636" s="653"/>
      <c r="B636" s="653"/>
      <c r="C636" s="653"/>
      <c r="D636" s="653"/>
      <c r="E636" s="653"/>
      <c r="F636" s="653"/>
      <c r="G636" s="1243"/>
      <c r="H636" s="653"/>
      <c r="I636" s="653"/>
      <c r="J636" s="653"/>
      <c r="K636" s="653"/>
      <c r="L636" s="653"/>
      <c r="M636" s="653"/>
      <c r="N636" s="653"/>
      <c r="O636" s="653"/>
      <c r="P636" s="653"/>
      <c r="Q636" s="653"/>
      <c r="R636" s="653"/>
      <c r="S636" s="653"/>
      <c r="T636" s="653"/>
      <c r="U636" s="653"/>
    </row>
    <row r="637" spans="1:21" x14ac:dyDescent="0.25">
      <c r="A637" s="653"/>
      <c r="B637" s="653"/>
      <c r="C637" s="653"/>
      <c r="D637" s="653"/>
      <c r="E637" s="653"/>
      <c r="F637" s="653"/>
      <c r="G637" s="1243"/>
      <c r="H637" s="653"/>
      <c r="I637" s="653"/>
      <c r="J637" s="653"/>
      <c r="K637" s="653"/>
      <c r="L637" s="653"/>
      <c r="M637" s="653"/>
      <c r="N637" s="653"/>
      <c r="O637" s="653"/>
      <c r="P637" s="653"/>
      <c r="Q637" s="653"/>
      <c r="R637" s="653"/>
      <c r="S637" s="653"/>
      <c r="T637" s="653"/>
      <c r="U637" s="653"/>
    </row>
    <row r="638" spans="1:21" x14ac:dyDescent="0.25">
      <c r="A638" s="653"/>
      <c r="B638" s="653"/>
      <c r="C638" s="653"/>
      <c r="D638" s="653"/>
      <c r="E638" s="653"/>
      <c r="F638" s="653"/>
      <c r="G638" s="1243"/>
      <c r="H638" s="653"/>
      <c r="I638" s="653"/>
      <c r="J638" s="653"/>
      <c r="K638" s="653"/>
      <c r="L638" s="653"/>
      <c r="M638" s="653"/>
      <c r="N638" s="653"/>
      <c r="O638" s="653"/>
      <c r="P638" s="653"/>
      <c r="Q638" s="653"/>
      <c r="R638" s="653"/>
      <c r="S638" s="653"/>
      <c r="T638" s="653"/>
      <c r="U638" s="653"/>
    </row>
    <row r="639" spans="1:21" x14ac:dyDescent="0.25">
      <c r="A639" s="653"/>
      <c r="B639" s="653"/>
      <c r="C639" s="653"/>
      <c r="D639" s="653"/>
      <c r="E639" s="653"/>
      <c r="F639" s="653"/>
      <c r="G639" s="1243"/>
      <c r="H639" s="653"/>
      <c r="I639" s="653"/>
      <c r="J639" s="653"/>
      <c r="K639" s="653"/>
      <c r="L639" s="653"/>
      <c r="M639" s="653"/>
      <c r="N639" s="653"/>
      <c r="O639" s="653"/>
      <c r="P639" s="653"/>
      <c r="Q639" s="653"/>
      <c r="R639" s="653"/>
      <c r="S639" s="653"/>
      <c r="T639" s="653"/>
      <c r="U639" s="653"/>
    </row>
    <row r="640" spans="1:21" x14ac:dyDescent="0.25">
      <c r="A640" s="653"/>
      <c r="B640" s="653"/>
      <c r="C640" s="653"/>
      <c r="D640" s="653"/>
      <c r="E640" s="653"/>
      <c r="F640" s="653"/>
      <c r="G640" s="1243"/>
      <c r="H640" s="653"/>
      <c r="I640" s="653"/>
      <c r="J640" s="653"/>
      <c r="K640" s="653"/>
      <c r="L640" s="653"/>
      <c r="M640" s="653"/>
      <c r="N640" s="653"/>
      <c r="O640" s="653"/>
      <c r="P640" s="653"/>
      <c r="Q640" s="653"/>
      <c r="R640" s="653"/>
      <c r="S640" s="653"/>
      <c r="T640" s="653"/>
      <c r="U640" s="653"/>
    </row>
    <row r="641" spans="1:21" x14ac:dyDescent="0.25">
      <c r="A641" s="653"/>
      <c r="B641" s="653"/>
      <c r="C641" s="653"/>
      <c r="D641" s="653"/>
      <c r="E641" s="653"/>
      <c r="F641" s="653"/>
      <c r="G641" s="1243"/>
      <c r="H641" s="653"/>
      <c r="I641" s="653"/>
      <c r="J641" s="653"/>
      <c r="K641" s="653"/>
      <c r="L641" s="653"/>
      <c r="M641" s="653"/>
      <c r="N641" s="653"/>
      <c r="O641" s="653"/>
      <c r="P641" s="653"/>
      <c r="Q641" s="653"/>
      <c r="R641" s="653"/>
      <c r="S641" s="653"/>
      <c r="T641" s="653"/>
      <c r="U641" s="653"/>
    </row>
    <row r="642" spans="1:21" x14ac:dyDescent="0.25">
      <c r="A642" s="653"/>
      <c r="B642" s="653"/>
      <c r="C642" s="653"/>
      <c r="D642" s="653"/>
      <c r="E642" s="653"/>
      <c r="F642" s="653"/>
      <c r="G642" s="1243"/>
      <c r="H642" s="653"/>
      <c r="I642" s="653"/>
      <c r="J642" s="653"/>
      <c r="K642" s="653"/>
      <c r="L642" s="653"/>
      <c r="M642" s="653"/>
      <c r="N642" s="653"/>
      <c r="O642" s="653"/>
      <c r="P642" s="653"/>
      <c r="Q642" s="653"/>
      <c r="R642" s="653"/>
      <c r="S642" s="653"/>
      <c r="T642" s="653"/>
      <c r="U642" s="653"/>
    </row>
    <row r="643" spans="1:21" x14ac:dyDescent="0.25">
      <c r="A643" s="653"/>
      <c r="B643" s="653"/>
      <c r="C643" s="653"/>
      <c r="D643" s="653"/>
      <c r="E643" s="653"/>
      <c r="F643" s="653"/>
      <c r="G643" s="1243"/>
      <c r="H643" s="653"/>
      <c r="I643" s="653"/>
      <c r="J643" s="653"/>
      <c r="K643" s="653"/>
      <c r="L643" s="653"/>
      <c r="M643" s="653"/>
      <c r="N643" s="653"/>
      <c r="O643" s="653"/>
      <c r="P643" s="653"/>
      <c r="Q643" s="653"/>
      <c r="R643" s="653"/>
      <c r="S643" s="653"/>
      <c r="T643" s="653"/>
      <c r="U643" s="653"/>
    </row>
    <row r="644" spans="1:21" x14ac:dyDescent="0.25">
      <c r="A644" s="653"/>
      <c r="B644" s="653"/>
      <c r="C644" s="653"/>
      <c r="D644" s="653"/>
      <c r="E644" s="653"/>
      <c r="F644" s="653"/>
      <c r="G644" s="1243"/>
      <c r="H644" s="653"/>
      <c r="I644" s="653"/>
      <c r="J644" s="653"/>
      <c r="K644" s="653"/>
      <c r="L644" s="653"/>
      <c r="M644" s="653"/>
      <c r="N644" s="653"/>
      <c r="O644" s="653"/>
      <c r="P644" s="653"/>
      <c r="Q644" s="653"/>
      <c r="R644" s="653"/>
      <c r="S644" s="653"/>
      <c r="T644" s="653"/>
      <c r="U644" s="653"/>
    </row>
    <row r="645" spans="1:21" x14ac:dyDescent="0.25">
      <c r="A645" s="653"/>
      <c r="B645" s="653"/>
      <c r="C645" s="653"/>
      <c r="D645" s="653"/>
      <c r="E645" s="653"/>
      <c r="F645" s="653"/>
      <c r="G645" s="1243"/>
      <c r="H645" s="653"/>
      <c r="I645" s="653"/>
      <c r="J645" s="653"/>
      <c r="K645" s="653"/>
      <c r="L645" s="653"/>
      <c r="M645" s="653"/>
      <c r="N645" s="653"/>
      <c r="O645" s="653"/>
      <c r="P645" s="653"/>
      <c r="Q645" s="653"/>
      <c r="R645" s="653"/>
      <c r="S645" s="653"/>
      <c r="T645" s="653"/>
      <c r="U645" s="653"/>
    </row>
    <row r="646" spans="1:21" x14ac:dyDescent="0.25">
      <c r="A646" s="653"/>
      <c r="B646" s="653"/>
      <c r="C646" s="653"/>
      <c r="D646" s="653"/>
      <c r="E646" s="653"/>
      <c r="F646" s="653"/>
      <c r="G646" s="1243"/>
      <c r="H646" s="653"/>
      <c r="I646" s="653"/>
      <c r="J646" s="653"/>
      <c r="K646" s="653"/>
      <c r="L646" s="653"/>
      <c r="M646" s="653"/>
      <c r="N646" s="653"/>
      <c r="O646" s="653"/>
      <c r="P646" s="653"/>
      <c r="Q646" s="653"/>
      <c r="R646" s="653"/>
      <c r="S646" s="653"/>
      <c r="T646" s="653"/>
      <c r="U646" s="653"/>
    </row>
    <row r="647" spans="1:21" x14ac:dyDescent="0.25">
      <c r="A647" s="653"/>
      <c r="B647" s="653"/>
      <c r="C647" s="653"/>
      <c r="D647" s="653"/>
      <c r="E647" s="653"/>
      <c r="F647" s="653"/>
      <c r="G647" s="1243"/>
      <c r="H647" s="653"/>
      <c r="I647" s="653"/>
      <c r="J647" s="653"/>
      <c r="K647" s="653"/>
      <c r="L647" s="653"/>
      <c r="M647" s="653"/>
      <c r="N647" s="653"/>
      <c r="O647" s="653"/>
      <c r="P647" s="653"/>
      <c r="Q647" s="653"/>
      <c r="R647" s="653"/>
      <c r="S647" s="653"/>
      <c r="T647" s="653"/>
      <c r="U647" s="653"/>
    </row>
    <row r="648" spans="1:21" x14ac:dyDescent="0.25">
      <c r="A648" s="653"/>
      <c r="B648" s="653"/>
      <c r="C648" s="653"/>
      <c r="D648" s="653"/>
      <c r="E648" s="653"/>
      <c r="F648" s="653"/>
      <c r="G648" s="1243"/>
      <c r="H648" s="653"/>
      <c r="I648" s="653"/>
      <c r="J648" s="653"/>
      <c r="K648" s="653"/>
      <c r="L648" s="653"/>
      <c r="M648" s="653"/>
      <c r="N648" s="653"/>
      <c r="O648" s="653"/>
      <c r="P648" s="653"/>
      <c r="Q648" s="653"/>
      <c r="R648" s="653"/>
      <c r="S648" s="653"/>
      <c r="T648" s="653"/>
      <c r="U648" s="653"/>
    </row>
    <row r="649" spans="1:21" x14ac:dyDescent="0.25">
      <c r="A649" s="653"/>
      <c r="B649" s="653"/>
      <c r="C649" s="653"/>
      <c r="D649" s="653"/>
      <c r="E649" s="653"/>
      <c r="F649" s="653"/>
      <c r="G649" s="1243"/>
      <c r="H649" s="653"/>
      <c r="I649" s="653"/>
      <c r="J649" s="653"/>
      <c r="K649" s="653"/>
      <c r="L649" s="653"/>
      <c r="M649" s="653"/>
      <c r="N649" s="653"/>
      <c r="O649" s="653"/>
      <c r="P649" s="653"/>
      <c r="Q649" s="653"/>
      <c r="R649" s="653"/>
      <c r="S649" s="653"/>
      <c r="T649" s="653"/>
      <c r="U649" s="653"/>
    </row>
    <row r="650" spans="1:21" x14ac:dyDescent="0.25">
      <c r="A650" s="653"/>
      <c r="B650" s="653"/>
      <c r="C650" s="653"/>
      <c r="D650" s="653"/>
      <c r="E650" s="653"/>
      <c r="F650" s="653"/>
      <c r="G650" s="1243"/>
      <c r="H650" s="653"/>
      <c r="I650" s="653"/>
      <c r="J650" s="653"/>
      <c r="K650" s="653"/>
      <c r="L650" s="653"/>
      <c r="M650" s="653"/>
      <c r="N650" s="653"/>
      <c r="O650" s="653"/>
      <c r="P650" s="653"/>
      <c r="Q650" s="653"/>
      <c r="R650" s="653"/>
      <c r="S650" s="653"/>
      <c r="T650" s="653"/>
      <c r="U650" s="653"/>
    </row>
    <row r="651" spans="1:21" x14ac:dyDescent="0.25">
      <c r="A651" s="653"/>
      <c r="B651" s="653"/>
      <c r="C651" s="653"/>
      <c r="D651" s="653"/>
      <c r="E651" s="653"/>
      <c r="F651" s="653"/>
      <c r="G651" s="1243"/>
      <c r="H651" s="653"/>
      <c r="I651" s="653"/>
      <c r="J651" s="653"/>
      <c r="K651" s="653"/>
      <c r="L651" s="653"/>
      <c r="M651" s="653"/>
      <c r="N651" s="653"/>
      <c r="O651" s="653"/>
      <c r="P651" s="653"/>
      <c r="Q651" s="653"/>
      <c r="R651" s="653"/>
      <c r="S651" s="653"/>
      <c r="T651" s="653"/>
      <c r="U651" s="653"/>
    </row>
    <row r="652" spans="1:21" x14ac:dyDescent="0.25">
      <c r="A652" s="653"/>
      <c r="B652" s="653"/>
      <c r="C652" s="653"/>
      <c r="D652" s="653"/>
      <c r="E652" s="653"/>
      <c r="F652" s="653"/>
      <c r="G652" s="1243"/>
      <c r="H652" s="653"/>
      <c r="I652" s="653"/>
      <c r="J652" s="653"/>
      <c r="K652" s="653"/>
      <c r="L652" s="653"/>
      <c r="M652" s="653"/>
      <c r="N652" s="653"/>
      <c r="O652" s="653"/>
      <c r="P652" s="653"/>
      <c r="Q652" s="653"/>
      <c r="R652" s="653"/>
      <c r="S652" s="653"/>
      <c r="T652" s="653"/>
      <c r="U652" s="653"/>
    </row>
    <row r="653" spans="1:21" x14ac:dyDescent="0.25">
      <c r="A653" s="653"/>
      <c r="B653" s="653"/>
      <c r="C653" s="653"/>
      <c r="D653" s="653"/>
      <c r="E653" s="653"/>
      <c r="F653" s="653"/>
      <c r="G653" s="1243"/>
      <c r="H653" s="653"/>
      <c r="I653" s="653"/>
      <c r="J653" s="653"/>
      <c r="K653" s="653"/>
      <c r="L653" s="653"/>
      <c r="M653" s="653"/>
      <c r="N653" s="653"/>
      <c r="O653" s="653"/>
      <c r="P653" s="653"/>
      <c r="Q653" s="653"/>
      <c r="R653" s="653"/>
      <c r="S653" s="653"/>
      <c r="T653" s="653"/>
      <c r="U653" s="653"/>
    </row>
    <row r="654" spans="1:21" x14ac:dyDescent="0.25">
      <c r="A654" s="653"/>
      <c r="B654" s="653"/>
      <c r="C654" s="653"/>
      <c r="D654" s="653"/>
      <c r="E654" s="653"/>
      <c r="F654" s="653"/>
      <c r="G654" s="1243"/>
      <c r="H654" s="653"/>
      <c r="I654" s="653"/>
      <c r="J654" s="653"/>
      <c r="K654" s="653"/>
      <c r="L654" s="653"/>
      <c r="M654" s="653"/>
      <c r="N654" s="653"/>
      <c r="O654" s="653"/>
      <c r="P654" s="653"/>
      <c r="Q654" s="653"/>
      <c r="R654" s="653"/>
      <c r="S654" s="653"/>
      <c r="T654" s="653"/>
      <c r="U654" s="653"/>
    </row>
    <row r="655" spans="1:21" x14ac:dyDescent="0.25">
      <c r="A655" s="653"/>
      <c r="B655" s="653"/>
      <c r="C655" s="653"/>
      <c r="D655" s="653"/>
      <c r="E655" s="653"/>
      <c r="F655" s="653"/>
      <c r="G655" s="1243"/>
      <c r="H655" s="653"/>
      <c r="I655" s="653"/>
      <c r="J655" s="653"/>
      <c r="K655" s="653"/>
      <c r="L655" s="653"/>
      <c r="M655" s="653"/>
      <c r="N655" s="653"/>
      <c r="O655" s="653"/>
      <c r="P655" s="653"/>
      <c r="Q655" s="653"/>
      <c r="R655" s="653"/>
      <c r="S655" s="653"/>
      <c r="T655" s="653"/>
      <c r="U655" s="653"/>
    </row>
    <row r="656" spans="1:21" x14ac:dyDescent="0.25">
      <c r="A656" s="653"/>
      <c r="B656" s="653"/>
      <c r="C656" s="653"/>
      <c r="D656" s="653"/>
      <c r="E656" s="653"/>
      <c r="F656" s="653"/>
      <c r="G656" s="1243"/>
      <c r="H656" s="653"/>
      <c r="I656" s="653"/>
      <c r="J656" s="653"/>
      <c r="K656" s="653"/>
      <c r="L656" s="653"/>
      <c r="M656" s="653"/>
      <c r="N656" s="653"/>
      <c r="O656" s="653"/>
      <c r="P656" s="653"/>
      <c r="Q656" s="653"/>
      <c r="R656" s="653"/>
      <c r="S656" s="653"/>
      <c r="T656" s="653"/>
      <c r="U656" s="653"/>
    </row>
    <row r="657" spans="1:21" x14ac:dyDescent="0.25">
      <c r="A657" s="653"/>
      <c r="B657" s="653"/>
      <c r="C657" s="653"/>
      <c r="D657" s="653"/>
      <c r="E657" s="653"/>
      <c r="F657" s="653"/>
      <c r="G657" s="1243"/>
      <c r="H657" s="653"/>
      <c r="I657" s="653"/>
      <c r="J657" s="653"/>
      <c r="K657" s="653"/>
      <c r="L657" s="653"/>
      <c r="M657" s="653"/>
      <c r="N657" s="653"/>
      <c r="O657" s="653"/>
      <c r="P657" s="653"/>
      <c r="Q657" s="653"/>
      <c r="R657" s="653"/>
      <c r="S657" s="653"/>
      <c r="T657" s="653"/>
      <c r="U657" s="653"/>
    </row>
    <row r="658" spans="1:21" x14ac:dyDescent="0.25">
      <c r="A658" s="653"/>
      <c r="B658" s="653"/>
      <c r="C658" s="653"/>
      <c r="D658" s="653"/>
      <c r="E658" s="653"/>
      <c r="F658" s="653"/>
      <c r="G658" s="1243"/>
      <c r="H658" s="653"/>
      <c r="I658" s="653"/>
      <c r="J658" s="653"/>
      <c r="K658" s="653"/>
      <c r="L658" s="653"/>
      <c r="M658" s="653"/>
      <c r="N658" s="653"/>
      <c r="O658" s="653"/>
      <c r="P658" s="653"/>
      <c r="Q658" s="653"/>
      <c r="R658" s="653"/>
      <c r="S658" s="653"/>
      <c r="T658" s="653"/>
      <c r="U658" s="653"/>
    </row>
    <row r="659" spans="1:21" x14ac:dyDescent="0.25">
      <c r="A659" s="653"/>
      <c r="B659" s="653"/>
      <c r="C659" s="653"/>
      <c r="D659" s="653"/>
      <c r="E659" s="653"/>
      <c r="F659" s="653"/>
      <c r="G659" s="1243"/>
      <c r="H659" s="653"/>
      <c r="I659" s="653"/>
      <c r="J659" s="653"/>
      <c r="K659" s="653"/>
      <c r="L659" s="653"/>
      <c r="M659" s="653"/>
      <c r="N659" s="653"/>
      <c r="O659" s="653"/>
      <c r="P659" s="653"/>
      <c r="Q659" s="653"/>
      <c r="R659" s="653"/>
      <c r="S659" s="653"/>
      <c r="T659" s="653"/>
      <c r="U659" s="653"/>
    </row>
    <row r="660" spans="1:21" x14ac:dyDescent="0.25">
      <c r="A660" s="653"/>
      <c r="B660" s="653"/>
      <c r="C660" s="653"/>
      <c r="D660" s="653"/>
      <c r="E660" s="653"/>
      <c r="F660" s="653"/>
      <c r="G660" s="1243"/>
      <c r="H660" s="653"/>
      <c r="I660" s="653"/>
      <c r="J660" s="653"/>
      <c r="K660" s="653"/>
      <c r="L660" s="653"/>
      <c r="M660" s="653"/>
      <c r="N660" s="653"/>
      <c r="O660" s="653"/>
      <c r="P660" s="653"/>
      <c r="Q660" s="653"/>
      <c r="R660" s="653"/>
      <c r="S660" s="653"/>
      <c r="T660" s="653"/>
      <c r="U660" s="653"/>
    </row>
    <row r="661" spans="1:21" x14ac:dyDescent="0.25">
      <c r="A661" s="653"/>
      <c r="B661" s="653"/>
      <c r="C661" s="653"/>
      <c r="D661" s="653"/>
      <c r="E661" s="653"/>
      <c r="F661" s="653"/>
      <c r="G661" s="1243"/>
      <c r="H661" s="653"/>
      <c r="I661" s="653"/>
      <c r="J661" s="653"/>
      <c r="K661" s="653"/>
      <c r="L661" s="653"/>
      <c r="M661" s="653"/>
      <c r="N661" s="653"/>
      <c r="O661" s="653"/>
      <c r="P661" s="653"/>
      <c r="Q661" s="653"/>
      <c r="R661" s="653"/>
      <c r="S661" s="653"/>
      <c r="T661" s="653"/>
      <c r="U661" s="653"/>
    </row>
    <row r="662" spans="1:21" x14ac:dyDescent="0.25">
      <c r="A662" s="653"/>
      <c r="B662" s="653"/>
      <c r="C662" s="653"/>
      <c r="D662" s="653"/>
      <c r="E662" s="653"/>
      <c r="F662" s="653"/>
      <c r="G662" s="1243"/>
      <c r="H662" s="653"/>
      <c r="I662" s="653"/>
      <c r="J662" s="653"/>
      <c r="K662" s="653"/>
      <c r="L662" s="653"/>
      <c r="M662" s="653"/>
      <c r="N662" s="653"/>
      <c r="O662" s="653"/>
      <c r="P662" s="653"/>
      <c r="Q662" s="653"/>
      <c r="R662" s="653"/>
      <c r="S662" s="653"/>
      <c r="T662" s="653"/>
      <c r="U662" s="653"/>
    </row>
    <row r="663" spans="1:21" x14ac:dyDescent="0.25">
      <c r="A663" s="653"/>
      <c r="B663" s="653"/>
      <c r="C663" s="653"/>
      <c r="D663" s="653"/>
      <c r="E663" s="653"/>
      <c r="F663" s="653"/>
      <c r="G663" s="1243"/>
      <c r="H663" s="653"/>
      <c r="I663" s="653"/>
      <c r="J663" s="653"/>
      <c r="K663" s="653"/>
      <c r="L663" s="653"/>
      <c r="M663" s="653"/>
      <c r="N663" s="653"/>
      <c r="O663" s="653"/>
      <c r="P663" s="653"/>
      <c r="Q663" s="653"/>
      <c r="R663" s="653"/>
      <c r="S663" s="653"/>
      <c r="T663" s="653"/>
      <c r="U663" s="653"/>
    </row>
    <row r="664" spans="1:21" x14ac:dyDescent="0.25">
      <c r="A664" s="653"/>
      <c r="B664" s="653"/>
      <c r="C664" s="653"/>
      <c r="D664" s="653"/>
      <c r="E664" s="653"/>
      <c r="F664" s="653"/>
      <c r="G664" s="1243"/>
      <c r="H664" s="653"/>
      <c r="I664" s="653"/>
      <c r="J664" s="653"/>
      <c r="K664" s="653"/>
      <c r="L664" s="653"/>
      <c r="M664" s="653"/>
      <c r="N664" s="653"/>
      <c r="O664" s="653"/>
      <c r="P664" s="653"/>
      <c r="Q664" s="653"/>
      <c r="R664" s="653"/>
      <c r="S664" s="653"/>
      <c r="T664" s="653"/>
      <c r="U664" s="653"/>
    </row>
    <row r="665" spans="1:21" x14ac:dyDescent="0.25">
      <c r="A665" s="653"/>
      <c r="B665" s="653"/>
      <c r="C665" s="653"/>
      <c r="D665" s="653"/>
      <c r="E665" s="653"/>
      <c r="F665" s="653"/>
      <c r="G665" s="1243"/>
      <c r="H665" s="653"/>
      <c r="I665" s="653"/>
      <c r="J665" s="653"/>
      <c r="K665" s="653"/>
      <c r="L665" s="653"/>
      <c r="M665" s="653"/>
      <c r="N665" s="653"/>
      <c r="O665" s="653"/>
      <c r="P665" s="653"/>
      <c r="Q665" s="653"/>
      <c r="R665" s="653"/>
      <c r="S665" s="653"/>
      <c r="T665" s="653"/>
      <c r="U665" s="653"/>
    </row>
    <row r="666" spans="1:21" x14ac:dyDescent="0.25">
      <c r="A666" s="653"/>
      <c r="B666" s="653"/>
      <c r="C666" s="653"/>
      <c r="D666" s="653"/>
      <c r="E666" s="653"/>
      <c r="F666" s="653"/>
      <c r="G666" s="1243"/>
      <c r="H666" s="653"/>
      <c r="I666" s="653"/>
      <c r="J666" s="653"/>
      <c r="K666" s="653"/>
      <c r="L666" s="653"/>
      <c r="M666" s="653"/>
      <c r="N666" s="653"/>
      <c r="O666" s="653"/>
      <c r="P666" s="653"/>
      <c r="Q666" s="653"/>
      <c r="R666" s="653"/>
      <c r="S666" s="653"/>
      <c r="T666" s="653"/>
      <c r="U666" s="653"/>
    </row>
    <row r="667" spans="1:21" x14ac:dyDescent="0.25">
      <c r="A667" s="653"/>
      <c r="B667" s="653"/>
      <c r="C667" s="653"/>
      <c r="D667" s="653"/>
      <c r="E667" s="653"/>
      <c r="F667" s="653"/>
      <c r="G667" s="1243"/>
      <c r="H667" s="653"/>
      <c r="I667" s="653"/>
      <c r="J667" s="653"/>
      <c r="K667" s="653"/>
      <c r="L667" s="653"/>
      <c r="M667" s="653"/>
      <c r="N667" s="653"/>
      <c r="O667" s="653"/>
      <c r="P667" s="653"/>
      <c r="Q667" s="653"/>
      <c r="R667" s="653"/>
      <c r="S667" s="653"/>
      <c r="T667" s="653"/>
      <c r="U667" s="653"/>
    </row>
    <row r="668" spans="1:21" x14ac:dyDescent="0.25">
      <c r="A668" s="653"/>
      <c r="B668" s="653"/>
      <c r="C668" s="653"/>
      <c r="D668" s="653"/>
      <c r="E668" s="653"/>
      <c r="F668" s="653"/>
      <c r="G668" s="1243"/>
      <c r="H668" s="653"/>
      <c r="I668" s="653"/>
      <c r="J668" s="653"/>
      <c r="K668" s="653"/>
      <c r="L668" s="653"/>
      <c r="M668" s="653"/>
      <c r="N668" s="653"/>
      <c r="O668" s="653"/>
      <c r="P668" s="653"/>
      <c r="Q668" s="653"/>
      <c r="R668" s="653"/>
      <c r="S668" s="653"/>
      <c r="T668" s="653"/>
      <c r="U668" s="653"/>
    </row>
    <row r="669" spans="1:21" x14ac:dyDescent="0.25">
      <c r="A669" s="653"/>
      <c r="B669" s="653"/>
      <c r="C669" s="653"/>
      <c r="D669" s="653"/>
      <c r="E669" s="653"/>
      <c r="F669" s="653"/>
      <c r="G669" s="1243"/>
      <c r="H669" s="653"/>
      <c r="I669" s="653"/>
      <c r="J669" s="653"/>
      <c r="K669" s="653"/>
      <c r="L669" s="653"/>
      <c r="M669" s="653"/>
      <c r="N669" s="653"/>
      <c r="O669" s="653"/>
      <c r="P669" s="653"/>
      <c r="Q669" s="653"/>
      <c r="R669" s="653"/>
      <c r="S669" s="653"/>
      <c r="T669" s="653"/>
      <c r="U669" s="653"/>
    </row>
    <row r="670" spans="1:21" x14ac:dyDescent="0.25">
      <c r="A670" s="653"/>
      <c r="B670" s="653"/>
      <c r="C670" s="653"/>
      <c r="D670" s="653"/>
      <c r="E670" s="653"/>
      <c r="F670" s="653"/>
      <c r="G670" s="1243"/>
      <c r="H670" s="653"/>
      <c r="I670" s="653"/>
      <c r="J670" s="653"/>
      <c r="K670" s="653"/>
      <c r="L670" s="653"/>
      <c r="M670" s="653"/>
      <c r="N670" s="653"/>
      <c r="O670" s="653"/>
      <c r="P670" s="653"/>
      <c r="Q670" s="653"/>
      <c r="R670" s="653"/>
      <c r="S670" s="653"/>
      <c r="T670" s="653"/>
      <c r="U670" s="653"/>
    </row>
    <row r="671" spans="1:21" x14ac:dyDescent="0.25">
      <c r="A671" s="653"/>
      <c r="B671" s="653"/>
      <c r="C671" s="653"/>
      <c r="D671" s="653"/>
      <c r="E671" s="653"/>
      <c r="F671" s="653"/>
      <c r="G671" s="1243"/>
      <c r="H671" s="653"/>
      <c r="I671" s="653"/>
      <c r="J671" s="653"/>
      <c r="K671" s="653"/>
      <c r="L671" s="653"/>
      <c r="M671" s="653"/>
      <c r="N671" s="653"/>
      <c r="O671" s="653"/>
      <c r="P671" s="653"/>
      <c r="Q671" s="653"/>
      <c r="R671" s="653"/>
      <c r="S671" s="653"/>
      <c r="T671" s="653"/>
      <c r="U671" s="653"/>
    </row>
    <row r="672" spans="1:21" x14ac:dyDescent="0.25">
      <c r="A672" s="653"/>
      <c r="B672" s="653"/>
      <c r="C672" s="653"/>
      <c r="D672" s="653"/>
      <c r="E672" s="653"/>
      <c r="F672" s="653"/>
      <c r="G672" s="1243"/>
      <c r="H672" s="653"/>
      <c r="I672" s="653"/>
      <c r="J672" s="653"/>
      <c r="K672" s="653"/>
      <c r="L672" s="653"/>
      <c r="M672" s="653"/>
      <c r="N672" s="653"/>
      <c r="O672" s="653"/>
      <c r="P672" s="653"/>
      <c r="Q672" s="653"/>
      <c r="R672" s="653"/>
      <c r="S672" s="653"/>
      <c r="T672" s="653"/>
      <c r="U672" s="653"/>
    </row>
    <row r="673" spans="1:21" x14ac:dyDescent="0.25">
      <c r="A673" s="653"/>
      <c r="B673" s="653"/>
      <c r="C673" s="653"/>
      <c r="D673" s="653"/>
      <c r="E673" s="653"/>
      <c r="F673" s="653"/>
      <c r="G673" s="1243"/>
      <c r="H673" s="653"/>
      <c r="I673" s="653"/>
      <c r="J673" s="653"/>
      <c r="K673" s="653"/>
      <c r="L673" s="653"/>
      <c r="M673" s="653"/>
      <c r="N673" s="653"/>
      <c r="O673" s="653"/>
      <c r="P673" s="653"/>
      <c r="Q673" s="653"/>
      <c r="R673" s="653"/>
      <c r="S673" s="653"/>
      <c r="T673" s="653"/>
      <c r="U673" s="653"/>
    </row>
    <row r="674" spans="1:21" x14ac:dyDescent="0.25">
      <c r="A674" s="653"/>
      <c r="B674" s="653"/>
      <c r="C674" s="653"/>
      <c r="D674" s="653"/>
      <c r="E674" s="653"/>
      <c r="F674" s="653"/>
      <c r="G674" s="1243"/>
      <c r="H674" s="653"/>
      <c r="I674" s="653"/>
      <c r="J674" s="653"/>
      <c r="K674" s="653"/>
      <c r="L674" s="653"/>
      <c r="M674" s="653"/>
      <c r="N674" s="653"/>
      <c r="O674" s="653"/>
      <c r="P674" s="653"/>
      <c r="Q674" s="653"/>
      <c r="R674" s="653"/>
      <c r="S674" s="653"/>
      <c r="T674" s="653"/>
      <c r="U674" s="653"/>
    </row>
    <row r="675" spans="1:21" x14ac:dyDescent="0.25">
      <c r="A675" s="653"/>
      <c r="B675" s="653"/>
      <c r="C675" s="653"/>
      <c r="D675" s="653"/>
      <c r="E675" s="653"/>
      <c r="F675" s="653"/>
      <c r="G675" s="1243"/>
      <c r="H675" s="653"/>
      <c r="I675" s="653"/>
      <c r="J675" s="653"/>
      <c r="K675" s="653"/>
      <c r="L675" s="653"/>
      <c r="M675" s="653"/>
      <c r="N675" s="653"/>
      <c r="O675" s="653"/>
      <c r="P675" s="653"/>
      <c r="Q675" s="653"/>
      <c r="R675" s="653"/>
      <c r="S675" s="653"/>
      <c r="T675" s="653"/>
      <c r="U675" s="653"/>
    </row>
    <row r="676" spans="1:21" x14ac:dyDescent="0.25">
      <c r="A676" s="653"/>
      <c r="B676" s="653"/>
      <c r="C676" s="653"/>
      <c r="D676" s="653"/>
      <c r="E676" s="653"/>
      <c r="F676" s="653"/>
      <c r="G676" s="1243"/>
      <c r="H676" s="653"/>
      <c r="I676" s="653"/>
      <c r="J676" s="653"/>
      <c r="K676" s="653"/>
      <c r="L676" s="653"/>
      <c r="M676" s="653"/>
      <c r="N676" s="653"/>
      <c r="O676" s="653"/>
      <c r="P676" s="653"/>
      <c r="Q676" s="653"/>
      <c r="R676" s="653"/>
      <c r="S676" s="653"/>
      <c r="T676" s="653"/>
      <c r="U676" s="653"/>
    </row>
    <row r="677" spans="1:21" x14ac:dyDescent="0.25">
      <c r="A677" s="653"/>
      <c r="B677" s="653"/>
      <c r="C677" s="653"/>
      <c r="D677" s="653"/>
      <c r="E677" s="653"/>
      <c r="F677" s="653"/>
      <c r="G677" s="1243"/>
      <c r="H677" s="653"/>
      <c r="I677" s="653"/>
      <c r="J677" s="653"/>
      <c r="K677" s="653"/>
      <c r="L677" s="653"/>
      <c r="M677" s="653"/>
      <c r="N677" s="653"/>
      <c r="O677" s="653"/>
      <c r="P677" s="653"/>
      <c r="Q677" s="653"/>
      <c r="R677" s="653"/>
      <c r="S677" s="653"/>
      <c r="T677" s="653"/>
      <c r="U677" s="653"/>
    </row>
    <row r="678" spans="1:21" x14ac:dyDescent="0.25">
      <c r="A678" s="653"/>
      <c r="B678" s="653"/>
      <c r="C678" s="653"/>
      <c r="D678" s="653"/>
      <c r="E678" s="653"/>
      <c r="F678" s="653"/>
      <c r="G678" s="1243"/>
      <c r="H678" s="653"/>
      <c r="I678" s="653"/>
      <c r="J678" s="653"/>
      <c r="K678" s="653"/>
      <c r="L678" s="653"/>
      <c r="M678" s="653"/>
      <c r="N678" s="653"/>
      <c r="O678" s="653"/>
      <c r="P678" s="653"/>
      <c r="Q678" s="653"/>
      <c r="R678" s="653"/>
      <c r="S678" s="653"/>
      <c r="T678" s="653"/>
      <c r="U678" s="653"/>
    </row>
    <row r="679" spans="1:21" x14ac:dyDescent="0.25">
      <c r="A679" s="653"/>
      <c r="B679" s="653"/>
      <c r="C679" s="653"/>
      <c r="D679" s="653"/>
      <c r="E679" s="653"/>
      <c r="F679" s="653"/>
      <c r="G679" s="1243"/>
      <c r="H679" s="653"/>
      <c r="I679" s="653"/>
      <c r="J679" s="653"/>
      <c r="K679" s="653"/>
      <c r="L679" s="653"/>
      <c r="M679" s="653"/>
      <c r="N679" s="653"/>
      <c r="O679" s="653"/>
      <c r="P679" s="653"/>
      <c r="Q679" s="653"/>
      <c r="R679" s="653"/>
      <c r="S679" s="653"/>
      <c r="T679" s="653"/>
      <c r="U679" s="653"/>
    </row>
    <row r="680" spans="1:21" x14ac:dyDescent="0.25">
      <c r="A680" s="653"/>
      <c r="B680" s="653"/>
      <c r="C680" s="653"/>
      <c r="D680" s="653"/>
      <c r="E680" s="653"/>
      <c r="F680" s="653"/>
      <c r="G680" s="1243"/>
      <c r="H680" s="653"/>
      <c r="I680" s="653"/>
      <c r="J680" s="653"/>
      <c r="K680" s="653"/>
      <c r="L680" s="653"/>
      <c r="M680" s="653"/>
      <c r="N680" s="653"/>
      <c r="O680" s="653"/>
      <c r="P680" s="653"/>
      <c r="Q680" s="653"/>
      <c r="R680" s="653"/>
      <c r="S680" s="653"/>
      <c r="T680" s="653"/>
      <c r="U680" s="653"/>
    </row>
    <row r="681" spans="1:21" x14ac:dyDescent="0.25">
      <c r="A681" s="653"/>
      <c r="B681" s="653"/>
      <c r="C681" s="653"/>
      <c r="D681" s="653"/>
      <c r="E681" s="653"/>
      <c r="F681" s="653"/>
      <c r="G681" s="1243"/>
      <c r="H681" s="653"/>
      <c r="I681" s="653"/>
      <c r="J681" s="653"/>
      <c r="K681" s="653"/>
      <c r="L681" s="653"/>
      <c r="M681" s="653"/>
      <c r="N681" s="653"/>
      <c r="O681" s="653"/>
      <c r="P681" s="653"/>
      <c r="Q681" s="653"/>
      <c r="R681" s="653"/>
      <c r="S681" s="653"/>
      <c r="T681" s="653"/>
      <c r="U681" s="653"/>
    </row>
    <row r="682" spans="1:21" x14ac:dyDescent="0.25">
      <c r="A682" s="653"/>
      <c r="B682" s="653"/>
      <c r="C682" s="653"/>
      <c r="D682" s="653"/>
      <c r="E682" s="653"/>
      <c r="F682" s="653"/>
      <c r="G682" s="1243"/>
      <c r="H682" s="653"/>
      <c r="I682" s="653"/>
      <c r="J682" s="653"/>
      <c r="K682" s="653"/>
      <c r="L682" s="653"/>
      <c r="M682" s="653"/>
      <c r="N682" s="653"/>
      <c r="O682" s="653"/>
      <c r="P682" s="653"/>
      <c r="Q682" s="653"/>
      <c r="R682" s="653"/>
      <c r="S682" s="653"/>
      <c r="T682" s="653"/>
      <c r="U682" s="653"/>
    </row>
    <row r="683" spans="1:21" x14ac:dyDescent="0.25">
      <c r="A683" s="653"/>
      <c r="B683" s="653"/>
      <c r="C683" s="653"/>
      <c r="D683" s="653"/>
      <c r="E683" s="653"/>
      <c r="F683" s="653"/>
      <c r="G683" s="1243"/>
      <c r="H683" s="653"/>
      <c r="I683" s="653"/>
      <c r="J683" s="653"/>
      <c r="K683" s="653"/>
      <c r="L683" s="653"/>
      <c r="M683" s="653"/>
      <c r="N683" s="653"/>
      <c r="O683" s="653"/>
      <c r="P683" s="653"/>
      <c r="Q683" s="653"/>
      <c r="R683" s="653"/>
      <c r="S683" s="653"/>
      <c r="T683" s="653"/>
      <c r="U683" s="653"/>
    </row>
    <row r="684" spans="1:21" x14ac:dyDescent="0.25">
      <c r="A684" s="653"/>
      <c r="B684" s="653"/>
      <c r="C684" s="653"/>
      <c r="D684" s="653"/>
      <c r="E684" s="653"/>
      <c r="F684" s="653"/>
      <c r="G684" s="1243"/>
      <c r="H684" s="653"/>
      <c r="I684" s="653"/>
      <c r="J684" s="653"/>
      <c r="K684" s="653"/>
      <c r="L684" s="653"/>
      <c r="M684" s="653"/>
      <c r="N684" s="653"/>
      <c r="O684" s="653"/>
      <c r="P684" s="653"/>
      <c r="Q684" s="653"/>
      <c r="R684" s="653"/>
      <c r="S684" s="653"/>
      <c r="T684" s="653"/>
      <c r="U684" s="653"/>
    </row>
    <row r="685" spans="1:21" x14ac:dyDescent="0.25">
      <c r="A685" s="653"/>
      <c r="B685" s="653"/>
      <c r="C685" s="653"/>
      <c r="D685" s="653"/>
      <c r="E685" s="653"/>
      <c r="F685" s="653"/>
      <c r="G685" s="1243"/>
      <c r="H685" s="653"/>
      <c r="I685" s="653"/>
      <c r="J685" s="653"/>
      <c r="K685" s="653"/>
      <c r="L685" s="653"/>
      <c r="M685" s="653"/>
      <c r="N685" s="653"/>
      <c r="O685" s="653"/>
      <c r="P685" s="653"/>
      <c r="Q685" s="653"/>
      <c r="R685" s="653"/>
      <c r="S685" s="653"/>
      <c r="T685" s="653"/>
      <c r="U685" s="653"/>
    </row>
    <row r="686" spans="1:21" x14ac:dyDescent="0.25">
      <c r="A686" s="653"/>
      <c r="B686" s="653"/>
      <c r="C686" s="653"/>
      <c r="D686" s="653"/>
      <c r="E686" s="653"/>
      <c r="F686" s="653"/>
      <c r="G686" s="1243"/>
      <c r="H686" s="653"/>
      <c r="I686" s="653"/>
      <c r="J686" s="653"/>
      <c r="K686" s="653"/>
      <c r="L686" s="653"/>
      <c r="M686" s="653"/>
      <c r="N686" s="653"/>
      <c r="O686" s="653"/>
      <c r="P686" s="653"/>
      <c r="Q686" s="653"/>
      <c r="R686" s="653"/>
      <c r="S686" s="653"/>
      <c r="T686" s="653"/>
      <c r="U686" s="653"/>
    </row>
    <row r="687" spans="1:21" x14ac:dyDescent="0.25">
      <c r="A687" s="653"/>
      <c r="B687" s="653"/>
      <c r="C687" s="653"/>
      <c r="D687" s="653"/>
      <c r="E687" s="653"/>
      <c r="F687" s="653"/>
      <c r="G687" s="1243"/>
      <c r="H687" s="653"/>
      <c r="I687" s="653"/>
      <c r="J687" s="653"/>
      <c r="K687" s="653"/>
      <c r="L687" s="653"/>
      <c r="M687" s="653"/>
      <c r="N687" s="653"/>
      <c r="O687" s="653"/>
      <c r="P687" s="653"/>
      <c r="Q687" s="653"/>
      <c r="R687" s="653"/>
      <c r="S687" s="653"/>
      <c r="T687" s="653"/>
      <c r="U687" s="653"/>
    </row>
    <row r="688" spans="1:21" x14ac:dyDescent="0.25">
      <c r="A688" s="653"/>
      <c r="B688" s="653"/>
      <c r="C688" s="653"/>
      <c r="D688" s="653"/>
      <c r="E688" s="653"/>
      <c r="F688" s="653"/>
      <c r="G688" s="1243"/>
      <c r="H688" s="653"/>
      <c r="I688" s="653"/>
      <c r="J688" s="653"/>
      <c r="K688" s="653"/>
      <c r="L688" s="653"/>
      <c r="M688" s="653"/>
      <c r="N688" s="653"/>
      <c r="O688" s="653"/>
      <c r="P688" s="653"/>
      <c r="Q688" s="653"/>
      <c r="R688" s="653"/>
      <c r="S688" s="653"/>
      <c r="T688" s="653"/>
      <c r="U688" s="653"/>
    </row>
    <row r="689" spans="1:21" x14ac:dyDescent="0.25">
      <c r="A689" s="653"/>
      <c r="B689" s="653"/>
      <c r="C689" s="653"/>
      <c r="D689" s="653"/>
      <c r="E689" s="653"/>
      <c r="F689" s="653"/>
      <c r="G689" s="1243"/>
      <c r="H689" s="653"/>
      <c r="I689" s="653"/>
      <c r="J689" s="653"/>
      <c r="K689" s="653"/>
      <c r="L689" s="653"/>
      <c r="M689" s="653"/>
      <c r="N689" s="653"/>
      <c r="O689" s="653"/>
      <c r="P689" s="653"/>
      <c r="Q689" s="653"/>
      <c r="R689" s="653"/>
      <c r="S689" s="653"/>
      <c r="T689" s="653"/>
      <c r="U689" s="653"/>
    </row>
    <row r="690" spans="1:21" x14ac:dyDescent="0.25">
      <c r="A690" s="653"/>
      <c r="B690" s="653"/>
      <c r="C690" s="653"/>
      <c r="D690" s="653"/>
      <c r="E690" s="653"/>
      <c r="F690" s="653"/>
      <c r="G690" s="1243"/>
      <c r="H690" s="653"/>
      <c r="I690" s="653"/>
      <c r="J690" s="653"/>
      <c r="K690" s="653"/>
      <c r="L690" s="653"/>
      <c r="M690" s="653"/>
      <c r="N690" s="653"/>
      <c r="O690" s="653"/>
      <c r="P690" s="653"/>
      <c r="Q690" s="653"/>
      <c r="R690" s="653"/>
      <c r="S690" s="653"/>
      <c r="T690" s="653"/>
      <c r="U690" s="653"/>
    </row>
    <row r="691" spans="1:21" x14ac:dyDescent="0.25">
      <c r="A691" s="653"/>
      <c r="B691" s="653"/>
      <c r="C691" s="653"/>
      <c r="D691" s="653"/>
      <c r="E691" s="653"/>
      <c r="F691" s="653"/>
      <c r="G691" s="1243"/>
      <c r="H691" s="653"/>
      <c r="I691" s="653"/>
      <c r="J691" s="653"/>
      <c r="K691" s="653"/>
      <c r="L691" s="653"/>
      <c r="M691" s="653"/>
      <c r="N691" s="653"/>
      <c r="O691" s="653"/>
      <c r="P691" s="653"/>
      <c r="Q691" s="653"/>
      <c r="R691" s="653"/>
      <c r="S691" s="653"/>
      <c r="T691" s="653"/>
      <c r="U691" s="653"/>
    </row>
    <row r="692" spans="1:21" x14ac:dyDescent="0.25">
      <c r="A692" s="653"/>
      <c r="B692" s="653"/>
      <c r="C692" s="653"/>
      <c r="D692" s="653"/>
      <c r="E692" s="653"/>
      <c r="F692" s="653"/>
      <c r="G692" s="1243"/>
      <c r="H692" s="653"/>
      <c r="I692" s="653"/>
      <c r="J692" s="653"/>
      <c r="K692" s="653"/>
      <c r="L692" s="653"/>
      <c r="M692" s="653"/>
      <c r="N692" s="653"/>
      <c r="O692" s="653"/>
      <c r="P692" s="653"/>
      <c r="Q692" s="653"/>
      <c r="R692" s="653"/>
      <c r="S692" s="653"/>
      <c r="T692" s="653"/>
      <c r="U692" s="653"/>
    </row>
    <row r="693" spans="1:21" x14ac:dyDescent="0.25">
      <c r="A693" s="653"/>
      <c r="B693" s="653"/>
      <c r="C693" s="653"/>
      <c r="D693" s="653"/>
      <c r="E693" s="653"/>
      <c r="F693" s="653"/>
      <c r="G693" s="1243"/>
      <c r="H693" s="653"/>
      <c r="I693" s="653"/>
      <c r="J693" s="653"/>
      <c r="K693" s="653"/>
      <c r="L693" s="653"/>
      <c r="M693" s="653"/>
      <c r="N693" s="653"/>
      <c r="O693" s="653"/>
      <c r="P693" s="653"/>
      <c r="Q693" s="653"/>
      <c r="R693" s="653"/>
      <c r="S693" s="653"/>
      <c r="T693" s="653"/>
      <c r="U693" s="653"/>
    </row>
    <row r="694" spans="1:21" x14ac:dyDescent="0.25">
      <c r="A694" s="653"/>
      <c r="B694" s="653"/>
      <c r="C694" s="653"/>
      <c r="D694" s="653"/>
      <c r="E694" s="653"/>
      <c r="F694" s="653"/>
      <c r="G694" s="1243"/>
      <c r="H694" s="653"/>
      <c r="I694" s="653"/>
      <c r="J694" s="653"/>
      <c r="K694" s="653"/>
      <c r="L694" s="653"/>
      <c r="M694" s="653"/>
      <c r="N694" s="653"/>
      <c r="O694" s="653"/>
      <c r="P694" s="653"/>
      <c r="Q694" s="653"/>
      <c r="R694" s="653"/>
      <c r="S694" s="653"/>
      <c r="T694" s="653"/>
      <c r="U694" s="653"/>
    </row>
    <row r="695" spans="1:21" x14ac:dyDescent="0.25">
      <c r="A695" s="653"/>
      <c r="B695" s="653"/>
      <c r="C695" s="653"/>
      <c r="D695" s="653"/>
      <c r="E695" s="653"/>
      <c r="F695" s="653"/>
      <c r="G695" s="1243"/>
      <c r="H695" s="653"/>
      <c r="I695" s="653"/>
      <c r="J695" s="653"/>
      <c r="K695" s="653"/>
      <c r="L695" s="653"/>
      <c r="M695" s="653"/>
      <c r="N695" s="653"/>
      <c r="O695" s="653"/>
      <c r="P695" s="653"/>
      <c r="Q695" s="653"/>
      <c r="R695" s="653"/>
      <c r="S695" s="653"/>
      <c r="T695" s="653"/>
      <c r="U695" s="653"/>
    </row>
    <row r="696" spans="1:21" x14ac:dyDescent="0.25">
      <c r="A696" s="653"/>
      <c r="B696" s="653"/>
      <c r="C696" s="653"/>
      <c r="D696" s="653"/>
      <c r="E696" s="653"/>
      <c r="F696" s="653"/>
      <c r="G696" s="1243"/>
      <c r="H696" s="653"/>
      <c r="I696" s="653"/>
      <c r="J696" s="653"/>
      <c r="K696" s="653"/>
      <c r="L696" s="653"/>
      <c r="M696" s="653"/>
      <c r="N696" s="653"/>
      <c r="O696" s="653"/>
      <c r="P696" s="653"/>
      <c r="Q696" s="653"/>
      <c r="R696" s="653"/>
      <c r="S696" s="653"/>
      <c r="T696" s="653"/>
      <c r="U696" s="653"/>
    </row>
    <row r="697" spans="1:21" x14ac:dyDescent="0.25">
      <c r="A697" s="653"/>
      <c r="B697" s="653"/>
      <c r="C697" s="653"/>
      <c r="D697" s="653"/>
      <c r="E697" s="653"/>
      <c r="F697" s="653"/>
      <c r="G697" s="1243"/>
      <c r="H697" s="653"/>
      <c r="I697" s="653"/>
      <c r="J697" s="653"/>
      <c r="K697" s="653"/>
      <c r="L697" s="653"/>
      <c r="M697" s="653"/>
      <c r="N697" s="653"/>
      <c r="O697" s="653"/>
      <c r="P697" s="653"/>
      <c r="Q697" s="653"/>
      <c r="R697" s="653"/>
      <c r="S697" s="653"/>
      <c r="T697" s="653"/>
      <c r="U697" s="653"/>
    </row>
    <row r="698" spans="1:21" x14ac:dyDescent="0.25">
      <c r="A698" s="653"/>
      <c r="B698" s="653"/>
      <c r="C698" s="653"/>
      <c r="D698" s="653"/>
      <c r="E698" s="653"/>
      <c r="F698" s="653"/>
      <c r="G698" s="1243"/>
      <c r="H698" s="653"/>
      <c r="I698" s="653"/>
      <c r="J698" s="653"/>
      <c r="K698" s="653"/>
      <c r="L698" s="653"/>
      <c r="M698" s="653"/>
      <c r="N698" s="653"/>
      <c r="O698" s="653"/>
      <c r="P698" s="653"/>
      <c r="Q698" s="653"/>
      <c r="R698" s="653"/>
      <c r="S698" s="653"/>
      <c r="T698" s="653"/>
      <c r="U698" s="653"/>
    </row>
    <row r="699" spans="1:21" x14ac:dyDescent="0.25">
      <c r="A699" s="653"/>
      <c r="B699" s="653"/>
      <c r="C699" s="653"/>
      <c r="D699" s="653"/>
      <c r="E699" s="653"/>
      <c r="F699" s="653"/>
      <c r="G699" s="1243"/>
      <c r="H699" s="653"/>
      <c r="I699" s="653"/>
      <c r="J699" s="653"/>
      <c r="K699" s="653"/>
      <c r="L699" s="653"/>
      <c r="M699" s="653"/>
      <c r="N699" s="653"/>
      <c r="O699" s="653"/>
      <c r="P699" s="653"/>
      <c r="Q699" s="653"/>
      <c r="R699" s="653"/>
      <c r="S699" s="653"/>
      <c r="T699" s="653"/>
      <c r="U699" s="653"/>
    </row>
    <row r="700" spans="1:21" x14ac:dyDescent="0.25">
      <c r="A700" s="653"/>
      <c r="B700" s="653"/>
      <c r="C700" s="653"/>
      <c r="D700" s="653"/>
      <c r="E700" s="653"/>
      <c r="F700" s="653"/>
      <c r="G700" s="1243"/>
      <c r="H700" s="653"/>
      <c r="I700" s="653"/>
      <c r="J700" s="653"/>
      <c r="K700" s="653"/>
      <c r="L700" s="653"/>
      <c r="M700" s="653"/>
      <c r="N700" s="653"/>
      <c r="O700" s="653"/>
      <c r="P700" s="653"/>
      <c r="Q700" s="653"/>
      <c r="R700" s="653"/>
      <c r="S700" s="653"/>
      <c r="T700" s="653"/>
      <c r="U700" s="653"/>
    </row>
    <row r="701" spans="1:21" x14ac:dyDescent="0.25">
      <c r="A701" s="653"/>
      <c r="B701" s="653"/>
      <c r="C701" s="653"/>
      <c r="D701" s="653"/>
      <c r="E701" s="653"/>
      <c r="F701" s="653"/>
      <c r="G701" s="1243"/>
      <c r="H701" s="653"/>
      <c r="I701" s="653"/>
      <c r="J701" s="653"/>
      <c r="K701" s="653"/>
      <c r="L701" s="653"/>
      <c r="M701" s="653"/>
      <c r="N701" s="653"/>
      <c r="O701" s="653"/>
      <c r="P701" s="653"/>
      <c r="Q701" s="653"/>
      <c r="R701" s="653"/>
      <c r="S701" s="653"/>
      <c r="T701" s="653"/>
      <c r="U701" s="653"/>
    </row>
    <row r="702" spans="1:21" x14ac:dyDescent="0.25">
      <c r="A702" s="653"/>
      <c r="B702" s="653"/>
      <c r="C702" s="653"/>
      <c r="D702" s="653"/>
      <c r="E702" s="653"/>
      <c r="F702" s="653"/>
      <c r="G702" s="1243"/>
      <c r="H702" s="653"/>
      <c r="I702" s="653"/>
      <c r="J702" s="653"/>
      <c r="K702" s="653"/>
      <c r="L702" s="653"/>
      <c r="M702" s="653"/>
      <c r="N702" s="653"/>
      <c r="O702" s="653"/>
      <c r="P702" s="653"/>
      <c r="Q702" s="653"/>
      <c r="R702" s="653"/>
      <c r="S702" s="653"/>
      <c r="T702" s="653"/>
      <c r="U702" s="653"/>
    </row>
    <row r="703" spans="1:21" x14ac:dyDescent="0.25">
      <c r="A703" s="653"/>
      <c r="B703" s="653"/>
      <c r="C703" s="653"/>
      <c r="D703" s="653"/>
      <c r="E703" s="653"/>
      <c r="F703" s="653"/>
      <c r="G703" s="1243"/>
      <c r="H703" s="653"/>
      <c r="I703" s="653"/>
      <c r="J703" s="653"/>
      <c r="K703" s="653"/>
      <c r="L703" s="653"/>
      <c r="M703" s="653"/>
      <c r="N703" s="653"/>
      <c r="O703" s="653"/>
      <c r="P703" s="653"/>
      <c r="Q703" s="653"/>
      <c r="R703" s="653"/>
      <c r="S703" s="653"/>
      <c r="T703" s="653"/>
      <c r="U703" s="653"/>
    </row>
    <row r="704" spans="1:21" x14ac:dyDescent="0.25">
      <c r="A704" s="653"/>
      <c r="B704" s="653"/>
      <c r="C704" s="653"/>
      <c r="D704" s="653"/>
      <c r="E704" s="653"/>
      <c r="F704" s="653"/>
      <c r="G704" s="1243"/>
      <c r="H704" s="653"/>
      <c r="I704" s="653"/>
      <c r="J704" s="653"/>
      <c r="K704" s="653"/>
      <c r="L704" s="653"/>
      <c r="M704" s="653"/>
      <c r="N704" s="653"/>
      <c r="O704" s="653"/>
      <c r="P704" s="653"/>
      <c r="Q704" s="653"/>
      <c r="R704" s="653"/>
      <c r="S704" s="653"/>
      <c r="T704" s="653"/>
      <c r="U704" s="653"/>
    </row>
    <row r="705" spans="1:21" x14ac:dyDescent="0.25">
      <c r="A705" s="653"/>
      <c r="B705" s="653"/>
      <c r="C705" s="653"/>
      <c r="D705" s="653"/>
      <c r="E705" s="653"/>
      <c r="F705" s="653"/>
      <c r="G705" s="1243"/>
      <c r="H705" s="653"/>
      <c r="I705" s="653"/>
      <c r="J705" s="653"/>
      <c r="K705" s="653"/>
      <c r="L705" s="653"/>
      <c r="M705" s="653"/>
      <c r="N705" s="653"/>
      <c r="O705" s="653"/>
      <c r="P705" s="653"/>
      <c r="Q705" s="653"/>
      <c r="R705" s="653"/>
      <c r="S705" s="653"/>
      <c r="T705" s="653"/>
      <c r="U705" s="653"/>
    </row>
    <row r="706" spans="1:21" x14ac:dyDescent="0.25">
      <c r="A706" s="653"/>
      <c r="B706" s="653"/>
      <c r="C706" s="653"/>
      <c r="D706" s="653"/>
      <c r="E706" s="653"/>
      <c r="F706" s="653"/>
      <c r="G706" s="1243"/>
      <c r="H706" s="653"/>
      <c r="I706" s="653"/>
      <c r="J706" s="653"/>
      <c r="K706" s="653"/>
      <c r="L706" s="653"/>
      <c r="M706" s="653"/>
      <c r="N706" s="653"/>
      <c r="O706" s="653"/>
      <c r="P706" s="653"/>
      <c r="Q706" s="653"/>
      <c r="R706" s="653"/>
      <c r="S706" s="653"/>
      <c r="T706" s="653"/>
      <c r="U706" s="653"/>
    </row>
    <row r="707" spans="1:21" x14ac:dyDescent="0.25">
      <c r="A707" s="653"/>
      <c r="B707" s="653"/>
      <c r="C707" s="653"/>
      <c r="D707" s="653"/>
      <c r="E707" s="653"/>
      <c r="F707" s="653"/>
      <c r="G707" s="1243"/>
      <c r="H707" s="653"/>
      <c r="I707" s="653"/>
      <c r="J707" s="653"/>
      <c r="K707" s="653"/>
      <c r="L707" s="653"/>
      <c r="M707" s="653"/>
      <c r="N707" s="653"/>
      <c r="O707" s="653"/>
      <c r="P707" s="653"/>
      <c r="Q707" s="653"/>
      <c r="R707" s="653"/>
      <c r="S707" s="653"/>
      <c r="T707" s="653"/>
      <c r="U707" s="653"/>
    </row>
    <row r="708" spans="1:21" x14ac:dyDescent="0.25">
      <c r="A708" s="653"/>
      <c r="B708" s="653"/>
      <c r="C708" s="653"/>
      <c r="D708" s="653"/>
      <c r="E708" s="653"/>
      <c r="F708" s="653"/>
      <c r="G708" s="1243"/>
      <c r="H708" s="653"/>
      <c r="I708" s="653"/>
      <c r="J708" s="653"/>
      <c r="K708" s="653"/>
      <c r="L708" s="653"/>
      <c r="M708" s="653"/>
      <c r="N708" s="653"/>
      <c r="O708" s="653"/>
      <c r="P708" s="653"/>
      <c r="Q708" s="653"/>
      <c r="R708" s="653"/>
      <c r="S708" s="653"/>
      <c r="T708" s="653"/>
      <c r="U708" s="653"/>
    </row>
    <row r="709" spans="1:21" x14ac:dyDescent="0.25">
      <c r="A709" s="653"/>
      <c r="B709" s="653"/>
      <c r="C709" s="653"/>
      <c r="D709" s="653"/>
      <c r="E709" s="653"/>
      <c r="F709" s="653"/>
      <c r="G709" s="1243"/>
      <c r="H709" s="653"/>
      <c r="I709" s="653"/>
      <c r="J709" s="653"/>
      <c r="K709" s="653"/>
      <c r="L709" s="653"/>
      <c r="M709" s="653"/>
      <c r="N709" s="653"/>
      <c r="O709" s="653"/>
      <c r="P709" s="653"/>
      <c r="Q709" s="653"/>
      <c r="R709" s="653"/>
      <c r="S709" s="653"/>
      <c r="T709" s="653"/>
      <c r="U709" s="653"/>
    </row>
    <row r="710" spans="1:21" x14ac:dyDescent="0.25">
      <c r="A710" s="653"/>
      <c r="B710" s="653"/>
      <c r="C710" s="653"/>
      <c r="D710" s="653"/>
      <c r="E710" s="653"/>
      <c r="F710" s="653"/>
      <c r="G710" s="1243"/>
      <c r="H710" s="653"/>
      <c r="I710" s="653"/>
      <c r="J710" s="653"/>
      <c r="K710" s="653"/>
      <c r="L710" s="653"/>
      <c r="M710" s="653"/>
      <c r="N710" s="653"/>
      <c r="O710" s="653"/>
      <c r="P710" s="653"/>
      <c r="Q710" s="653"/>
      <c r="R710" s="653"/>
      <c r="S710" s="653"/>
      <c r="T710" s="653"/>
      <c r="U710" s="653"/>
    </row>
    <row r="711" spans="1:21" x14ac:dyDescent="0.25">
      <c r="A711" s="653"/>
      <c r="B711" s="653"/>
      <c r="C711" s="653"/>
      <c r="D711" s="653"/>
      <c r="E711" s="653"/>
      <c r="F711" s="653"/>
      <c r="G711" s="1243"/>
      <c r="H711" s="653"/>
      <c r="I711" s="653"/>
      <c r="J711" s="653"/>
      <c r="K711" s="653"/>
      <c r="L711" s="653"/>
      <c r="M711" s="653"/>
      <c r="N711" s="653"/>
      <c r="O711" s="653"/>
      <c r="P711" s="653"/>
      <c r="Q711" s="653"/>
      <c r="R711" s="653"/>
      <c r="S711" s="653"/>
      <c r="T711" s="653"/>
      <c r="U711" s="653"/>
    </row>
    <row r="712" spans="1:21" x14ac:dyDescent="0.25">
      <c r="A712" s="653"/>
      <c r="B712" s="653"/>
      <c r="C712" s="653"/>
      <c r="D712" s="653"/>
      <c r="E712" s="653"/>
      <c r="F712" s="653"/>
      <c r="G712" s="1243"/>
      <c r="H712" s="653"/>
      <c r="I712" s="653"/>
      <c r="J712" s="653"/>
      <c r="K712" s="653"/>
      <c r="L712" s="653"/>
      <c r="M712" s="653"/>
      <c r="N712" s="653"/>
      <c r="O712" s="653"/>
      <c r="P712" s="653"/>
      <c r="Q712" s="653"/>
      <c r="R712" s="653"/>
      <c r="S712" s="653"/>
      <c r="T712" s="653"/>
      <c r="U712" s="653"/>
    </row>
    <row r="713" spans="1:21" x14ac:dyDescent="0.25">
      <c r="A713" s="653"/>
      <c r="B713" s="653"/>
      <c r="C713" s="653"/>
      <c r="D713" s="653"/>
      <c r="E713" s="653"/>
      <c r="F713" s="653"/>
      <c r="G713" s="1243"/>
      <c r="H713" s="653"/>
      <c r="I713" s="653"/>
      <c r="J713" s="653"/>
      <c r="K713" s="653"/>
      <c r="L713" s="653"/>
      <c r="M713" s="653"/>
      <c r="N713" s="653"/>
      <c r="O713" s="653"/>
      <c r="P713" s="653"/>
      <c r="Q713" s="653"/>
      <c r="R713" s="653"/>
      <c r="S713" s="653"/>
      <c r="T713" s="653"/>
      <c r="U713" s="653"/>
    </row>
    <row r="714" spans="1:21" x14ac:dyDescent="0.25">
      <c r="A714" s="653"/>
      <c r="B714" s="653"/>
      <c r="C714" s="653"/>
      <c r="D714" s="653"/>
      <c r="E714" s="653"/>
      <c r="F714" s="653"/>
      <c r="G714" s="1243"/>
      <c r="H714" s="653"/>
      <c r="I714" s="653"/>
      <c r="J714" s="653"/>
      <c r="K714" s="653"/>
      <c r="L714" s="653"/>
      <c r="M714" s="653"/>
      <c r="N714" s="653"/>
      <c r="O714" s="653"/>
      <c r="P714" s="653"/>
      <c r="Q714" s="653"/>
      <c r="R714" s="653"/>
      <c r="S714" s="653"/>
      <c r="T714" s="653"/>
      <c r="U714" s="653"/>
    </row>
    <row r="715" spans="1:21" x14ac:dyDescent="0.25">
      <c r="A715" s="653"/>
      <c r="B715" s="653"/>
      <c r="C715" s="653"/>
      <c r="D715" s="653"/>
      <c r="E715" s="653"/>
      <c r="F715" s="653"/>
      <c r="G715" s="1243"/>
      <c r="H715" s="653"/>
      <c r="I715" s="653"/>
      <c r="J715" s="653"/>
      <c r="K715" s="653"/>
      <c r="L715" s="653"/>
      <c r="M715" s="653"/>
      <c r="N715" s="653"/>
      <c r="O715" s="653"/>
      <c r="P715" s="653"/>
      <c r="Q715" s="653"/>
      <c r="R715" s="653"/>
      <c r="S715" s="653"/>
      <c r="T715" s="653"/>
      <c r="U715" s="653"/>
    </row>
    <row r="716" spans="1:21" x14ac:dyDescent="0.25">
      <c r="A716" s="653"/>
      <c r="B716" s="653"/>
      <c r="C716" s="653"/>
      <c r="D716" s="653"/>
      <c r="E716" s="653"/>
      <c r="F716" s="653"/>
      <c r="G716" s="1243"/>
      <c r="H716" s="653"/>
      <c r="I716" s="653"/>
      <c r="J716" s="653"/>
      <c r="K716" s="653"/>
      <c r="L716" s="653"/>
      <c r="M716" s="653"/>
      <c r="N716" s="653"/>
      <c r="O716" s="653"/>
      <c r="P716" s="653"/>
      <c r="Q716" s="653"/>
      <c r="R716" s="653"/>
      <c r="S716" s="653"/>
      <c r="T716" s="653"/>
      <c r="U716" s="653"/>
    </row>
    <row r="717" spans="1:21" x14ac:dyDescent="0.25">
      <c r="A717" s="653"/>
      <c r="B717" s="653"/>
      <c r="C717" s="653"/>
      <c r="D717" s="653"/>
      <c r="E717" s="653"/>
      <c r="F717" s="653"/>
      <c r="G717" s="1243"/>
      <c r="H717" s="653"/>
      <c r="I717" s="653"/>
      <c r="J717" s="653"/>
      <c r="K717" s="653"/>
      <c r="L717" s="653"/>
      <c r="M717" s="653"/>
      <c r="N717" s="653"/>
      <c r="O717" s="653"/>
      <c r="P717" s="653"/>
      <c r="Q717" s="653"/>
      <c r="R717" s="653"/>
      <c r="S717" s="653"/>
      <c r="T717" s="653"/>
      <c r="U717" s="653"/>
    </row>
    <row r="718" spans="1:21" x14ac:dyDescent="0.25">
      <c r="A718" s="653"/>
      <c r="B718" s="653"/>
      <c r="C718" s="653"/>
      <c r="D718" s="653"/>
      <c r="E718" s="653"/>
      <c r="F718" s="653"/>
      <c r="G718" s="1243"/>
      <c r="H718" s="653"/>
      <c r="I718" s="653"/>
      <c r="J718" s="653"/>
      <c r="K718" s="653"/>
      <c r="L718" s="653"/>
      <c r="M718" s="653"/>
      <c r="N718" s="653"/>
      <c r="O718" s="653"/>
      <c r="P718" s="653"/>
      <c r="Q718" s="653"/>
      <c r="R718" s="653"/>
      <c r="S718" s="653"/>
      <c r="T718" s="653"/>
      <c r="U718" s="653"/>
    </row>
    <row r="719" spans="1:21" x14ac:dyDescent="0.25">
      <c r="A719" s="653"/>
      <c r="B719" s="653"/>
      <c r="C719" s="653"/>
      <c r="D719" s="653"/>
      <c r="E719" s="653"/>
      <c r="F719" s="653"/>
      <c r="G719" s="1243"/>
      <c r="H719" s="653"/>
      <c r="I719" s="653"/>
      <c r="J719" s="653"/>
      <c r="K719" s="653"/>
      <c r="L719" s="653"/>
      <c r="M719" s="653"/>
      <c r="N719" s="653"/>
      <c r="O719" s="653"/>
      <c r="P719" s="653"/>
      <c r="Q719" s="653"/>
      <c r="R719" s="653"/>
      <c r="S719" s="653"/>
      <c r="T719" s="653"/>
      <c r="U719" s="653"/>
    </row>
    <row r="720" spans="1:21" x14ac:dyDescent="0.25">
      <c r="A720" s="653"/>
      <c r="B720" s="653"/>
      <c r="C720" s="653"/>
      <c r="D720" s="653"/>
      <c r="E720" s="653"/>
      <c r="F720" s="653"/>
      <c r="G720" s="1243"/>
      <c r="H720" s="653"/>
      <c r="I720" s="653"/>
      <c r="J720" s="653"/>
      <c r="K720" s="653"/>
      <c r="L720" s="653"/>
      <c r="M720" s="653"/>
      <c r="N720" s="653"/>
      <c r="O720" s="653"/>
      <c r="P720" s="653"/>
      <c r="Q720" s="653"/>
      <c r="R720" s="653"/>
      <c r="S720" s="653"/>
      <c r="T720" s="653"/>
      <c r="U720" s="653"/>
    </row>
    <row r="721" spans="1:21" x14ac:dyDescent="0.25">
      <c r="A721" s="653"/>
      <c r="B721" s="653"/>
      <c r="C721" s="653"/>
      <c r="D721" s="653"/>
      <c r="E721" s="653"/>
      <c r="F721" s="653"/>
      <c r="G721" s="1243"/>
      <c r="H721" s="653"/>
      <c r="I721" s="653"/>
      <c r="J721" s="653"/>
      <c r="K721" s="653"/>
      <c r="L721" s="653"/>
      <c r="M721" s="653"/>
      <c r="N721" s="653"/>
      <c r="O721" s="653"/>
      <c r="P721" s="653"/>
      <c r="Q721" s="653"/>
      <c r="R721" s="653"/>
      <c r="S721" s="653"/>
      <c r="T721" s="653"/>
      <c r="U721" s="653"/>
    </row>
    <row r="722" spans="1:21" x14ac:dyDescent="0.25">
      <c r="A722" s="653"/>
      <c r="B722" s="653"/>
      <c r="C722" s="653"/>
      <c r="D722" s="653"/>
      <c r="E722" s="653"/>
      <c r="F722" s="653"/>
      <c r="G722" s="1243"/>
      <c r="H722" s="653"/>
      <c r="I722" s="653"/>
      <c r="J722" s="653"/>
      <c r="K722" s="653"/>
      <c r="L722" s="653"/>
      <c r="M722" s="653"/>
      <c r="N722" s="653"/>
      <c r="O722" s="653"/>
      <c r="P722" s="653"/>
      <c r="Q722" s="653"/>
      <c r="R722" s="653"/>
      <c r="S722" s="653"/>
      <c r="T722" s="653"/>
      <c r="U722" s="653"/>
    </row>
    <row r="723" spans="1:21" x14ac:dyDescent="0.25">
      <c r="A723" s="653"/>
      <c r="B723" s="653"/>
      <c r="C723" s="653"/>
      <c r="D723" s="653"/>
      <c r="E723" s="653"/>
      <c r="F723" s="653"/>
      <c r="G723" s="1243"/>
      <c r="H723" s="653"/>
      <c r="I723" s="653"/>
      <c r="J723" s="653"/>
      <c r="K723" s="653"/>
      <c r="L723" s="653"/>
      <c r="M723" s="653"/>
      <c r="N723" s="653"/>
      <c r="O723" s="653"/>
      <c r="P723" s="653"/>
      <c r="Q723" s="653"/>
      <c r="R723" s="653"/>
      <c r="S723" s="653"/>
      <c r="T723" s="653"/>
      <c r="U723" s="653"/>
    </row>
    <row r="724" spans="1:21" x14ac:dyDescent="0.25">
      <c r="A724" s="653"/>
      <c r="B724" s="653"/>
      <c r="C724" s="653"/>
      <c r="D724" s="653"/>
      <c r="E724" s="653"/>
      <c r="F724" s="653"/>
      <c r="G724" s="1243"/>
      <c r="H724" s="653"/>
      <c r="I724" s="653"/>
      <c r="J724" s="653"/>
      <c r="K724" s="653"/>
      <c r="L724" s="653"/>
      <c r="M724" s="653"/>
      <c r="N724" s="653"/>
      <c r="O724" s="653"/>
      <c r="P724" s="653"/>
      <c r="Q724" s="653"/>
      <c r="R724" s="653"/>
      <c r="S724" s="653"/>
      <c r="T724" s="653"/>
      <c r="U724" s="653"/>
    </row>
    <row r="725" spans="1:21" x14ac:dyDescent="0.25">
      <c r="A725" s="653"/>
      <c r="B725" s="653"/>
      <c r="C725" s="653"/>
      <c r="D725" s="653"/>
      <c r="E725" s="653"/>
      <c r="F725" s="653"/>
      <c r="G725" s="1243"/>
      <c r="H725" s="653"/>
      <c r="I725" s="653"/>
      <c r="J725" s="653"/>
      <c r="K725" s="653"/>
      <c r="L725" s="653"/>
      <c r="M725" s="653"/>
      <c r="N725" s="653"/>
      <c r="O725" s="653"/>
      <c r="P725" s="653"/>
      <c r="Q725" s="653"/>
      <c r="R725" s="653"/>
      <c r="S725" s="653"/>
      <c r="T725" s="653"/>
      <c r="U725" s="653"/>
    </row>
    <row r="726" spans="1:21" x14ac:dyDescent="0.25">
      <c r="A726" s="653"/>
      <c r="B726" s="653"/>
      <c r="C726" s="653"/>
      <c r="D726" s="653"/>
      <c r="E726" s="653"/>
      <c r="F726" s="653"/>
      <c r="G726" s="1243"/>
      <c r="H726" s="653"/>
      <c r="I726" s="653"/>
      <c r="J726" s="653"/>
      <c r="K726" s="653"/>
      <c r="L726" s="653"/>
      <c r="M726" s="653"/>
      <c r="N726" s="653"/>
      <c r="O726" s="653"/>
      <c r="P726" s="653"/>
      <c r="Q726" s="653"/>
      <c r="R726" s="653"/>
      <c r="S726" s="653"/>
      <c r="T726" s="653"/>
      <c r="U726" s="653"/>
    </row>
    <row r="727" spans="1:21" x14ac:dyDescent="0.25">
      <c r="A727" s="653"/>
      <c r="B727" s="653"/>
      <c r="C727" s="653"/>
      <c r="D727" s="653"/>
      <c r="E727" s="653"/>
      <c r="F727" s="653"/>
      <c r="G727" s="1243"/>
      <c r="H727" s="653"/>
      <c r="I727" s="653"/>
      <c r="J727" s="653"/>
      <c r="K727" s="653"/>
      <c r="L727" s="653"/>
      <c r="M727" s="653"/>
      <c r="N727" s="653"/>
      <c r="O727" s="653"/>
      <c r="P727" s="653"/>
      <c r="Q727" s="653"/>
      <c r="R727" s="653"/>
      <c r="S727" s="653"/>
      <c r="T727" s="653"/>
      <c r="U727" s="653"/>
    </row>
    <row r="728" spans="1:21" x14ac:dyDescent="0.25">
      <c r="A728" s="653"/>
      <c r="B728" s="653"/>
      <c r="C728" s="653"/>
      <c r="D728" s="653"/>
      <c r="E728" s="653"/>
      <c r="F728" s="653"/>
      <c r="G728" s="1243"/>
      <c r="H728" s="653"/>
      <c r="I728" s="653"/>
      <c r="J728" s="653"/>
      <c r="K728" s="653"/>
      <c r="L728" s="653"/>
      <c r="M728" s="653"/>
      <c r="N728" s="653"/>
      <c r="O728" s="653"/>
      <c r="P728" s="653"/>
      <c r="Q728" s="653"/>
      <c r="R728" s="653"/>
      <c r="S728" s="653"/>
      <c r="T728" s="653"/>
      <c r="U728" s="653"/>
    </row>
    <row r="729" spans="1:21" x14ac:dyDescent="0.25">
      <c r="A729" s="653"/>
      <c r="B729" s="653"/>
      <c r="C729" s="653"/>
      <c r="D729" s="653"/>
      <c r="E729" s="653"/>
      <c r="F729" s="653"/>
      <c r="G729" s="1243"/>
      <c r="H729" s="653"/>
      <c r="I729" s="653"/>
      <c r="J729" s="653"/>
      <c r="K729" s="653"/>
      <c r="L729" s="653"/>
      <c r="M729" s="653"/>
      <c r="N729" s="653"/>
      <c r="O729" s="653"/>
      <c r="P729" s="653"/>
      <c r="Q729" s="653"/>
      <c r="R729" s="653"/>
      <c r="S729" s="653"/>
      <c r="T729" s="653"/>
      <c r="U729" s="653"/>
    </row>
    <row r="730" spans="1:21" x14ac:dyDescent="0.25">
      <c r="A730" s="653"/>
      <c r="B730" s="653"/>
      <c r="C730" s="653"/>
      <c r="D730" s="653"/>
      <c r="E730" s="653"/>
      <c r="F730" s="653"/>
      <c r="G730" s="1243"/>
      <c r="H730" s="653"/>
      <c r="I730" s="653"/>
      <c r="J730" s="653"/>
      <c r="K730" s="653"/>
      <c r="L730" s="653"/>
      <c r="M730" s="653"/>
      <c r="N730" s="653"/>
      <c r="O730" s="653"/>
      <c r="P730" s="653"/>
      <c r="Q730" s="653"/>
      <c r="R730" s="653"/>
      <c r="S730" s="653"/>
      <c r="T730" s="653"/>
      <c r="U730" s="653"/>
    </row>
    <row r="731" spans="1:21" x14ac:dyDescent="0.25">
      <c r="A731" s="653"/>
      <c r="B731" s="653"/>
      <c r="C731" s="653"/>
      <c r="D731" s="653"/>
      <c r="E731" s="653"/>
      <c r="F731" s="653"/>
      <c r="G731" s="1243"/>
      <c r="H731" s="653"/>
      <c r="I731" s="653"/>
      <c r="J731" s="653"/>
      <c r="K731" s="653"/>
      <c r="L731" s="653"/>
      <c r="M731" s="653"/>
      <c r="N731" s="653"/>
      <c r="O731" s="653"/>
      <c r="P731" s="653"/>
      <c r="Q731" s="653"/>
      <c r="R731" s="653"/>
      <c r="S731" s="653"/>
      <c r="T731" s="653"/>
      <c r="U731" s="653"/>
    </row>
    <row r="732" spans="1:21" x14ac:dyDescent="0.25">
      <c r="A732" s="653"/>
      <c r="B732" s="653"/>
      <c r="C732" s="653"/>
      <c r="D732" s="653"/>
      <c r="E732" s="653"/>
      <c r="F732" s="653"/>
      <c r="G732" s="1243"/>
      <c r="H732" s="653"/>
      <c r="I732" s="653"/>
      <c r="J732" s="653"/>
      <c r="K732" s="653"/>
      <c r="L732" s="653"/>
      <c r="M732" s="653"/>
      <c r="N732" s="653"/>
      <c r="O732" s="653"/>
      <c r="P732" s="653"/>
      <c r="Q732" s="653"/>
      <c r="R732" s="653"/>
      <c r="S732" s="653"/>
      <c r="T732" s="653"/>
      <c r="U732" s="653"/>
    </row>
    <row r="733" spans="1:21" x14ac:dyDescent="0.25">
      <c r="A733" s="653"/>
      <c r="B733" s="653"/>
      <c r="C733" s="653"/>
      <c r="D733" s="653"/>
      <c r="E733" s="653"/>
      <c r="F733" s="653"/>
      <c r="G733" s="1243"/>
      <c r="H733" s="653"/>
      <c r="I733" s="653"/>
      <c r="J733" s="653"/>
      <c r="K733" s="653"/>
      <c r="L733" s="653"/>
      <c r="M733" s="653"/>
      <c r="N733" s="653"/>
      <c r="O733" s="653"/>
      <c r="P733" s="653"/>
      <c r="Q733" s="653"/>
      <c r="R733" s="653"/>
      <c r="S733" s="653"/>
      <c r="T733" s="653"/>
      <c r="U733" s="653"/>
    </row>
    <row r="734" spans="1:21" x14ac:dyDescent="0.25">
      <c r="A734" s="653"/>
      <c r="B734" s="653"/>
      <c r="C734" s="653"/>
      <c r="D734" s="653"/>
      <c r="E734" s="653"/>
      <c r="F734" s="653"/>
      <c r="G734" s="1243"/>
      <c r="H734" s="653"/>
      <c r="I734" s="653"/>
      <c r="J734" s="653"/>
      <c r="K734" s="653"/>
      <c r="L734" s="653"/>
      <c r="M734" s="653"/>
      <c r="N734" s="653"/>
      <c r="O734" s="653"/>
      <c r="P734" s="653"/>
      <c r="Q734" s="653"/>
      <c r="R734" s="653"/>
      <c r="S734" s="653"/>
      <c r="T734" s="653"/>
      <c r="U734" s="653"/>
    </row>
    <row r="735" spans="1:21" x14ac:dyDescent="0.25">
      <c r="A735" s="653"/>
      <c r="B735" s="653"/>
      <c r="C735" s="653"/>
      <c r="D735" s="653"/>
      <c r="E735" s="653"/>
      <c r="F735" s="653"/>
      <c r="G735" s="1243"/>
      <c r="H735" s="653"/>
      <c r="I735" s="653"/>
      <c r="J735" s="653"/>
      <c r="K735" s="653"/>
      <c r="L735" s="653"/>
      <c r="M735" s="653"/>
      <c r="N735" s="653"/>
      <c r="O735" s="653"/>
      <c r="P735" s="653"/>
      <c r="Q735" s="653"/>
      <c r="R735" s="653"/>
      <c r="S735" s="653"/>
      <c r="T735" s="653"/>
      <c r="U735" s="653"/>
    </row>
    <row r="736" spans="1:21" x14ac:dyDescent="0.25">
      <c r="A736" s="653"/>
      <c r="B736" s="653"/>
      <c r="C736" s="653"/>
      <c r="D736" s="653"/>
      <c r="E736" s="653"/>
      <c r="F736" s="653"/>
      <c r="G736" s="1243"/>
      <c r="H736" s="653"/>
      <c r="I736" s="653"/>
      <c r="J736" s="653"/>
      <c r="K736" s="653"/>
      <c r="L736" s="653"/>
      <c r="M736" s="653"/>
      <c r="N736" s="653"/>
      <c r="O736" s="653"/>
      <c r="P736" s="653"/>
      <c r="Q736" s="653"/>
      <c r="R736" s="653"/>
      <c r="S736" s="653"/>
      <c r="T736" s="653"/>
      <c r="U736" s="653"/>
    </row>
    <row r="737" spans="1:21" x14ac:dyDescent="0.25">
      <c r="A737" s="653"/>
      <c r="B737" s="653"/>
      <c r="C737" s="653"/>
      <c r="D737" s="653"/>
      <c r="E737" s="653"/>
      <c r="F737" s="653"/>
      <c r="G737" s="1243"/>
      <c r="H737" s="653"/>
      <c r="I737" s="653"/>
      <c r="J737" s="653"/>
      <c r="K737" s="653"/>
      <c r="L737" s="653"/>
      <c r="M737" s="653"/>
      <c r="N737" s="653"/>
      <c r="O737" s="653"/>
      <c r="P737" s="653"/>
      <c r="Q737" s="653"/>
      <c r="R737" s="653"/>
      <c r="S737" s="653"/>
      <c r="T737" s="653"/>
      <c r="U737" s="653"/>
    </row>
    <row r="738" spans="1:21" x14ac:dyDescent="0.25">
      <c r="A738" s="653"/>
      <c r="B738" s="653"/>
      <c r="C738" s="653"/>
      <c r="D738" s="653"/>
      <c r="E738" s="653"/>
      <c r="F738" s="653"/>
      <c r="G738" s="1243"/>
      <c r="H738" s="653"/>
      <c r="I738" s="653"/>
      <c r="J738" s="653"/>
      <c r="K738" s="653"/>
      <c r="L738" s="653"/>
      <c r="M738" s="653"/>
      <c r="N738" s="653"/>
      <c r="O738" s="653"/>
      <c r="P738" s="653"/>
      <c r="Q738" s="653"/>
      <c r="R738" s="653"/>
      <c r="S738" s="653"/>
      <c r="T738" s="653"/>
      <c r="U738" s="653"/>
    </row>
    <row r="739" spans="1:21" x14ac:dyDescent="0.25">
      <c r="A739" s="653"/>
      <c r="B739" s="653"/>
      <c r="C739" s="653"/>
      <c r="D739" s="653"/>
      <c r="E739" s="653"/>
      <c r="F739" s="653"/>
      <c r="G739" s="1243"/>
      <c r="H739" s="653"/>
      <c r="I739" s="653"/>
      <c r="J739" s="653"/>
      <c r="K739" s="653"/>
      <c r="L739" s="653"/>
      <c r="M739" s="653"/>
      <c r="N739" s="653"/>
      <c r="O739" s="653"/>
      <c r="P739" s="653"/>
      <c r="Q739" s="653"/>
      <c r="R739" s="653"/>
      <c r="S739" s="653"/>
      <c r="T739" s="653"/>
      <c r="U739" s="653"/>
    </row>
    <row r="740" spans="1:21" x14ac:dyDescent="0.25">
      <c r="A740" s="653"/>
      <c r="B740" s="653"/>
      <c r="C740" s="653"/>
      <c r="D740" s="653"/>
      <c r="E740" s="653"/>
      <c r="F740" s="653"/>
      <c r="G740" s="1243"/>
      <c r="H740" s="653"/>
      <c r="I740" s="653"/>
      <c r="J740" s="653"/>
      <c r="K740" s="653"/>
      <c r="L740" s="653"/>
      <c r="M740" s="653"/>
      <c r="N740" s="653"/>
      <c r="O740" s="653"/>
      <c r="P740" s="653"/>
      <c r="Q740" s="653"/>
      <c r="R740" s="653"/>
      <c r="S740" s="653"/>
      <c r="T740" s="653"/>
      <c r="U740" s="653"/>
    </row>
    <row r="741" spans="1:21" x14ac:dyDescent="0.25">
      <c r="A741" s="653"/>
      <c r="B741" s="653"/>
      <c r="C741" s="653"/>
      <c r="D741" s="653"/>
      <c r="E741" s="653"/>
      <c r="F741" s="653"/>
      <c r="G741" s="1243"/>
      <c r="H741" s="653"/>
      <c r="I741" s="653"/>
      <c r="J741" s="653"/>
      <c r="K741" s="653"/>
      <c r="L741" s="653"/>
      <c r="M741" s="653"/>
      <c r="N741" s="653"/>
      <c r="O741" s="653"/>
      <c r="P741" s="653"/>
      <c r="Q741" s="653"/>
      <c r="R741" s="653"/>
      <c r="S741" s="653"/>
      <c r="T741" s="653"/>
      <c r="U741" s="653"/>
    </row>
    <row r="742" spans="1:21" x14ac:dyDescent="0.25">
      <c r="A742" s="653"/>
      <c r="B742" s="653"/>
      <c r="C742" s="653"/>
      <c r="D742" s="653"/>
      <c r="E742" s="653"/>
      <c r="F742" s="653"/>
      <c r="G742" s="1243"/>
      <c r="H742" s="653"/>
      <c r="I742" s="653"/>
      <c r="J742" s="653"/>
      <c r="K742" s="653"/>
      <c r="L742" s="653"/>
      <c r="M742" s="653"/>
      <c r="N742" s="653"/>
      <c r="O742" s="653"/>
      <c r="P742" s="653"/>
      <c r="Q742" s="653"/>
      <c r="R742" s="653"/>
      <c r="S742" s="653"/>
      <c r="T742" s="653"/>
      <c r="U742" s="653"/>
    </row>
    <row r="743" spans="1:21" x14ac:dyDescent="0.25">
      <c r="A743" s="653"/>
      <c r="B743" s="653"/>
      <c r="C743" s="653"/>
      <c r="D743" s="653"/>
      <c r="E743" s="653"/>
      <c r="F743" s="653"/>
      <c r="G743" s="1243"/>
      <c r="H743" s="653"/>
      <c r="I743" s="653"/>
      <c r="J743" s="653"/>
      <c r="K743" s="653"/>
      <c r="L743" s="653"/>
      <c r="M743" s="653"/>
      <c r="N743" s="653"/>
      <c r="O743" s="653"/>
      <c r="P743" s="653"/>
      <c r="Q743" s="653"/>
      <c r="R743" s="653"/>
      <c r="S743" s="653"/>
      <c r="T743" s="653"/>
      <c r="U743" s="653"/>
    </row>
    <row r="744" spans="1:21" x14ac:dyDescent="0.25">
      <c r="A744" s="653"/>
      <c r="B744" s="653"/>
      <c r="C744" s="653"/>
      <c r="D744" s="653"/>
      <c r="E744" s="653"/>
      <c r="F744" s="653"/>
      <c r="G744" s="1243"/>
      <c r="H744" s="653"/>
      <c r="I744" s="653"/>
      <c r="J744" s="653"/>
      <c r="K744" s="653"/>
      <c r="L744" s="653"/>
      <c r="M744" s="653"/>
      <c r="N744" s="653"/>
      <c r="O744" s="653"/>
      <c r="P744" s="653"/>
      <c r="Q744" s="653"/>
      <c r="R744" s="653"/>
      <c r="S744" s="653"/>
      <c r="T744" s="653"/>
      <c r="U744" s="653"/>
    </row>
    <row r="745" spans="1:21" x14ac:dyDescent="0.25">
      <c r="A745" s="653"/>
      <c r="B745" s="653"/>
      <c r="C745" s="653"/>
      <c r="D745" s="653"/>
      <c r="E745" s="653"/>
      <c r="F745" s="653"/>
      <c r="G745" s="1243"/>
      <c r="H745" s="653"/>
      <c r="I745" s="653"/>
      <c r="J745" s="653"/>
      <c r="K745" s="653"/>
      <c r="L745" s="653"/>
      <c r="M745" s="653"/>
      <c r="N745" s="653"/>
      <c r="O745" s="653"/>
      <c r="P745" s="653"/>
      <c r="Q745" s="653"/>
      <c r="R745" s="653"/>
      <c r="S745" s="653"/>
      <c r="T745" s="653"/>
      <c r="U745" s="653"/>
    </row>
    <row r="746" spans="1:21" x14ac:dyDescent="0.25">
      <c r="A746" s="653"/>
      <c r="B746" s="653"/>
      <c r="C746" s="653"/>
      <c r="D746" s="653"/>
      <c r="E746" s="653"/>
      <c r="F746" s="653"/>
      <c r="G746" s="1243"/>
      <c r="H746" s="653"/>
      <c r="I746" s="653"/>
      <c r="J746" s="653"/>
      <c r="K746" s="653"/>
      <c r="L746" s="653"/>
      <c r="M746" s="653"/>
      <c r="N746" s="653"/>
      <c r="O746" s="653"/>
      <c r="P746" s="653"/>
      <c r="Q746" s="653"/>
      <c r="R746" s="653"/>
      <c r="S746" s="653"/>
      <c r="T746" s="653"/>
      <c r="U746" s="653"/>
    </row>
    <row r="747" spans="1:21" x14ac:dyDescent="0.25">
      <c r="A747" s="653"/>
      <c r="B747" s="653"/>
      <c r="C747" s="653"/>
      <c r="D747" s="653"/>
      <c r="E747" s="653"/>
      <c r="F747" s="653"/>
      <c r="G747" s="1243"/>
      <c r="H747" s="653"/>
      <c r="I747" s="653"/>
      <c r="J747" s="653"/>
      <c r="K747" s="653"/>
      <c r="L747" s="653"/>
      <c r="M747" s="653"/>
      <c r="N747" s="653"/>
      <c r="O747" s="653"/>
      <c r="P747" s="653"/>
      <c r="Q747" s="653"/>
      <c r="R747" s="653"/>
      <c r="S747" s="653"/>
      <c r="T747" s="653"/>
      <c r="U747" s="653"/>
    </row>
    <row r="748" spans="1:21" x14ac:dyDescent="0.25">
      <c r="A748" s="653"/>
      <c r="B748" s="653"/>
      <c r="C748" s="653"/>
      <c r="D748" s="653"/>
      <c r="E748" s="653"/>
      <c r="F748" s="653"/>
      <c r="G748" s="1243"/>
      <c r="H748" s="653"/>
      <c r="I748" s="653"/>
      <c r="J748" s="653"/>
      <c r="K748" s="653"/>
      <c r="L748" s="653"/>
      <c r="M748" s="653"/>
      <c r="N748" s="653"/>
      <c r="O748" s="653"/>
      <c r="P748" s="653"/>
      <c r="Q748" s="653"/>
      <c r="R748" s="653"/>
      <c r="S748" s="653"/>
      <c r="T748" s="653"/>
      <c r="U748" s="653"/>
    </row>
    <row r="749" spans="1:21" x14ac:dyDescent="0.25">
      <c r="A749" s="653"/>
      <c r="B749" s="653"/>
      <c r="C749" s="653"/>
      <c r="D749" s="653"/>
      <c r="E749" s="653"/>
      <c r="F749" s="653"/>
      <c r="G749" s="1243"/>
      <c r="H749" s="653"/>
      <c r="I749" s="653"/>
      <c r="J749" s="653"/>
      <c r="K749" s="653"/>
      <c r="L749" s="653"/>
      <c r="M749" s="653"/>
      <c r="N749" s="653"/>
      <c r="O749" s="653"/>
      <c r="P749" s="653"/>
      <c r="Q749" s="653"/>
      <c r="R749" s="653"/>
      <c r="S749" s="653"/>
      <c r="T749" s="653"/>
      <c r="U749" s="653"/>
    </row>
    <row r="750" spans="1:21" x14ac:dyDescent="0.25">
      <c r="A750" s="653"/>
      <c r="B750" s="653"/>
      <c r="C750" s="653"/>
      <c r="D750" s="653"/>
      <c r="E750" s="653"/>
      <c r="F750" s="653"/>
      <c r="G750" s="1243"/>
      <c r="H750" s="653"/>
      <c r="I750" s="653"/>
      <c r="J750" s="653"/>
      <c r="K750" s="653"/>
      <c r="L750" s="653"/>
      <c r="M750" s="653"/>
      <c r="N750" s="653"/>
      <c r="O750" s="653"/>
      <c r="P750" s="653"/>
      <c r="Q750" s="653"/>
      <c r="R750" s="653"/>
      <c r="S750" s="653"/>
      <c r="T750" s="653"/>
      <c r="U750" s="653"/>
    </row>
    <row r="751" spans="1:21" x14ac:dyDescent="0.25">
      <c r="A751" s="653"/>
      <c r="B751" s="653"/>
      <c r="C751" s="653"/>
      <c r="D751" s="653"/>
      <c r="E751" s="653"/>
      <c r="F751" s="653"/>
      <c r="G751" s="1243"/>
      <c r="H751" s="653"/>
      <c r="I751" s="653"/>
      <c r="J751" s="653"/>
      <c r="K751" s="653"/>
      <c r="L751" s="653"/>
      <c r="M751" s="653"/>
      <c r="N751" s="653"/>
      <c r="O751" s="653"/>
      <c r="P751" s="653"/>
      <c r="Q751" s="653"/>
      <c r="R751" s="653"/>
      <c r="S751" s="653"/>
      <c r="T751" s="653"/>
      <c r="U751" s="653"/>
    </row>
    <row r="752" spans="1:21" x14ac:dyDescent="0.25">
      <c r="A752" s="653"/>
      <c r="B752" s="653"/>
      <c r="C752" s="653"/>
      <c r="D752" s="653"/>
      <c r="E752" s="653"/>
      <c r="F752" s="653"/>
      <c r="G752" s="1243"/>
      <c r="H752" s="653"/>
      <c r="I752" s="653"/>
      <c r="J752" s="653"/>
      <c r="K752" s="653"/>
      <c r="L752" s="653"/>
      <c r="M752" s="653"/>
      <c r="N752" s="653"/>
      <c r="O752" s="653"/>
      <c r="P752" s="653"/>
      <c r="Q752" s="653"/>
      <c r="R752" s="653"/>
      <c r="S752" s="653"/>
      <c r="T752" s="653"/>
      <c r="U752" s="653"/>
    </row>
    <row r="753" spans="1:21" x14ac:dyDescent="0.25">
      <c r="A753" s="653"/>
      <c r="B753" s="653"/>
      <c r="C753" s="653"/>
      <c r="D753" s="653"/>
      <c r="E753" s="653"/>
      <c r="F753" s="653"/>
      <c r="G753" s="1243"/>
      <c r="H753" s="653"/>
      <c r="I753" s="653"/>
      <c r="J753" s="653"/>
      <c r="K753" s="653"/>
      <c r="L753" s="653"/>
      <c r="M753" s="653"/>
      <c r="N753" s="653"/>
      <c r="O753" s="653"/>
      <c r="P753" s="653"/>
      <c r="Q753" s="653"/>
      <c r="R753" s="653"/>
      <c r="S753" s="653"/>
      <c r="T753" s="653"/>
      <c r="U753" s="653"/>
    </row>
    <row r="754" spans="1:21" x14ac:dyDescent="0.25">
      <c r="A754" s="653"/>
      <c r="B754" s="653"/>
      <c r="C754" s="653"/>
      <c r="D754" s="653"/>
      <c r="E754" s="653"/>
      <c r="F754" s="653"/>
      <c r="G754" s="1243"/>
      <c r="H754" s="653"/>
      <c r="I754" s="653"/>
      <c r="J754" s="653"/>
      <c r="K754" s="653"/>
      <c r="L754" s="653"/>
      <c r="M754" s="653"/>
      <c r="N754" s="653"/>
      <c r="O754" s="653"/>
      <c r="P754" s="653"/>
      <c r="Q754" s="653"/>
      <c r="R754" s="653"/>
      <c r="S754" s="653"/>
      <c r="T754" s="653"/>
      <c r="U754" s="653"/>
    </row>
    <row r="755" spans="1:21" x14ac:dyDescent="0.25">
      <c r="A755" s="653"/>
      <c r="B755" s="653"/>
      <c r="C755" s="653"/>
      <c r="D755" s="653"/>
      <c r="E755" s="653"/>
      <c r="F755" s="653"/>
      <c r="G755" s="1243"/>
      <c r="H755" s="653"/>
      <c r="I755" s="653"/>
      <c r="J755" s="653"/>
      <c r="K755" s="653"/>
      <c r="L755" s="653"/>
      <c r="M755" s="653"/>
      <c r="N755" s="653"/>
      <c r="O755" s="653"/>
      <c r="P755" s="653"/>
      <c r="Q755" s="653"/>
      <c r="R755" s="653"/>
      <c r="S755" s="653"/>
      <c r="T755" s="653"/>
      <c r="U755" s="653"/>
    </row>
    <row r="756" spans="1:21" x14ac:dyDescent="0.25">
      <c r="A756" s="653"/>
      <c r="B756" s="653"/>
      <c r="C756" s="653"/>
      <c r="D756" s="653"/>
      <c r="E756" s="653"/>
      <c r="F756" s="653"/>
      <c r="G756" s="1243"/>
      <c r="H756" s="653"/>
      <c r="I756" s="653"/>
      <c r="J756" s="653"/>
      <c r="K756" s="653"/>
      <c r="L756" s="653"/>
      <c r="M756" s="653"/>
      <c r="N756" s="653"/>
      <c r="O756" s="653"/>
      <c r="P756" s="653"/>
      <c r="Q756" s="653"/>
      <c r="R756" s="653"/>
      <c r="S756" s="653"/>
      <c r="T756" s="653"/>
      <c r="U756" s="653"/>
    </row>
    <row r="757" spans="1:21" x14ac:dyDescent="0.25">
      <c r="A757" s="653"/>
      <c r="B757" s="653"/>
      <c r="C757" s="653"/>
      <c r="D757" s="653"/>
      <c r="E757" s="653"/>
      <c r="F757" s="653"/>
      <c r="G757" s="1243"/>
      <c r="H757" s="653"/>
      <c r="I757" s="653"/>
      <c r="J757" s="653"/>
      <c r="K757" s="653"/>
      <c r="L757" s="653"/>
      <c r="M757" s="653"/>
      <c r="N757" s="653"/>
      <c r="O757" s="653"/>
      <c r="P757" s="653"/>
      <c r="Q757" s="653"/>
      <c r="R757" s="653"/>
      <c r="S757" s="653"/>
      <c r="T757" s="653"/>
      <c r="U757" s="653"/>
    </row>
    <row r="758" spans="1:21" x14ac:dyDescent="0.25">
      <c r="A758" s="653"/>
      <c r="B758" s="653"/>
      <c r="C758" s="653"/>
      <c r="D758" s="653"/>
      <c r="E758" s="653"/>
      <c r="F758" s="653"/>
      <c r="G758" s="1243"/>
      <c r="H758" s="653"/>
      <c r="I758" s="653"/>
      <c r="J758" s="653"/>
      <c r="K758" s="653"/>
      <c r="L758" s="653"/>
      <c r="M758" s="653"/>
      <c r="N758" s="653"/>
      <c r="O758" s="653"/>
      <c r="P758" s="653"/>
      <c r="Q758" s="653"/>
      <c r="R758" s="653"/>
      <c r="S758" s="653"/>
      <c r="T758" s="653"/>
      <c r="U758" s="653"/>
    </row>
    <row r="759" spans="1:21" x14ac:dyDescent="0.25">
      <c r="A759" s="653"/>
      <c r="B759" s="653"/>
      <c r="C759" s="653"/>
      <c r="D759" s="653"/>
      <c r="E759" s="653"/>
      <c r="F759" s="653"/>
      <c r="G759" s="1243"/>
      <c r="H759" s="653"/>
      <c r="I759" s="653"/>
      <c r="J759" s="653"/>
      <c r="K759" s="653"/>
      <c r="L759" s="653"/>
      <c r="M759" s="653"/>
      <c r="N759" s="653"/>
      <c r="O759" s="653"/>
      <c r="P759" s="653"/>
      <c r="Q759" s="653"/>
      <c r="R759" s="653"/>
      <c r="S759" s="653"/>
      <c r="T759" s="653"/>
      <c r="U759" s="653"/>
    </row>
    <row r="760" spans="1:21" x14ac:dyDescent="0.25">
      <c r="A760" s="653"/>
      <c r="B760" s="653"/>
      <c r="C760" s="653"/>
      <c r="D760" s="653"/>
      <c r="E760" s="653"/>
      <c r="F760" s="653"/>
      <c r="G760" s="1243"/>
      <c r="H760" s="653"/>
      <c r="I760" s="653"/>
      <c r="J760" s="653"/>
      <c r="K760" s="653"/>
      <c r="L760" s="653"/>
      <c r="M760" s="653"/>
      <c r="N760" s="653"/>
      <c r="O760" s="653"/>
      <c r="P760" s="653"/>
      <c r="Q760" s="653"/>
      <c r="R760" s="653"/>
      <c r="S760" s="653"/>
      <c r="T760" s="653"/>
      <c r="U760" s="653"/>
    </row>
    <row r="761" spans="1:21" x14ac:dyDescent="0.25">
      <c r="A761" s="653"/>
      <c r="B761" s="653"/>
      <c r="C761" s="653"/>
      <c r="D761" s="653"/>
      <c r="E761" s="653"/>
      <c r="F761" s="653"/>
      <c r="G761" s="1243"/>
      <c r="H761" s="653"/>
      <c r="I761" s="653"/>
      <c r="J761" s="653"/>
      <c r="K761" s="653"/>
      <c r="L761" s="653"/>
      <c r="M761" s="653"/>
      <c r="N761" s="653"/>
      <c r="O761" s="653"/>
      <c r="P761" s="653"/>
      <c r="Q761" s="653"/>
      <c r="R761" s="653"/>
      <c r="S761" s="653"/>
      <c r="T761" s="653"/>
      <c r="U761" s="653"/>
    </row>
    <row r="762" spans="1:21" x14ac:dyDescent="0.25">
      <c r="A762" s="653"/>
      <c r="B762" s="653"/>
      <c r="C762" s="653"/>
      <c r="D762" s="653"/>
      <c r="E762" s="653"/>
      <c r="F762" s="653"/>
      <c r="G762" s="1243"/>
      <c r="H762" s="653"/>
      <c r="I762" s="653"/>
      <c r="J762" s="653"/>
      <c r="K762" s="653"/>
      <c r="L762" s="653"/>
      <c r="M762" s="653"/>
      <c r="N762" s="653"/>
      <c r="O762" s="653"/>
      <c r="P762" s="653"/>
      <c r="Q762" s="653"/>
      <c r="R762" s="653"/>
      <c r="S762" s="653"/>
      <c r="T762" s="653"/>
      <c r="U762" s="653"/>
    </row>
    <row r="763" spans="1:21" x14ac:dyDescent="0.25">
      <c r="A763" s="653"/>
      <c r="B763" s="653"/>
      <c r="C763" s="653"/>
      <c r="D763" s="653"/>
      <c r="E763" s="653"/>
      <c r="F763" s="653"/>
      <c r="G763" s="1243"/>
      <c r="H763" s="653"/>
      <c r="I763" s="653"/>
      <c r="J763" s="653"/>
      <c r="K763" s="653"/>
      <c r="L763" s="653"/>
      <c r="M763" s="653"/>
      <c r="N763" s="653"/>
      <c r="O763" s="653"/>
      <c r="P763" s="653"/>
      <c r="Q763" s="653"/>
      <c r="R763" s="653"/>
      <c r="S763" s="653"/>
      <c r="T763" s="653"/>
      <c r="U763" s="653"/>
    </row>
    <row r="764" spans="1:21" x14ac:dyDescent="0.25">
      <c r="A764" s="653"/>
      <c r="B764" s="653"/>
      <c r="C764" s="653"/>
      <c r="D764" s="653"/>
      <c r="E764" s="653"/>
      <c r="F764" s="653"/>
      <c r="G764" s="1243"/>
      <c r="H764" s="653"/>
      <c r="I764" s="653"/>
      <c r="J764" s="653"/>
      <c r="K764" s="653"/>
      <c r="L764" s="653"/>
      <c r="M764" s="653"/>
      <c r="N764" s="653"/>
      <c r="O764" s="653"/>
      <c r="P764" s="653"/>
      <c r="Q764" s="653"/>
      <c r="R764" s="653"/>
      <c r="S764" s="653"/>
      <c r="T764" s="653"/>
      <c r="U764" s="653"/>
    </row>
    <row r="765" spans="1:21" x14ac:dyDescent="0.25">
      <c r="A765" s="653"/>
      <c r="B765" s="653"/>
      <c r="C765" s="653"/>
      <c r="D765" s="653"/>
      <c r="E765" s="653"/>
      <c r="F765" s="653"/>
      <c r="G765" s="1243"/>
      <c r="H765" s="653"/>
      <c r="I765" s="653"/>
      <c r="J765" s="653"/>
      <c r="K765" s="653"/>
      <c r="L765" s="653"/>
      <c r="M765" s="653"/>
      <c r="N765" s="653"/>
      <c r="O765" s="653"/>
      <c r="P765" s="653"/>
      <c r="Q765" s="653"/>
      <c r="R765" s="653"/>
      <c r="S765" s="653"/>
      <c r="T765" s="653"/>
      <c r="U765" s="653"/>
    </row>
    <row r="766" spans="1:21" x14ac:dyDescent="0.25">
      <c r="A766" s="653"/>
      <c r="B766" s="653"/>
      <c r="C766" s="653"/>
      <c r="D766" s="653"/>
      <c r="E766" s="653"/>
      <c r="F766" s="653"/>
      <c r="G766" s="1243"/>
      <c r="H766" s="653"/>
      <c r="I766" s="653"/>
      <c r="J766" s="653"/>
      <c r="K766" s="653"/>
      <c r="L766" s="653"/>
      <c r="M766" s="653"/>
      <c r="N766" s="653"/>
      <c r="O766" s="653"/>
      <c r="P766" s="653"/>
      <c r="Q766" s="653"/>
      <c r="R766" s="653"/>
      <c r="S766" s="653"/>
      <c r="T766" s="653"/>
      <c r="U766" s="653"/>
    </row>
    <row r="767" spans="1:21" x14ac:dyDescent="0.25">
      <c r="A767" s="653"/>
      <c r="B767" s="653"/>
      <c r="C767" s="653"/>
      <c r="D767" s="653"/>
      <c r="E767" s="653"/>
      <c r="F767" s="653"/>
      <c r="G767" s="1243"/>
      <c r="H767" s="653"/>
      <c r="I767" s="653"/>
      <c r="J767" s="653"/>
      <c r="K767" s="653"/>
      <c r="L767" s="653"/>
      <c r="M767" s="653"/>
      <c r="N767" s="653"/>
      <c r="O767" s="653"/>
      <c r="P767" s="653"/>
      <c r="Q767" s="653"/>
      <c r="R767" s="653"/>
      <c r="S767" s="653"/>
      <c r="T767" s="653"/>
      <c r="U767" s="653"/>
    </row>
    <row r="768" spans="1:21" x14ac:dyDescent="0.25">
      <c r="A768" s="653"/>
      <c r="B768" s="653"/>
      <c r="C768" s="653"/>
      <c r="D768" s="653"/>
      <c r="E768" s="653"/>
      <c r="F768" s="653"/>
      <c r="G768" s="1243"/>
      <c r="H768" s="653"/>
      <c r="I768" s="653"/>
      <c r="J768" s="653"/>
      <c r="K768" s="653"/>
      <c r="L768" s="653"/>
      <c r="M768" s="653"/>
      <c r="N768" s="653"/>
      <c r="O768" s="653"/>
      <c r="P768" s="653"/>
      <c r="Q768" s="653"/>
      <c r="R768" s="653"/>
      <c r="S768" s="653"/>
      <c r="T768" s="653"/>
      <c r="U768" s="653"/>
    </row>
    <row r="769" spans="1:21" x14ac:dyDescent="0.25">
      <c r="A769" s="653"/>
      <c r="B769" s="653"/>
      <c r="C769" s="653"/>
      <c r="D769" s="653"/>
      <c r="E769" s="653"/>
      <c r="F769" s="653"/>
      <c r="G769" s="1243"/>
      <c r="H769" s="653"/>
      <c r="I769" s="653"/>
      <c r="J769" s="653"/>
      <c r="K769" s="653"/>
      <c r="L769" s="653"/>
      <c r="M769" s="653"/>
      <c r="N769" s="653"/>
      <c r="O769" s="653"/>
      <c r="P769" s="653"/>
      <c r="Q769" s="653"/>
      <c r="R769" s="653"/>
      <c r="S769" s="653"/>
      <c r="T769" s="653"/>
      <c r="U769" s="653"/>
    </row>
    <row r="770" spans="1:21" x14ac:dyDescent="0.25">
      <c r="A770" s="653"/>
      <c r="B770" s="653"/>
      <c r="C770" s="653"/>
      <c r="D770" s="653"/>
      <c r="E770" s="653"/>
      <c r="F770" s="653"/>
      <c r="G770" s="1243"/>
      <c r="H770" s="653"/>
      <c r="I770" s="653"/>
      <c r="J770" s="653"/>
      <c r="K770" s="653"/>
      <c r="L770" s="653"/>
      <c r="M770" s="653"/>
      <c r="N770" s="653"/>
      <c r="O770" s="653"/>
      <c r="P770" s="653"/>
      <c r="Q770" s="653"/>
      <c r="R770" s="653"/>
      <c r="S770" s="653"/>
      <c r="T770" s="653"/>
      <c r="U770" s="653"/>
    </row>
    <row r="771" spans="1:21" x14ac:dyDescent="0.25">
      <c r="A771" s="653"/>
      <c r="B771" s="653"/>
      <c r="C771" s="653"/>
      <c r="D771" s="653"/>
      <c r="E771" s="653"/>
      <c r="F771" s="653"/>
      <c r="G771" s="1243"/>
      <c r="H771" s="653"/>
      <c r="I771" s="653"/>
      <c r="J771" s="653"/>
      <c r="K771" s="653"/>
      <c r="L771" s="653"/>
      <c r="M771" s="653"/>
      <c r="N771" s="653"/>
      <c r="O771" s="653"/>
      <c r="P771" s="653"/>
      <c r="Q771" s="653"/>
      <c r="R771" s="653"/>
      <c r="S771" s="653"/>
      <c r="T771" s="653"/>
      <c r="U771" s="653"/>
    </row>
    <row r="772" spans="1:21" x14ac:dyDescent="0.25">
      <c r="A772" s="653"/>
      <c r="B772" s="653"/>
      <c r="C772" s="653"/>
      <c r="D772" s="653"/>
      <c r="E772" s="653"/>
      <c r="F772" s="653"/>
      <c r="G772" s="1243"/>
      <c r="H772" s="653"/>
      <c r="I772" s="653"/>
      <c r="J772" s="653"/>
      <c r="K772" s="653"/>
      <c r="L772" s="653"/>
      <c r="M772" s="653"/>
      <c r="N772" s="653"/>
      <c r="O772" s="653"/>
      <c r="P772" s="653"/>
      <c r="Q772" s="653"/>
      <c r="R772" s="653"/>
      <c r="S772" s="653"/>
      <c r="T772" s="653"/>
      <c r="U772" s="653"/>
    </row>
    <row r="773" spans="1:21" x14ac:dyDescent="0.25">
      <c r="A773" s="653"/>
      <c r="B773" s="653"/>
      <c r="C773" s="653"/>
      <c r="D773" s="653"/>
      <c r="E773" s="653"/>
      <c r="F773" s="653"/>
      <c r="G773" s="1243"/>
      <c r="H773" s="653"/>
      <c r="I773" s="653"/>
      <c r="J773" s="653"/>
      <c r="K773" s="653"/>
      <c r="L773" s="653"/>
      <c r="M773" s="653"/>
      <c r="N773" s="653"/>
      <c r="O773" s="653"/>
      <c r="P773" s="653"/>
      <c r="Q773" s="653"/>
      <c r="R773" s="653"/>
      <c r="S773" s="653"/>
      <c r="T773" s="653"/>
      <c r="U773" s="653"/>
    </row>
    <row r="774" spans="1:21" x14ac:dyDescent="0.25">
      <c r="A774" s="653"/>
      <c r="B774" s="653"/>
      <c r="C774" s="653"/>
      <c r="D774" s="653"/>
      <c r="E774" s="653"/>
      <c r="F774" s="653"/>
      <c r="G774" s="1243"/>
      <c r="H774" s="653"/>
      <c r="I774" s="653"/>
      <c r="J774" s="653"/>
      <c r="K774" s="653"/>
      <c r="L774" s="653"/>
      <c r="M774" s="653"/>
      <c r="N774" s="653"/>
      <c r="O774" s="653"/>
      <c r="P774" s="653"/>
      <c r="Q774" s="653"/>
      <c r="R774" s="653"/>
      <c r="S774" s="653"/>
      <c r="T774" s="653"/>
      <c r="U774" s="653"/>
    </row>
    <row r="775" spans="1:21" x14ac:dyDescent="0.25">
      <c r="A775" s="653"/>
      <c r="B775" s="653"/>
      <c r="C775" s="653"/>
      <c r="D775" s="653"/>
      <c r="E775" s="653"/>
      <c r="F775" s="653"/>
      <c r="G775" s="1243"/>
      <c r="H775" s="653"/>
      <c r="I775" s="653"/>
      <c r="J775" s="653"/>
      <c r="K775" s="653"/>
      <c r="L775" s="653"/>
      <c r="M775" s="653"/>
      <c r="N775" s="653"/>
      <c r="O775" s="653"/>
      <c r="P775" s="653"/>
      <c r="Q775" s="653"/>
      <c r="R775" s="653"/>
      <c r="S775" s="653"/>
      <c r="T775" s="653"/>
      <c r="U775" s="653"/>
    </row>
    <row r="776" spans="1:21" x14ac:dyDescent="0.25">
      <c r="A776" s="653"/>
      <c r="B776" s="653"/>
      <c r="C776" s="653"/>
      <c r="D776" s="653"/>
      <c r="E776" s="653"/>
      <c r="F776" s="653"/>
      <c r="G776" s="1243"/>
      <c r="H776" s="653"/>
      <c r="I776" s="653"/>
      <c r="J776" s="653"/>
      <c r="K776" s="653"/>
      <c r="L776" s="653"/>
      <c r="M776" s="653"/>
      <c r="N776" s="653"/>
      <c r="O776" s="653"/>
      <c r="P776" s="653"/>
      <c r="Q776" s="653"/>
      <c r="R776" s="653"/>
      <c r="S776" s="653"/>
      <c r="T776" s="653"/>
      <c r="U776" s="653"/>
    </row>
    <row r="777" spans="1:21" x14ac:dyDescent="0.25">
      <c r="A777" s="653"/>
      <c r="B777" s="653"/>
      <c r="C777" s="653"/>
      <c r="D777" s="653"/>
      <c r="E777" s="653"/>
      <c r="F777" s="653"/>
      <c r="G777" s="1243"/>
      <c r="H777" s="653"/>
      <c r="I777" s="653"/>
      <c r="J777" s="653"/>
      <c r="K777" s="653"/>
      <c r="L777" s="653"/>
      <c r="M777" s="653"/>
      <c r="N777" s="653"/>
      <c r="O777" s="653"/>
      <c r="P777" s="653"/>
      <c r="Q777" s="653"/>
      <c r="R777" s="653"/>
      <c r="S777" s="653"/>
      <c r="T777" s="653"/>
      <c r="U777" s="653"/>
    </row>
    <row r="778" spans="1:21" x14ac:dyDescent="0.25">
      <c r="A778" s="653"/>
      <c r="B778" s="653"/>
      <c r="C778" s="653"/>
      <c r="D778" s="653"/>
      <c r="E778" s="653"/>
      <c r="F778" s="653"/>
      <c r="G778" s="1243"/>
      <c r="H778" s="653"/>
      <c r="I778" s="653"/>
      <c r="J778" s="653"/>
      <c r="K778" s="653"/>
      <c r="L778" s="653"/>
      <c r="M778" s="653"/>
      <c r="N778" s="653"/>
      <c r="O778" s="653"/>
      <c r="P778" s="653"/>
      <c r="Q778" s="653"/>
      <c r="R778" s="653"/>
      <c r="S778" s="653"/>
      <c r="T778" s="653"/>
      <c r="U778" s="653"/>
    </row>
    <row r="779" spans="1:21" x14ac:dyDescent="0.25">
      <c r="A779" s="653"/>
      <c r="B779" s="653"/>
      <c r="C779" s="653"/>
      <c r="D779" s="653"/>
      <c r="E779" s="653"/>
      <c r="F779" s="653"/>
      <c r="G779" s="1243"/>
      <c r="H779" s="653"/>
      <c r="I779" s="653"/>
      <c r="J779" s="653"/>
      <c r="K779" s="653"/>
      <c r="L779" s="653"/>
      <c r="M779" s="653"/>
      <c r="N779" s="653"/>
      <c r="O779" s="653"/>
      <c r="P779" s="653"/>
      <c r="Q779" s="653"/>
      <c r="R779" s="653"/>
      <c r="S779" s="653"/>
      <c r="T779" s="653"/>
      <c r="U779" s="653"/>
    </row>
    <row r="780" spans="1:21" x14ac:dyDescent="0.25">
      <c r="A780" s="653"/>
      <c r="B780" s="653"/>
      <c r="C780" s="653"/>
      <c r="D780" s="653"/>
      <c r="E780" s="653"/>
      <c r="F780" s="653"/>
      <c r="G780" s="1243"/>
      <c r="H780" s="653"/>
      <c r="I780" s="653"/>
      <c r="J780" s="653"/>
      <c r="K780" s="653"/>
      <c r="L780" s="653"/>
      <c r="M780" s="653"/>
      <c r="N780" s="653"/>
      <c r="O780" s="653"/>
      <c r="P780" s="653"/>
      <c r="Q780" s="653"/>
      <c r="R780" s="653"/>
      <c r="S780" s="653"/>
      <c r="T780" s="653"/>
      <c r="U780" s="653"/>
    </row>
    <row r="781" spans="1:21" x14ac:dyDescent="0.25">
      <c r="A781" s="653"/>
      <c r="B781" s="653"/>
      <c r="C781" s="653"/>
      <c r="D781" s="653"/>
      <c r="E781" s="653"/>
      <c r="F781" s="653"/>
      <c r="G781" s="1243"/>
      <c r="H781" s="653"/>
      <c r="I781" s="653"/>
      <c r="J781" s="653"/>
      <c r="K781" s="653"/>
      <c r="L781" s="653"/>
      <c r="M781" s="653"/>
      <c r="N781" s="653"/>
      <c r="O781" s="653"/>
      <c r="P781" s="653"/>
      <c r="Q781" s="653"/>
      <c r="R781" s="653"/>
      <c r="S781" s="653"/>
      <c r="T781" s="653"/>
      <c r="U781" s="653"/>
    </row>
    <row r="782" spans="1:21" x14ac:dyDescent="0.25">
      <c r="A782" s="653"/>
      <c r="B782" s="653"/>
      <c r="C782" s="653"/>
      <c r="D782" s="653"/>
      <c r="E782" s="653"/>
      <c r="F782" s="653"/>
      <c r="G782" s="1243"/>
      <c r="H782" s="653"/>
      <c r="I782" s="653"/>
      <c r="J782" s="653"/>
      <c r="K782" s="653"/>
      <c r="L782" s="653"/>
      <c r="M782" s="653"/>
      <c r="N782" s="653"/>
      <c r="O782" s="653"/>
      <c r="P782" s="653"/>
      <c r="Q782" s="653"/>
      <c r="R782" s="653"/>
      <c r="S782" s="653"/>
      <c r="T782" s="653"/>
      <c r="U782" s="653"/>
    </row>
    <row r="783" spans="1:21" x14ac:dyDescent="0.25">
      <c r="A783" s="653"/>
      <c r="B783" s="653"/>
      <c r="C783" s="653"/>
      <c r="D783" s="653"/>
      <c r="E783" s="653"/>
      <c r="F783" s="653"/>
      <c r="G783" s="1243"/>
      <c r="H783" s="653"/>
      <c r="I783" s="653"/>
      <c r="J783" s="653"/>
      <c r="K783" s="653"/>
      <c r="L783" s="653"/>
      <c r="M783" s="653"/>
      <c r="N783" s="653"/>
      <c r="O783" s="653"/>
      <c r="P783" s="653"/>
      <c r="Q783" s="653"/>
      <c r="R783" s="653"/>
      <c r="S783" s="653"/>
      <c r="T783" s="653"/>
      <c r="U783" s="653"/>
    </row>
    <row r="784" spans="1:21" x14ac:dyDescent="0.25">
      <c r="A784" s="653"/>
      <c r="B784" s="653"/>
      <c r="C784" s="653"/>
      <c r="D784" s="653"/>
      <c r="E784" s="653"/>
      <c r="F784" s="653"/>
      <c r="G784" s="1243"/>
      <c r="H784" s="653"/>
      <c r="I784" s="653"/>
      <c r="J784" s="653"/>
      <c r="K784" s="653"/>
      <c r="L784" s="653"/>
      <c r="M784" s="653"/>
      <c r="N784" s="653"/>
      <c r="O784" s="653"/>
      <c r="P784" s="653"/>
      <c r="Q784" s="653"/>
      <c r="R784" s="653"/>
      <c r="S784" s="653"/>
      <c r="T784" s="653"/>
      <c r="U784" s="653"/>
    </row>
    <row r="785" spans="1:21" x14ac:dyDescent="0.25">
      <c r="A785" s="653"/>
      <c r="B785" s="653"/>
      <c r="C785" s="653"/>
      <c r="D785" s="653"/>
      <c r="E785" s="653"/>
      <c r="F785" s="653"/>
      <c r="G785" s="1243"/>
      <c r="H785" s="653"/>
      <c r="I785" s="653"/>
      <c r="J785" s="653"/>
      <c r="K785" s="653"/>
      <c r="L785" s="653"/>
      <c r="M785" s="653"/>
      <c r="N785" s="653"/>
      <c r="O785" s="653"/>
      <c r="P785" s="653"/>
      <c r="Q785" s="653"/>
      <c r="R785" s="653"/>
      <c r="S785" s="653"/>
      <c r="T785" s="653"/>
      <c r="U785" s="653"/>
    </row>
    <row r="786" spans="1:21" x14ac:dyDescent="0.25">
      <c r="A786" s="653"/>
      <c r="B786" s="653"/>
      <c r="C786" s="653"/>
      <c r="D786" s="653"/>
      <c r="E786" s="653"/>
      <c r="F786" s="653"/>
      <c r="G786" s="1243"/>
      <c r="H786" s="653"/>
      <c r="I786" s="653"/>
      <c r="J786" s="653"/>
      <c r="K786" s="653"/>
      <c r="L786" s="653"/>
      <c r="M786" s="653"/>
      <c r="N786" s="653"/>
      <c r="O786" s="653"/>
      <c r="P786" s="653"/>
      <c r="Q786" s="653"/>
      <c r="R786" s="653"/>
      <c r="S786" s="653"/>
      <c r="T786" s="653"/>
      <c r="U786" s="653"/>
    </row>
    <row r="787" spans="1:21" x14ac:dyDescent="0.25">
      <c r="A787" s="653"/>
      <c r="B787" s="653"/>
      <c r="C787" s="653"/>
      <c r="D787" s="653"/>
      <c r="E787" s="653"/>
      <c r="F787" s="653"/>
      <c r="G787" s="1243"/>
      <c r="H787" s="653"/>
      <c r="I787" s="653"/>
      <c r="J787" s="653"/>
      <c r="K787" s="653"/>
      <c r="L787" s="653"/>
      <c r="M787" s="653"/>
      <c r="N787" s="653"/>
      <c r="O787" s="653"/>
      <c r="P787" s="653"/>
      <c r="Q787" s="653"/>
      <c r="R787" s="653"/>
      <c r="S787" s="653"/>
      <c r="T787" s="653"/>
      <c r="U787" s="653"/>
    </row>
    <row r="788" spans="1:21" x14ac:dyDescent="0.25">
      <c r="A788" s="653"/>
      <c r="B788" s="653"/>
      <c r="C788" s="653"/>
      <c r="D788" s="653"/>
      <c r="E788" s="653"/>
      <c r="F788" s="653"/>
      <c r="G788" s="1243"/>
      <c r="H788" s="653"/>
      <c r="I788" s="653"/>
      <c r="J788" s="653"/>
      <c r="K788" s="653"/>
      <c r="L788" s="653"/>
      <c r="M788" s="653"/>
      <c r="N788" s="653"/>
      <c r="O788" s="653"/>
      <c r="P788" s="653"/>
      <c r="Q788" s="653"/>
      <c r="R788" s="653"/>
      <c r="S788" s="653"/>
      <c r="T788" s="653"/>
      <c r="U788" s="653"/>
    </row>
    <row r="789" spans="1:21" x14ac:dyDescent="0.25">
      <c r="A789" s="653"/>
      <c r="B789" s="653"/>
      <c r="C789" s="653"/>
      <c r="D789" s="653"/>
      <c r="E789" s="653"/>
      <c r="F789" s="653"/>
      <c r="G789" s="1243"/>
      <c r="H789" s="653"/>
      <c r="I789" s="653"/>
      <c r="J789" s="653"/>
      <c r="K789" s="653"/>
      <c r="L789" s="653"/>
      <c r="M789" s="653"/>
      <c r="N789" s="653"/>
      <c r="O789" s="653"/>
      <c r="P789" s="653"/>
      <c r="Q789" s="653"/>
      <c r="R789" s="653"/>
      <c r="S789" s="653"/>
      <c r="T789" s="653"/>
      <c r="U789" s="653"/>
    </row>
    <row r="790" spans="1:21" x14ac:dyDescent="0.25">
      <c r="A790" s="653"/>
      <c r="B790" s="653"/>
      <c r="C790" s="653"/>
      <c r="D790" s="653"/>
      <c r="E790" s="653"/>
      <c r="F790" s="653"/>
      <c r="G790" s="1243"/>
      <c r="H790" s="653"/>
      <c r="I790" s="653"/>
      <c r="J790" s="653"/>
      <c r="K790" s="653"/>
      <c r="L790" s="653"/>
      <c r="M790" s="653"/>
      <c r="N790" s="653"/>
      <c r="O790" s="653"/>
      <c r="P790" s="653"/>
      <c r="Q790" s="653"/>
      <c r="R790" s="653"/>
      <c r="S790" s="653"/>
      <c r="T790" s="653"/>
      <c r="U790" s="653"/>
    </row>
    <row r="791" spans="1:21" x14ac:dyDescent="0.25">
      <c r="A791" s="653"/>
      <c r="B791" s="653"/>
      <c r="C791" s="653"/>
      <c r="D791" s="653"/>
      <c r="E791" s="653"/>
      <c r="F791" s="653"/>
      <c r="G791" s="1243"/>
      <c r="H791" s="653"/>
      <c r="I791" s="653"/>
      <c r="J791" s="653"/>
      <c r="K791" s="653"/>
      <c r="L791" s="653"/>
      <c r="M791" s="653"/>
      <c r="N791" s="653"/>
      <c r="O791" s="653"/>
      <c r="P791" s="653"/>
      <c r="Q791" s="653"/>
      <c r="R791" s="653"/>
      <c r="S791" s="653"/>
      <c r="T791" s="653"/>
      <c r="U791" s="653"/>
    </row>
    <row r="792" spans="1:21" x14ac:dyDescent="0.25">
      <c r="A792" s="653"/>
      <c r="B792" s="653"/>
      <c r="C792" s="653"/>
      <c r="D792" s="653"/>
      <c r="E792" s="653"/>
      <c r="F792" s="653"/>
      <c r="G792" s="1243"/>
      <c r="H792" s="653"/>
      <c r="I792" s="653"/>
      <c r="J792" s="653"/>
      <c r="K792" s="653"/>
      <c r="L792" s="653"/>
      <c r="M792" s="653"/>
      <c r="N792" s="653"/>
      <c r="O792" s="653"/>
      <c r="P792" s="653"/>
      <c r="Q792" s="653"/>
      <c r="R792" s="653"/>
      <c r="S792" s="653"/>
      <c r="T792" s="653"/>
      <c r="U792" s="653"/>
    </row>
    <row r="793" spans="1:21" x14ac:dyDescent="0.25">
      <c r="A793" s="653"/>
      <c r="B793" s="653"/>
      <c r="C793" s="653"/>
      <c r="D793" s="653"/>
      <c r="E793" s="653"/>
      <c r="F793" s="653"/>
      <c r="G793" s="1243"/>
      <c r="H793" s="653"/>
      <c r="I793" s="653"/>
      <c r="J793" s="653"/>
      <c r="K793" s="653"/>
      <c r="L793" s="653"/>
      <c r="M793" s="653"/>
      <c r="N793" s="653"/>
      <c r="O793" s="653"/>
      <c r="P793" s="653"/>
      <c r="Q793" s="653"/>
      <c r="R793" s="653"/>
      <c r="S793" s="653"/>
      <c r="T793" s="653"/>
      <c r="U793" s="653"/>
    </row>
    <row r="794" spans="1:21" x14ac:dyDescent="0.25">
      <c r="A794" s="653"/>
      <c r="B794" s="653"/>
      <c r="C794" s="653"/>
      <c r="D794" s="653"/>
      <c r="E794" s="653"/>
      <c r="F794" s="653"/>
      <c r="G794" s="1243"/>
      <c r="H794" s="653"/>
      <c r="I794" s="653"/>
      <c r="J794" s="653"/>
      <c r="K794" s="653"/>
      <c r="L794" s="653"/>
      <c r="M794" s="653"/>
      <c r="N794" s="653"/>
      <c r="O794" s="653"/>
      <c r="P794" s="653"/>
      <c r="Q794" s="653"/>
      <c r="R794" s="653"/>
      <c r="S794" s="653"/>
      <c r="T794" s="653"/>
      <c r="U794" s="653"/>
    </row>
    <row r="795" spans="1:21" x14ac:dyDescent="0.25">
      <c r="A795" s="653"/>
      <c r="B795" s="653"/>
      <c r="C795" s="653"/>
      <c r="D795" s="653"/>
      <c r="E795" s="653"/>
      <c r="F795" s="653"/>
      <c r="G795" s="1243"/>
      <c r="H795" s="653"/>
      <c r="I795" s="653"/>
      <c r="J795" s="653"/>
      <c r="K795" s="653"/>
      <c r="L795" s="653"/>
      <c r="M795" s="653"/>
      <c r="N795" s="653"/>
      <c r="O795" s="653"/>
      <c r="P795" s="653"/>
      <c r="Q795" s="653"/>
      <c r="R795" s="653"/>
      <c r="S795" s="653"/>
      <c r="T795" s="653"/>
      <c r="U795" s="653"/>
    </row>
    <row r="796" spans="1:21" x14ac:dyDescent="0.25">
      <c r="A796" s="653"/>
      <c r="B796" s="653"/>
      <c r="C796" s="653"/>
      <c r="D796" s="653"/>
      <c r="E796" s="653"/>
      <c r="F796" s="653"/>
      <c r="G796" s="1243"/>
      <c r="H796" s="653"/>
      <c r="I796" s="653"/>
      <c r="J796" s="653"/>
      <c r="K796" s="653"/>
      <c r="L796" s="653"/>
      <c r="M796" s="653"/>
      <c r="N796" s="653"/>
      <c r="O796" s="653"/>
      <c r="P796" s="653"/>
      <c r="Q796" s="653"/>
      <c r="R796" s="653"/>
      <c r="S796" s="653"/>
      <c r="T796" s="653"/>
      <c r="U796" s="653"/>
    </row>
    <row r="797" spans="1:21" x14ac:dyDescent="0.25">
      <c r="A797" s="653"/>
      <c r="B797" s="653"/>
      <c r="C797" s="653"/>
      <c r="D797" s="653"/>
      <c r="E797" s="653"/>
      <c r="F797" s="653"/>
      <c r="G797" s="1243"/>
      <c r="H797" s="653"/>
      <c r="I797" s="653"/>
      <c r="J797" s="653"/>
      <c r="K797" s="653"/>
      <c r="L797" s="653"/>
      <c r="M797" s="653"/>
      <c r="N797" s="653"/>
      <c r="O797" s="653"/>
      <c r="P797" s="653"/>
      <c r="Q797" s="653"/>
      <c r="R797" s="653"/>
      <c r="S797" s="653"/>
      <c r="T797" s="653"/>
      <c r="U797" s="653"/>
    </row>
    <row r="798" spans="1:21" x14ac:dyDescent="0.25">
      <c r="A798" s="653"/>
      <c r="B798" s="653"/>
      <c r="C798" s="653"/>
      <c r="D798" s="653"/>
      <c r="E798" s="653"/>
      <c r="F798" s="653"/>
      <c r="G798" s="1243"/>
      <c r="H798" s="653"/>
      <c r="I798" s="653"/>
      <c r="J798" s="653"/>
      <c r="K798" s="653"/>
      <c r="L798" s="653"/>
      <c r="M798" s="653"/>
      <c r="N798" s="653"/>
      <c r="O798" s="653"/>
      <c r="P798" s="653"/>
      <c r="Q798" s="653"/>
      <c r="R798" s="653"/>
      <c r="S798" s="653"/>
      <c r="T798" s="653"/>
      <c r="U798" s="653"/>
    </row>
    <row r="799" spans="1:21" x14ac:dyDescent="0.25">
      <c r="A799" s="653"/>
      <c r="B799" s="653"/>
      <c r="C799" s="653"/>
      <c r="D799" s="653"/>
      <c r="E799" s="653"/>
      <c r="F799" s="653"/>
      <c r="G799" s="1243"/>
      <c r="H799" s="653"/>
      <c r="I799" s="653"/>
      <c r="J799" s="653"/>
      <c r="K799" s="653"/>
      <c r="L799" s="653"/>
      <c r="M799" s="653"/>
      <c r="N799" s="653"/>
      <c r="O799" s="653"/>
      <c r="P799" s="653"/>
      <c r="Q799" s="653"/>
      <c r="R799" s="653"/>
      <c r="S799" s="653"/>
      <c r="T799" s="653"/>
      <c r="U799" s="653"/>
    </row>
    <row r="800" spans="1:21" x14ac:dyDescent="0.25">
      <c r="A800" s="653"/>
      <c r="B800" s="653"/>
      <c r="C800" s="653"/>
      <c r="D800" s="653"/>
      <c r="E800" s="653"/>
      <c r="F800" s="653"/>
      <c r="G800" s="1243"/>
      <c r="H800" s="653"/>
      <c r="I800" s="653"/>
      <c r="J800" s="653"/>
      <c r="K800" s="653"/>
      <c r="L800" s="653"/>
      <c r="M800" s="653"/>
      <c r="N800" s="653"/>
      <c r="O800" s="653"/>
      <c r="P800" s="653"/>
      <c r="Q800" s="653"/>
      <c r="R800" s="653"/>
      <c r="S800" s="653"/>
      <c r="T800" s="653"/>
      <c r="U800" s="653"/>
    </row>
    <row r="801" spans="1:21" x14ac:dyDescent="0.25">
      <c r="A801" s="653"/>
      <c r="B801" s="653"/>
      <c r="C801" s="653"/>
      <c r="D801" s="653"/>
      <c r="E801" s="653"/>
      <c r="F801" s="653"/>
      <c r="G801" s="1243"/>
      <c r="H801" s="653"/>
      <c r="I801" s="653"/>
      <c r="J801" s="653"/>
      <c r="K801" s="653"/>
      <c r="L801" s="653"/>
      <c r="M801" s="653"/>
      <c r="N801" s="653"/>
      <c r="O801" s="653"/>
      <c r="P801" s="653"/>
      <c r="Q801" s="653"/>
      <c r="R801" s="653"/>
      <c r="S801" s="653"/>
      <c r="T801" s="653"/>
      <c r="U801" s="653"/>
    </row>
    <row r="802" spans="1:21" x14ac:dyDescent="0.25">
      <c r="A802" s="653"/>
      <c r="B802" s="653"/>
      <c r="C802" s="653"/>
      <c r="D802" s="653"/>
      <c r="E802" s="653"/>
      <c r="F802" s="653"/>
      <c r="G802" s="1243"/>
      <c r="H802" s="653"/>
      <c r="I802" s="653"/>
      <c r="J802" s="653"/>
      <c r="K802" s="653"/>
      <c r="L802" s="653"/>
      <c r="M802" s="653"/>
      <c r="N802" s="653"/>
      <c r="O802" s="653"/>
      <c r="P802" s="653"/>
      <c r="Q802" s="653"/>
      <c r="R802" s="653"/>
      <c r="S802" s="653"/>
      <c r="T802" s="653"/>
      <c r="U802" s="653"/>
    </row>
    <row r="803" spans="1:21" x14ac:dyDescent="0.25">
      <c r="A803" s="653"/>
      <c r="B803" s="653"/>
      <c r="C803" s="653"/>
      <c r="D803" s="653"/>
      <c r="E803" s="653"/>
      <c r="F803" s="653"/>
      <c r="G803" s="1243"/>
      <c r="H803" s="653"/>
      <c r="I803" s="653"/>
      <c r="J803" s="653"/>
      <c r="K803" s="653"/>
      <c r="L803" s="653"/>
      <c r="M803" s="653"/>
      <c r="N803" s="653"/>
      <c r="O803" s="653"/>
      <c r="P803" s="653"/>
      <c r="Q803" s="653"/>
      <c r="R803" s="653"/>
      <c r="S803" s="653"/>
      <c r="T803" s="653"/>
      <c r="U803" s="653"/>
    </row>
    <row r="804" spans="1:21" x14ac:dyDescent="0.25">
      <c r="A804" s="653"/>
      <c r="B804" s="653"/>
      <c r="C804" s="653"/>
      <c r="D804" s="653"/>
      <c r="E804" s="653"/>
      <c r="F804" s="653"/>
      <c r="G804" s="1243"/>
      <c r="H804" s="653"/>
      <c r="I804" s="653"/>
      <c r="J804" s="653"/>
      <c r="K804" s="653"/>
      <c r="L804" s="653"/>
      <c r="M804" s="653"/>
      <c r="N804" s="653"/>
      <c r="O804" s="653"/>
      <c r="P804" s="653"/>
      <c r="Q804" s="653"/>
      <c r="R804" s="653"/>
      <c r="S804" s="653"/>
      <c r="T804" s="653"/>
      <c r="U804" s="653"/>
    </row>
    <row r="805" spans="1:21" x14ac:dyDescent="0.25">
      <c r="A805" s="653"/>
      <c r="B805" s="653"/>
      <c r="C805" s="653"/>
      <c r="D805" s="653"/>
      <c r="E805" s="653"/>
      <c r="F805" s="653"/>
      <c r="G805" s="1243"/>
      <c r="H805" s="653"/>
      <c r="I805" s="653"/>
      <c r="J805" s="653"/>
      <c r="K805" s="653"/>
      <c r="L805" s="653"/>
      <c r="M805" s="653"/>
      <c r="N805" s="653"/>
      <c r="O805" s="653"/>
      <c r="P805" s="653"/>
      <c r="Q805" s="653"/>
      <c r="R805" s="653"/>
      <c r="S805" s="653"/>
      <c r="T805" s="653"/>
      <c r="U805" s="653"/>
    </row>
    <row r="806" spans="1:21" x14ac:dyDescent="0.25">
      <c r="A806" s="653"/>
      <c r="B806" s="653"/>
      <c r="C806" s="653"/>
      <c r="D806" s="653"/>
      <c r="E806" s="653"/>
      <c r="F806" s="653"/>
      <c r="G806" s="1243"/>
      <c r="H806" s="653"/>
      <c r="I806" s="653"/>
      <c r="J806" s="653"/>
      <c r="K806" s="653"/>
      <c r="L806" s="653"/>
      <c r="M806" s="653"/>
      <c r="N806" s="653"/>
      <c r="O806" s="653"/>
      <c r="P806" s="653"/>
      <c r="Q806" s="653"/>
      <c r="R806" s="653"/>
      <c r="S806" s="653"/>
      <c r="T806" s="653"/>
      <c r="U806" s="653"/>
    </row>
    <row r="807" spans="1:21" x14ac:dyDescent="0.25">
      <c r="A807" s="653"/>
      <c r="B807" s="653"/>
      <c r="C807" s="653"/>
      <c r="D807" s="653"/>
      <c r="E807" s="653"/>
      <c r="F807" s="653"/>
      <c r="G807" s="1243"/>
      <c r="H807" s="653"/>
      <c r="I807" s="653"/>
      <c r="J807" s="653"/>
      <c r="K807" s="653"/>
      <c r="L807" s="653"/>
      <c r="M807" s="653"/>
      <c r="N807" s="653"/>
      <c r="O807" s="653"/>
      <c r="P807" s="653"/>
      <c r="Q807" s="653"/>
      <c r="R807" s="653"/>
      <c r="S807" s="653"/>
      <c r="T807" s="653"/>
      <c r="U807" s="653"/>
    </row>
    <row r="808" spans="1:21" x14ac:dyDescent="0.25">
      <c r="A808" s="653"/>
      <c r="B808" s="653"/>
      <c r="C808" s="653"/>
      <c r="D808" s="653"/>
      <c r="E808" s="653"/>
      <c r="F808" s="653"/>
      <c r="G808" s="1243"/>
      <c r="H808" s="653"/>
      <c r="I808" s="653"/>
      <c r="J808" s="653"/>
      <c r="K808" s="653"/>
      <c r="L808" s="653"/>
      <c r="M808" s="653"/>
      <c r="N808" s="653"/>
      <c r="O808" s="653"/>
      <c r="P808" s="653"/>
      <c r="Q808" s="653"/>
      <c r="R808" s="653"/>
      <c r="S808" s="653"/>
      <c r="T808" s="653"/>
      <c r="U808" s="653"/>
    </row>
    <row r="809" spans="1:21" x14ac:dyDescent="0.25">
      <c r="A809" s="653"/>
      <c r="B809" s="653"/>
      <c r="C809" s="653"/>
      <c r="D809" s="653"/>
      <c r="E809" s="653"/>
      <c r="F809" s="653"/>
      <c r="G809" s="1243"/>
      <c r="H809" s="653"/>
      <c r="I809" s="653"/>
      <c r="J809" s="653"/>
      <c r="K809" s="653"/>
      <c r="L809" s="653"/>
      <c r="M809" s="653"/>
      <c r="N809" s="653"/>
      <c r="O809" s="653"/>
      <c r="P809" s="653"/>
      <c r="Q809" s="653"/>
      <c r="R809" s="653"/>
      <c r="S809" s="653"/>
      <c r="T809" s="653"/>
      <c r="U809" s="653"/>
    </row>
    <row r="810" spans="1:21" x14ac:dyDescent="0.25">
      <c r="A810" s="653"/>
      <c r="B810" s="653"/>
      <c r="C810" s="653"/>
      <c r="D810" s="653"/>
      <c r="E810" s="653"/>
      <c r="F810" s="653"/>
      <c r="G810" s="1243"/>
      <c r="H810" s="653"/>
      <c r="I810" s="653"/>
      <c r="J810" s="653"/>
      <c r="K810" s="653"/>
      <c r="L810" s="653"/>
      <c r="M810" s="653"/>
      <c r="N810" s="653"/>
      <c r="O810" s="653"/>
      <c r="P810" s="653"/>
      <c r="Q810" s="653"/>
      <c r="R810" s="653"/>
      <c r="S810" s="653"/>
      <c r="T810" s="653"/>
      <c r="U810" s="653"/>
    </row>
    <row r="811" spans="1:21" x14ac:dyDescent="0.25">
      <c r="A811" s="653"/>
      <c r="B811" s="653"/>
      <c r="C811" s="653"/>
      <c r="D811" s="653"/>
      <c r="E811" s="653"/>
      <c r="F811" s="653"/>
      <c r="G811" s="1243"/>
      <c r="H811" s="653"/>
      <c r="I811" s="653"/>
      <c r="J811" s="653"/>
      <c r="K811" s="653"/>
      <c r="L811" s="653"/>
      <c r="M811" s="653"/>
      <c r="N811" s="653"/>
      <c r="O811" s="653"/>
      <c r="P811" s="653"/>
      <c r="Q811" s="653"/>
      <c r="R811" s="653"/>
      <c r="S811" s="653"/>
      <c r="T811" s="653"/>
      <c r="U811" s="653"/>
    </row>
    <row r="812" spans="1:21" x14ac:dyDescent="0.25">
      <c r="A812" s="653"/>
      <c r="B812" s="653"/>
      <c r="C812" s="653"/>
      <c r="D812" s="653"/>
      <c r="E812" s="653"/>
      <c r="F812" s="653"/>
      <c r="G812" s="1243"/>
      <c r="H812" s="653"/>
      <c r="I812" s="653"/>
      <c r="J812" s="653"/>
      <c r="K812" s="653"/>
      <c r="L812" s="653"/>
      <c r="M812" s="653"/>
      <c r="N812" s="653"/>
      <c r="O812" s="653"/>
      <c r="P812" s="653"/>
      <c r="Q812" s="653"/>
      <c r="R812" s="653"/>
      <c r="S812" s="653"/>
      <c r="T812" s="653"/>
      <c r="U812" s="653"/>
    </row>
    <row r="813" spans="1:21" x14ac:dyDescent="0.25">
      <c r="A813" s="653"/>
      <c r="B813" s="653"/>
      <c r="C813" s="653"/>
      <c r="D813" s="653"/>
      <c r="E813" s="653"/>
      <c r="F813" s="653"/>
      <c r="G813" s="1243"/>
      <c r="H813" s="653"/>
      <c r="I813" s="653"/>
      <c r="J813" s="653"/>
      <c r="K813" s="653"/>
      <c r="L813" s="653"/>
      <c r="M813" s="653"/>
      <c r="N813" s="653"/>
      <c r="O813" s="653"/>
      <c r="P813" s="653"/>
      <c r="Q813" s="653"/>
      <c r="R813" s="653"/>
      <c r="S813" s="653"/>
      <c r="T813" s="653"/>
      <c r="U813" s="653"/>
    </row>
    <row r="814" spans="1:21" x14ac:dyDescent="0.25">
      <c r="A814" s="653"/>
      <c r="B814" s="653"/>
      <c r="C814" s="653"/>
      <c r="D814" s="653"/>
      <c r="E814" s="653"/>
      <c r="F814" s="653"/>
      <c r="G814" s="1243"/>
      <c r="H814" s="653"/>
      <c r="I814" s="653"/>
      <c r="J814" s="653"/>
      <c r="K814" s="653"/>
      <c r="L814" s="653"/>
      <c r="M814" s="653"/>
      <c r="N814" s="653"/>
      <c r="O814" s="653"/>
      <c r="P814" s="653"/>
      <c r="Q814" s="653"/>
      <c r="R814" s="653"/>
      <c r="S814" s="653"/>
      <c r="T814" s="653"/>
      <c r="U814" s="653"/>
    </row>
    <row r="815" spans="1:21" x14ac:dyDescent="0.25">
      <c r="A815" s="653"/>
      <c r="B815" s="653"/>
      <c r="C815" s="653"/>
      <c r="D815" s="653"/>
      <c r="E815" s="653"/>
      <c r="F815" s="653"/>
      <c r="G815" s="1243"/>
      <c r="H815" s="653"/>
      <c r="I815" s="653"/>
      <c r="J815" s="653"/>
      <c r="K815" s="653"/>
      <c r="L815" s="653"/>
      <c r="M815" s="653"/>
      <c r="N815" s="653"/>
      <c r="O815" s="653"/>
      <c r="P815" s="653"/>
      <c r="Q815" s="653"/>
      <c r="R815" s="653"/>
      <c r="S815" s="653"/>
      <c r="T815" s="653"/>
      <c r="U815" s="653"/>
    </row>
    <row r="816" spans="1:21" x14ac:dyDescent="0.25">
      <c r="A816" s="653"/>
      <c r="B816" s="653"/>
      <c r="C816" s="653"/>
      <c r="D816" s="653"/>
      <c r="E816" s="653"/>
      <c r="F816" s="653"/>
      <c r="G816" s="1243"/>
      <c r="H816" s="653"/>
      <c r="I816" s="653"/>
      <c r="J816" s="653"/>
      <c r="K816" s="653"/>
      <c r="L816" s="653"/>
      <c r="M816" s="653"/>
      <c r="N816" s="653"/>
      <c r="O816" s="653"/>
      <c r="P816" s="653"/>
      <c r="Q816" s="653"/>
      <c r="R816" s="653"/>
      <c r="S816" s="653"/>
      <c r="T816" s="653"/>
      <c r="U816" s="653"/>
    </row>
    <row r="817" spans="1:21" x14ac:dyDescent="0.25">
      <c r="A817" s="653"/>
      <c r="B817" s="653"/>
      <c r="C817" s="653"/>
      <c r="D817" s="653"/>
      <c r="E817" s="653"/>
      <c r="F817" s="653"/>
      <c r="G817" s="1243"/>
      <c r="H817" s="653"/>
      <c r="I817" s="653"/>
      <c r="J817" s="653"/>
      <c r="K817" s="653"/>
      <c r="L817" s="653"/>
      <c r="M817" s="653"/>
      <c r="N817" s="653"/>
      <c r="O817" s="653"/>
      <c r="P817" s="653"/>
      <c r="Q817" s="653"/>
      <c r="R817" s="653"/>
      <c r="S817" s="653"/>
      <c r="T817" s="653"/>
      <c r="U817" s="653"/>
    </row>
    <row r="818" spans="1:21" x14ac:dyDescent="0.25">
      <c r="A818" s="653"/>
      <c r="B818" s="653"/>
      <c r="C818" s="653"/>
      <c r="D818" s="653"/>
      <c r="E818" s="653"/>
      <c r="F818" s="653"/>
      <c r="G818" s="1243"/>
      <c r="H818" s="653"/>
      <c r="I818" s="653"/>
      <c r="J818" s="653"/>
      <c r="K818" s="653"/>
      <c r="L818" s="653"/>
      <c r="M818" s="653"/>
      <c r="N818" s="653"/>
      <c r="O818" s="653"/>
      <c r="P818" s="653"/>
      <c r="Q818" s="653"/>
      <c r="R818" s="653"/>
      <c r="S818" s="653"/>
      <c r="T818" s="653"/>
      <c r="U818" s="653"/>
    </row>
    <row r="819" spans="1:21" x14ac:dyDescent="0.25">
      <c r="A819" s="653"/>
      <c r="B819" s="653"/>
      <c r="C819" s="653"/>
      <c r="D819" s="653"/>
      <c r="E819" s="653"/>
      <c r="F819" s="653"/>
      <c r="G819" s="1243"/>
      <c r="H819" s="653"/>
      <c r="I819" s="653"/>
      <c r="J819" s="653"/>
      <c r="K819" s="653"/>
      <c r="L819" s="653"/>
      <c r="M819" s="653"/>
      <c r="N819" s="653"/>
      <c r="O819" s="653"/>
      <c r="P819" s="653"/>
      <c r="Q819" s="653"/>
      <c r="R819" s="653"/>
      <c r="S819" s="653"/>
      <c r="T819" s="653"/>
      <c r="U819" s="653"/>
    </row>
    <row r="820" spans="1:21" x14ac:dyDescent="0.25">
      <c r="A820" s="653"/>
      <c r="B820" s="653"/>
      <c r="C820" s="653"/>
      <c r="D820" s="653"/>
      <c r="E820" s="653"/>
      <c r="F820" s="653"/>
      <c r="G820" s="1243"/>
      <c r="H820" s="653"/>
      <c r="I820" s="653"/>
      <c r="J820" s="653"/>
      <c r="K820" s="653"/>
      <c r="L820" s="653"/>
      <c r="M820" s="653"/>
      <c r="N820" s="653"/>
      <c r="O820" s="653"/>
      <c r="P820" s="653"/>
      <c r="Q820" s="653"/>
      <c r="R820" s="653"/>
      <c r="S820" s="653"/>
      <c r="T820" s="653"/>
      <c r="U820" s="653"/>
    </row>
    <row r="821" spans="1:21" x14ac:dyDescent="0.25">
      <c r="A821" s="653"/>
      <c r="B821" s="653"/>
      <c r="C821" s="653"/>
      <c r="D821" s="653"/>
      <c r="E821" s="653"/>
      <c r="F821" s="653"/>
      <c r="G821" s="1243"/>
      <c r="H821" s="653"/>
      <c r="I821" s="653"/>
      <c r="J821" s="653"/>
      <c r="K821" s="653"/>
      <c r="L821" s="653"/>
      <c r="M821" s="653"/>
      <c r="N821" s="653"/>
      <c r="O821" s="653"/>
      <c r="P821" s="653"/>
      <c r="Q821" s="653"/>
      <c r="R821" s="653"/>
      <c r="S821" s="653"/>
      <c r="T821" s="653"/>
      <c r="U821" s="653"/>
    </row>
    <row r="822" spans="1:21" x14ac:dyDescent="0.25">
      <c r="A822" s="653"/>
      <c r="B822" s="653"/>
      <c r="C822" s="653"/>
      <c r="D822" s="653"/>
      <c r="E822" s="653"/>
      <c r="F822" s="653"/>
      <c r="G822" s="1243"/>
      <c r="H822" s="653"/>
      <c r="I822" s="653"/>
      <c r="J822" s="653"/>
      <c r="K822" s="653"/>
      <c r="L822" s="653"/>
      <c r="M822" s="653"/>
      <c r="N822" s="653"/>
      <c r="O822" s="653"/>
      <c r="P822" s="653"/>
      <c r="Q822" s="653"/>
      <c r="R822" s="653"/>
      <c r="S822" s="653"/>
      <c r="T822" s="653"/>
      <c r="U822" s="653"/>
    </row>
    <row r="823" spans="1:21" x14ac:dyDescent="0.25">
      <c r="A823" s="653"/>
      <c r="B823" s="653"/>
      <c r="C823" s="653"/>
      <c r="D823" s="653"/>
      <c r="E823" s="653"/>
      <c r="F823" s="653"/>
      <c r="G823" s="1243"/>
      <c r="H823" s="653"/>
      <c r="I823" s="653"/>
      <c r="J823" s="653"/>
      <c r="K823" s="653"/>
      <c r="L823" s="653"/>
      <c r="M823" s="653"/>
      <c r="N823" s="653"/>
      <c r="O823" s="653"/>
      <c r="P823" s="653"/>
      <c r="Q823" s="653"/>
      <c r="R823" s="653"/>
      <c r="S823" s="653"/>
      <c r="T823" s="653"/>
      <c r="U823" s="653"/>
    </row>
    <row r="824" spans="1:21" x14ac:dyDescent="0.25">
      <c r="A824" s="653"/>
      <c r="B824" s="653"/>
      <c r="C824" s="653"/>
      <c r="D824" s="653"/>
      <c r="E824" s="653"/>
      <c r="F824" s="653"/>
      <c r="G824" s="1243"/>
      <c r="H824" s="653"/>
      <c r="I824" s="653"/>
      <c r="J824" s="653"/>
      <c r="K824" s="653"/>
      <c r="L824" s="653"/>
      <c r="M824" s="653"/>
      <c r="N824" s="653"/>
      <c r="O824" s="653"/>
      <c r="P824" s="653"/>
      <c r="Q824" s="653"/>
      <c r="R824" s="653"/>
      <c r="S824" s="653"/>
      <c r="T824" s="653"/>
      <c r="U824" s="653"/>
    </row>
    <row r="825" spans="1:21" x14ac:dyDescent="0.25">
      <c r="A825" s="653"/>
      <c r="B825" s="653"/>
      <c r="C825" s="653"/>
      <c r="D825" s="653"/>
      <c r="E825" s="653"/>
      <c r="F825" s="653"/>
      <c r="G825" s="1243"/>
      <c r="H825" s="653"/>
      <c r="I825" s="653"/>
      <c r="J825" s="653"/>
      <c r="K825" s="653"/>
      <c r="L825" s="653"/>
      <c r="M825" s="653"/>
      <c r="N825" s="653"/>
      <c r="O825" s="653"/>
      <c r="P825" s="653"/>
      <c r="Q825" s="653"/>
      <c r="R825" s="653"/>
      <c r="S825" s="653"/>
      <c r="T825" s="653"/>
      <c r="U825" s="653"/>
    </row>
    <row r="826" spans="1:21" x14ac:dyDescent="0.25">
      <c r="A826" s="653"/>
      <c r="B826" s="653"/>
      <c r="C826" s="653"/>
      <c r="D826" s="653"/>
      <c r="E826" s="653"/>
      <c r="F826" s="653"/>
      <c r="G826" s="1243"/>
      <c r="H826" s="653"/>
      <c r="I826" s="653"/>
      <c r="J826" s="653"/>
      <c r="K826" s="653"/>
      <c r="L826" s="653"/>
      <c r="M826" s="653"/>
      <c r="N826" s="653"/>
      <c r="O826" s="653"/>
      <c r="P826" s="653"/>
      <c r="Q826" s="653"/>
      <c r="R826" s="653"/>
      <c r="S826" s="653"/>
      <c r="T826" s="653"/>
      <c r="U826" s="653"/>
    </row>
    <row r="827" spans="1:21" x14ac:dyDescent="0.25">
      <c r="A827" s="653"/>
      <c r="B827" s="653"/>
      <c r="C827" s="653"/>
      <c r="D827" s="653"/>
      <c r="E827" s="653"/>
      <c r="F827" s="653"/>
      <c r="G827" s="1243"/>
      <c r="H827" s="653"/>
      <c r="I827" s="653"/>
      <c r="J827" s="653"/>
      <c r="K827" s="653"/>
      <c r="L827" s="653"/>
      <c r="M827" s="653"/>
      <c r="N827" s="653"/>
      <c r="O827" s="653"/>
      <c r="P827" s="653"/>
      <c r="Q827" s="653"/>
      <c r="R827" s="653"/>
      <c r="S827" s="653"/>
      <c r="T827" s="653"/>
      <c r="U827" s="653"/>
    </row>
    <row r="828" spans="1:21" x14ac:dyDescent="0.25">
      <c r="A828" s="653"/>
      <c r="B828" s="653"/>
      <c r="C828" s="653"/>
      <c r="D828" s="653"/>
      <c r="E828" s="653"/>
      <c r="F828" s="653"/>
      <c r="G828" s="1243"/>
      <c r="H828" s="653"/>
      <c r="I828" s="653"/>
      <c r="J828" s="653"/>
      <c r="K828" s="653"/>
      <c r="L828" s="653"/>
      <c r="M828" s="653"/>
      <c r="N828" s="653"/>
      <c r="O828" s="653"/>
      <c r="P828" s="653"/>
      <c r="Q828" s="653"/>
      <c r="R828" s="653"/>
      <c r="S828" s="653"/>
      <c r="T828" s="653"/>
      <c r="U828" s="653"/>
    </row>
    <row r="829" spans="1:21" x14ac:dyDescent="0.25">
      <c r="A829" s="653"/>
      <c r="B829" s="653"/>
      <c r="C829" s="653"/>
      <c r="D829" s="653"/>
      <c r="E829" s="653"/>
      <c r="F829" s="653"/>
      <c r="G829" s="1243"/>
      <c r="H829" s="653"/>
      <c r="I829" s="653"/>
      <c r="J829" s="653"/>
      <c r="K829" s="653"/>
      <c r="L829" s="653"/>
      <c r="M829" s="653"/>
      <c r="N829" s="653"/>
      <c r="O829" s="653"/>
      <c r="P829" s="653"/>
      <c r="Q829" s="653"/>
      <c r="R829" s="653"/>
      <c r="S829" s="653"/>
      <c r="T829" s="653"/>
      <c r="U829" s="653"/>
    </row>
    <row r="830" spans="1:21" x14ac:dyDescent="0.25">
      <c r="A830" s="653"/>
      <c r="B830" s="653"/>
      <c r="C830" s="653"/>
      <c r="D830" s="653"/>
      <c r="E830" s="653"/>
      <c r="F830" s="653"/>
      <c r="G830" s="1243"/>
      <c r="H830" s="653"/>
      <c r="I830" s="653"/>
      <c r="J830" s="653"/>
      <c r="K830" s="653"/>
      <c r="L830" s="653"/>
      <c r="M830" s="653"/>
      <c r="N830" s="653"/>
      <c r="O830" s="653"/>
      <c r="P830" s="653"/>
      <c r="Q830" s="653"/>
      <c r="R830" s="653"/>
      <c r="S830" s="653"/>
      <c r="T830" s="653"/>
      <c r="U830" s="653"/>
    </row>
    <row r="831" spans="1:21" x14ac:dyDescent="0.25">
      <c r="A831" s="653"/>
      <c r="B831" s="653"/>
      <c r="C831" s="653"/>
      <c r="D831" s="653"/>
      <c r="E831" s="653"/>
      <c r="F831" s="653"/>
      <c r="G831" s="1243"/>
      <c r="H831" s="653"/>
      <c r="I831" s="653"/>
      <c r="J831" s="653"/>
      <c r="K831" s="653"/>
      <c r="L831" s="653"/>
      <c r="M831" s="653"/>
      <c r="N831" s="653"/>
      <c r="O831" s="653"/>
      <c r="P831" s="653"/>
      <c r="Q831" s="653"/>
      <c r="R831" s="653"/>
      <c r="S831" s="653"/>
      <c r="T831" s="653"/>
      <c r="U831" s="653"/>
    </row>
    <row r="832" spans="1:21" x14ac:dyDescent="0.25">
      <c r="A832" s="653"/>
      <c r="B832" s="653"/>
      <c r="C832" s="653"/>
      <c r="D832" s="653"/>
      <c r="E832" s="653"/>
      <c r="F832" s="653"/>
      <c r="G832" s="1243"/>
      <c r="H832" s="653"/>
      <c r="I832" s="653"/>
      <c r="J832" s="653"/>
      <c r="K832" s="653"/>
      <c r="L832" s="653"/>
      <c r="M832" s="653"/>
      <c r="N832" s="653"/>
      <c r="O832" s="653"/>
      <c r="P832" s="653"/>
      <c r="Q832" s="653"/>
      <c r="R832" s="653"/>
      <c r="S832" s="653"/>
      <c r="T832" s="653"/>
      <c r="U832" s="653"/>
    </row>
    <row r="833" spans="1:21" x14ac:dyDescent="0.25">
      <c r="A833" s="653"/>
      <c r="B833" s="653"/>
      <c r="C833" s="653"/>
      <c r="D833" s="653"/>
      <c r="E833" s="653"/>
      <c r="F833" s="653"/>
      <c r="G833" s="1243"/>
      <c r="H833" s="653"/>
      <c r="I833" s="653"/>
      <c r="J833" s="653"/>
      <c r="K833" s="653"/>
      <c r="L833" s="653"/>
      <c r="M833" s="653"/>
      <c r="N833" s="653"/>
      <c r="O833" s="653"/>
      <c r="P833" s="653"/>
      <c r="Q833" s="653"/>
      <c r="R833" s="653"/>
      <c r="S833" s="653"/>
      <c r="T833" s="653"/>
      <c r="U833" s="653"/>
    </row>
    <row r="834" spans="1:21" x14ac:dyDescent="0.25">
      <c r="A834" s="653"/>
      <c r="B834" s="653"/>
      <c r="C834" s="653"/>
      <c r="D834" s="653"/>
      <c r="E834" s="653"/>
      <c r="F834" s="653"/>
      <c r="G834" s="1243"/>
      <c r="H834" s="653"/>
      <c r="I834" s="653"/>
      <c r="J834" s="653"/>
      <c r="K834" s="653"/>
      <c r="L834" s="653"/>
      <c r="M834" s="653"/>
      <c r="N834" s="653"/>
      <c r="O834" s="653"/>
      <c r="P834" s="653"/>
      <c r="Q834" s="653"/>
      <c r="R834" s="653"/>
      <c r="S834" s="653"/>
      <c r="T834" s="653"/>
      <c r="U834" s="653"/>
    </row>
    <row r="835" spans="1:21" x14ac:dyDescent="0.25">
      <c r="A835" s="653"/>
      <c r="B835" s="653"/>
      <c r="C835" s="653"/>
      <c r="D835" s="653"/>
      <c r="E835" s="653"/>
      <c r="F835" s="653"/>
      <c r="G835" s="1243"/>
      <c r="H835" s="653"/>
      <c r="I835" s="653"/>
      <c r="J835" s="653"/>
      <c r="K835" s="653"/>
      <c r="L835" s="653"/>
      <c r="M835" s="653"/>
      <c r="N835" s="653"/>
      <c r="O835" s="653"/>
      <c r="P835" s="653"/>
      <c r="Q835" s="653"/>
      <c r="R835" s="653"/>
      <c r="S835" s="653"/>
      <c r="T835" s="653"/>
      <c r="U835" s="653"/>
    </row>
    <row r="836" spans="1:21" x14ac:dyDescent="0.25">
      <c r="A836" s="653"/>
      <c r="B836" s="653"/>
      <c r="C836" s="653"/>
      <c r="D836" s="653"/>
      <c r="E836" s="653"/>
      <c r="F836" s="653"/>
      <c r="G836" s="1243"/>
      <c r="H836" s="653"/>
      <c r="I836" s="653"/>
      <c r="J836" s="653"/>
      <c r="K836" s="653"/>
      <c r="L836" s="653"/>
      <c r="M836" s="653"/>
      <c r="N836" s="653"/>
      <c r="O836" s="653"/>
      <c r="P836" s="653"/>
      <c r="Q836" s="653"/>
      <c r="R836" s="653"/>
      <c r="S836" s="653"/>
      <c r="T836" s="653"/>
      <c r="U836" s="653"/>
    </row>
    <row r="837" spans="1:21" x14ac:dyDescent="0.25">
      <c r="A837" s="653"/>
      <c r="B837" s="653"/>
      <c r="C837" s="653"/>
      <c r="D837" s="653"/>
      <c r="E837" s="653"/>
      <c r="F837" s="653"/>
      <c r="G837" s="1243"/>
      <c r="H837" s="653"/>
      <c r="I837" s="653"/>
      <c r="J837" s="653"/>
      <c r="K837" s="653"/>
      <c r="L837" s="653"/>
      <c r="M837" s="653"/>
      <c r="N837" s="653"/>
      <c r="O837" s="653"/>
      <c r="P837" s="653"/>
      <c r="Q837" s="653"/>
      <c r="R837" s="653"/>
      <c r="S837" s="653"/>
      <c r="T837" s="653"/>
      <c r="U837" s="653"/>
    </row>
    <row r="838" spans="1:21" x14ac:dyDescent="0.25">
      <c r="A838" s="653"/>
      <c r="B838" s="653"/>
      <c r="C838" s="653"/>
      <c r="D838" s="653"/>
      <c r="E838" s="653"/>
      <c r="F838" s="653"/>
      <c r="G838" s="1243"/>
      <c r="H838" s="653"/>
      <c r="I838" s="653"/>
      <c r="J838" s="653"/>
      <c r="K838" s="653"/>
      <c r="L838" s="653"/>
      <c r="M838" s="653"/>
      <c r="N838" s="653"/>
      <c r="O838" s="653"/>
      <c r="P838" s="653"/>
      <c r="Q838" s="653"/>
      <c r="R838" s="653"/>
      <c r="S838" s="653"/>
      <c r="T838" s="653"/>
      <c r="U838" s="653"/>
    </row>
    <row r="839" spans="1:21" x14ac:dyDescent="0.25">
      <c r="A839" s="653"/>
      <c r="B839" s="653"/>
      <c r="C839" s="653"/>
      <c r="D839" s="653"/>
      <c r="E839" s="653"/>
      <c r="F839" s="653"/>
      <c r="G839" s="1243"/>
      <c r="H839" s="653"/>
      <c r="I839" s="653"/>
      <c r="J839" s="653"/>
      <c r="K839" s="653"/>
      <c r="L839" s="653"/>
      <c r="M839" s="653"/>
      <c r="N839" s="653"/>
      <c r="O839" s="653"/>
      <c r="P839" s="653"/>
      <c r="Q839" s="653"/>
      <c r="R839" s="653"/>
      <c r="S839" s="653"/>
      <c r="T839" s="653"/>
      <c r="U839" s="653"/>
    </row>
    <row r="840" spans="1:21" x14ac:dyDescent="0.25">
      <c r="A840" s="653"/>
      <c r="B840" s="653"/>
      <c r="C840" s="653"/>
      <c r="D840" s="653"/>
      <c r="E840" s="653"/>
      <c r="F840" s="653"/>
      <c r="G840" s="1243"/>
      <c r="H840" s="653"/>
      <c r="I840" s="653"/>
      <c r="J840" s="653"/>
      <c r="K840" s="653"/>
      <c r="L840" s="653"/>
      <c r="M840" s="653"/>
      <c r="N840" s="653"/>
      <c r="O840" s="653"/>
      <c r="P840" s="653"/>
      <c r="Q840" s="653"/>
      <c r="R840" s="653"/>
      <c r="S840" s="653"/>
      <c r="T840" s="653"/>
      <c r="U840" s="653"/>
    </row>
    <row r="841" spans="1:21" x14ac:dyDescent="0.25">
      <c r="A841" s="653"/>
      <c r="B841" s="653"/>
      <c r="C841" s="653"/>
      <c r="D841" s="653"/>
      <c r="E841" s="653"/>
      <c r="F841" s="653"/>
      <c r="G841" s="1243"/>
      <c r="H841" s="653"/>
      <c r="I841" s="653"/>
      <c r="J841" s="653"/>
      <c r="K841" s="653"/>
      <c r="L841" s="653"/>
      <c r="M841" s="653"/>
      <c r="N841" s="653"/>
      <c r="O841" s="653"/>
      <c r="P841" s="653"/>
      <c r="Q841" s="653"/>
      <c r="R841" s="653"/>
      <c r="S841" s="653"/>
      <c r="T841" s="653"/>
      <c r="U841" s="653"/>
    </row>
    <row r="842" spans="1:21" x14ac:dyDescent="0.25">
      <c r="A842" s="653"/>
      <c r="B842" s="653"/>
      <c r="C842" s="653"/>
      <c r="D842" s="653"/>
      <c r="E842" s="653"/>
      <c r="F842" s="653"/>
      <c r="G842" s="1243"/>
      <c r="H842" s="653"/>
      <c r="I842" s="653"/>
      <c r="J842" s="653"/>
      <c r="K842" s="653"/>
      <c r="L842" s="653"/>
      <c r="M842" s="653"/>
      <c r="N842" s="653"/>
      <c r="O842" s="653"/>
      <c r="P842" s="653"/>
      <c r="Q842" s="653"/>
      <c r="R842" s="653"/>
      <c r="S842" s="653"/>
      <c r="T842" s="653"/>
      <c r="U842" s="653"/>
    </row>
    <row r="843" spans="1:21" x14ac:dyDescent="0.25">
      <c r="A843" s="653"/>
      <c r="B843" s="653"/>
      <c r="C843" s="653"/>
      <c r="D843" s="653"/>
      <c r="E843" s="653"/>
      <c r="F843" s="653"/>
      <c r="G843" s="1243"/>
      <c r="H843" s="653"/>
      <c r="I843" s="653"/>
      <c r="J843" s="653"/>
      <c r="K843" s="653"/>
      <c r="L843" s="653"/>
      <c r="M843" s="653"/>
      <c r="N843" s="653"/>
      <c r="O843" s="653"/>
      <c r="P843" s="653"/>
      <c r="Q843" s="653"/>
      <c r="R843" s="653"/>
      <c r="S843" s="653"/>
      <c r="T843" s="653"/>
      <c r="U843" s="653"/>
    </row>
    <row r="844" spans="1:21" x14ac:dyDescent="0.25">
      <c r="A844" s="653"/>
      <c r="B844" s="653"/>
      <c r="C844" s="653"/>
      <c r="D844" s="653"/>
      <c r="E844" s="653"/>
      <c r="F844" s="653"/>
      <c r="G844" s="1243"/>
      <c r="H844" s="653"/>
      <c r="I844" s="653"/>
      <c r="J844" s="653"/>
      <c r="K844" s="653"/>
      <c r="L844" s="653"/>
      <c r="M844" s="653"/>
      <c r="N844" s="653"/>
      <c r="O844" s="653"/>
      <c r="P844" s="653"/>
      <c r="Q844" s="653"/>
      <c r="R844" s="653"/>
      <c r="S844" s="653"/>
      <c r="T844" s="653"/>
      <c r="U844" s="653"/>
    </row>
    <row r="845" spans="1:21" x14ac:dyDescent="0.25">
      <c r="A845" s="653"/>
      <c r="B845" s="653"/>
      <c r="C845" s="653"/>
      <c r="D845" s="653"/>
      <c r="E845" s="653"/>
      <c r="F845" s="653"/>
      <c r="G845" s="1243"/>
      <c r="H845" s="653"/>
      <c r="I845" s="653"/>
      <c r="J845" s="653"/>
      <c r="K845" s="653"/>
      <c r="L845" s="653"/>
      <c r="M845" s="653"/>
      <c r="N845" s="653"/>
      <c r="O845" s="653"/>
      <c r="P845" s="653"/>
      <c r="Q845" s="653"/>
      <c r="R845" s="653"/>
      <c r="S845" s="653"/>
      <c r="T845" s="653"/>
      <c r="U845" s="653"/>
    </row>
    <row r="846" spans="1:21" x14ac:dyDescent="0.25">
      <c r="A846" s="653"/>
      <c r="B846" s="653"/>
      <c r="C846" s="653"/>
      <c r="D846" s="653"/>
      <c r="E846" s="653"/>
      <c r="F846" s="653"/>
      <c r="G846" s="1243"/>
      <c r="H846" s="653"/>
      <c r="I846" s="653"/>
      <c r="J846" s="653"/>
      <c r="K846" s="653"/>
      <c r="L846" s="653"/>
      <c r="M846" s="653"/>
      <c r="N846" s="653"/>
      <c r="O846" s="653"/>
      <c r="P846" s="653"/>
      <c r="Q846" s="653"/>
      <c r="R846" s="653"/>
      <c r="S846" s="653"/>
      <c r="T846" s="653"/>
      <c r="U846" s="653"/>
    </row>
    <row r="847" spans="1:21" x14ac:dyDescent="0.25">
      <c r="A847" s="653"/>
      <c r="B847" s="653"/>
      <c r="C847" s="653"/>
      <c r="D847" s="653"/>
      <c r="E847" s="653"/>
      <c r="F847" s="653"/>
      <c r="G847" s="1243"/>
      <c r="H847" s="653"/>
      <c r="I847" s="653"/>
      <c r="J847" s="653"/>
      <c r="K847" s="653"/>
      <c r="L847" s="653"/>
      <c r="M847" s="653"/>
      <c r="N847" s="653"/>
      <c r="O847" s="653"/>
      <c r="P847" s="653"/>
      <c r="Q847" s="653"/>
      <c r="R847" s="653"/>
      <c r="S847" s="653"/>
      <c r="T847" s="653"/>
      <c r="U847" s="653"/>
    </row>
    <row r="848" spans="1:21" x14ac:dyDescent="0.25">
      <c r="A848" s="653"/>
      <c r="B848" s="653"/>
      <c r="C848" s="653"/>
      <c r="D848" s="653"/>
      <c r="E848" s="653"/>
      <c r="F848" s="653"/>
      <c r="G848" s="1243"/>
      <c r="H848" s="653"/>
      <c r="I848" s="653"/>
      <c r="J848" s="653"/>
      <c r="K848" s="653"/>
      <c r="L848" s="653"/>
      <c r="M848" s="653"/>
      <c r="N848" s="653"/>
      <c r="O848" s="653"/>
      <c r="P848" s="653"/>
      <c r="Q848" s="653"/>
      <c r="R848" s="653"/>
      <c r="S848" s="653"/>
      <c r="T848" s="653"/>
      <c r="U848" s="653"/>
    </row>
    <row r="849" spans="1:21" x14ac:dyDescent="0.25">
      <c r="A849" s="653"/>
      <c r="B849" s="653"/>
      <c r="C849" s="653"/>
      <c r="D849" s="653"/>
      <c r="E849" s="653"/>
      <c r="F849" s="653"/>
      <c r="G849" s="1243"/>
      <c r="H849" s="653"/>
      <c r="I849" s="653"/>
      <c r="J849" s="653"/>
      <c r="K849" s="653"/>
      <c r="L849" s="653"/>
      <c r="M849" s="653"/>
      <c r="N849" s="653"/>
      <c r="O849" s="653"/>
      <c r="P849" s="653"/>
      <c r="Q849" s="653"/>
      <c r="R849" s="653"/>
      <c r="S849" s="653"/>
      <c r="T849" s="653"/>
      <c r="U849" s="653"/>
    </row>
    <row r="850" spans="1:21" x14ac:dyDescent="0.25">
      <c r="A850" s="653"/>
      <c r="B850" s="653"/>
      <c r="C850" s="653"/>
      <c r="D850" s="653"/>
      <c r="E850" s="653"/>
      <c r="F850" s="653"/>
      <c r="G850" s="1243"/>
      <c r="H850" s="653"/>
      <c r="I850" s="653"/>
      <c r="J850" s="653"/>
      <c r="K850" s="653"/>
      <c r="L850" s="653"/>
      <c r="M850" s="653"/>
      <c r="N850" s="653"/>
      <c r="O850" s="653"/>
      <c r="P850" s="653"/>
      <c r="Q850" s="653"/>
      <c r="R850" s="653"/>
      <c r="S850" s="653"/>
      <c r="T850" s="653"/>
      <c r="U850" s="653"/>
    </row>
    <row r="851" spans="1:21" x14ac:dyDescent="0.25">
      <c r="A851" s="653"/>
      <c r="B851" s="653"/>
      <c r="C851" s="653"/>
      <c r="D851" s="653"/>
      <c r="E851" s="653"/>
      <c r="F851" s="653"/>
      <c r="G851" s="1243"/>
      <c r="H851" s="653"/>
      <c r="I851" s="653"/>
      <c r="J851" s="653"/>
      <c r="K851" s="653"/>
      <c r="L851" s="653"/>
      <c r="M851" s="653"/>
      <c r="N851" s="653"/>
      <c r="O851" s="653"/>
      <c r="P851" s="653"/>
      <c r="Q851" s="653"/>
      <c r="R851" s="653"/>
      <c r="S851" s="653"/>
      <c r="T851" s="653"/>
      <c r="U851" s="653"/>
    </row>
    <row r="852" spans="1:21" x14ac:dyDescent="0.25">
      <c r="A852" s="653"/>
      <c r="B852" s="653"/>
      <c r="C852" s="653"/>
      <c r="D852" s="653"/>
      <c r="E852" s="653"/>
      <c r="F852" s="653"/>
      <c r="G852" s="1243"/>
      <c r="H852" s="653"/>
      <c r="I852" s="653"/>
      <c r="J852" s="653"/>
      <c r="K852" s="653"/>
      <c r="L852" s="653"/>
      <c r="M852" s="653"/>
      <c r="N852" s="653"/>
      <c r="O852" s="653"/>
      <c r="P852" s="653"/>
      <c r="Q852" s="653"/>
      <c r="R852" s="653"/>
      <c r="S852" s="653"/>
      <c r="T852" s="653"/>
      <c r="U852" s="653"/>
    </row>
    <row r="853" spans="1:21" x14ac:dyDescent="0.25">
      <c r="A853" s="653"/>
      <c r="B853" s="653"/>
      <c r="C853" s="653"/>
      <c r="D853" s="653"/>
      <c r="E853" s="653"/>
      <c r="F853" s="653"/>
      <c r="G853" s="1243"/>
      <c r="H853" s="653"/>
      <c r="I853" s="653"/>
      <c r="J853" s="653"/>
      <c r="K853" s="653"/>
      <c r="L853" s="653"/>
      <c r="M853" s="653"/>
      <c r="N853" s="653"/>
      <c r="O853" s="653"/>
      <c r="P853" s="653"/>
      <c r="Q853" s="653"/>
      <c r="R853" s="653"/>
      <c r="S853" s="653"/>
      <c r="T853" s="653"/>
      <c r="U853" s="653"/>
    </row>
    <row r="854" spans="1:21" x14ac:dyDescent="0.25">
      <c r="A854" s="653"/>
      <c r="B854" s="653"/>
      <c r="C854" s="653"/>
      <c r="D854" s="653"/>
      <c r="E854" s="653"/>
      <c r="F854" s="653"/>
      <c r="G854" s="1243"/>
      <c r="H854" s="653"/>
      <c r="I854" s="653"/>
      <c r="J854" s="653"/>
      <c r="K854" s="653"/>
      <c r="L854" s="653"/>
      <c r="M854" s="653"/>
      <c r="N854" s="653"/>
      <c r="O854" s="653"/>
      <c r="P854" s="653"/>
      <c r="Q854" s="653"/>
      <c r="R854" s="653"/>
      <c r="S854" s="653"/>
      <c r="T854" s="653"/>
      <c r="U854" s="653"/>
    </row>
    <row r="855" spans="1:21" x14ac:dyDescent="0.25">
      <c r="A855" s="653"/>
      <c r="B855" s="653"/>
      <c r="C855" s="653"/>
      <c r="D855" s="653"/>
      <c r="E855" s="653"/>
      <c r="F855" s="653"/>
      <c r="G855" s="1243"/>
      <c r="H855" s="653"/>
      <c r="I855" s="653"/>
      <c r="J855" s="653"/>
      <c r="K855" s="653"/>
      <c r="L855" s="653"/>
      <c r="M855" s="653"/>
      <c r="N855" s="653"/>
      <c r="O855" s="653"/>
      <c r="P855" s="653"/>
      <c r="Q855" s="653"/>
      <c r="R855" s="653"/>
      <c r="S855" s="653"/>
      <c r="T855" s="653"/>
      <c r="U855" s="653"/>
    </row>
    <row r="856" spans="1:21" x14ac:dyDescent="0.25">
      <c r="A856" s="653"/>
      <c r="B856" s="653"/>
      <c r="C856" s="653"/>
      <c r="D856" s="653"/>
      <c r="E856" s="653"/>
      <c r="F856" s="653"/>
      <c r="G856" s="1243"/>
      <c r="H856" s="653"/>
      <c r="I856" s="653"/>
      <c r="J856" s="653"/>
      <c r="K856" s="653"/>
      <c r="L856" s="653"/>
      <c r="M856" s="653"/>
      <c r="N856" s="653"/>
      <c r="O856" s="653"/>
      <c r="P856" s="653"/>
      <c r="Q856" s="653"/>
      <c r="R856" s="653"/>
      <c r="S856" s="653"/>
      <c r="T856" s="653"/>
      <c r="U856" s="653"/>
    </row>
    <row r="857" spans="1:21" x14ac:dyDescent="0.25">
      <c r="A857" s="653"/>
      <c r="B857" s="653"/>
      <c r="C857" s="653"/>
      <c r="D857" s="653"/>
      <c r="E857" s="653"/>
      <c r="F857" s="653"/>
      <c r="G857" s="1243"/>
      <c r="H857" s="653"/>
      <c r="I857" s="653"/>
      <c r="J857" s="653"/>
      <c r="K857" s="653"/>
      <c r="L857" s="653"/>
      <c r="M857" s="653"/>
      <c r="N857" s="653"/>
      <c r="O857" s="653"/>
      <c r="P857" s="653"/>
      <c r="Q857" s="653"/>
      <c r="R857" s="653"/>
      <c r="S857" s="653"/>
      <c r="T857" s="653"/>
      <c r="U857" s="653"/>
    </row>
    <row r="858" spans="1:21" x14ac:dyDescent="0.25">
      <c r="A858" s="653"/>
      <c r="B858" s="653"/>
      <c r="C858" s="653"/>
      <c r="D858" s="653"/>
      <c r="E858" s="653"/>
      <c r="F858" s="653"/>
      <c r="G858" s="1243"/>
      <c r="H858" s="653"/>
      <c r="I858" s="653"/>
      <c r="J858" s="653"/>
      <c r="K858" s="653"/>
      <c r="L858" s="653"/>
      <c r="M858" s="653"/>
      <c r="N858" s="653"/>
      <c r="O858" s="653"/>
      <c r="P858" s="653"/>
      <c r="Q858" s="653"/>
      <c r="R858" s="653"/>
      <c r="S858" s="653"/>
      <c r="T858" s="653"/>
      <c r="U858" s="653"/>
    </row>
    <row r="859" spans="1:21" x14ac:dyDescent="0.25">
      <c r="A859" s="653"/>
      <c r="B859" s="653"/>
      <c r="C859" s="653"/>
      <c r="D859" s="653"/>
      <c r="E859" s="653"/>
      <c r="F859" s="653"/>
      <c r="G859" s="1243"/>
      <c r="H859" s="653"/>
      <c r="I859" s="653"/>
      <c r="J859" s="653"/>
      <c r="K859" s="653"/>
      <c r="L859" s="653"/>
      <c r="M859" s="653"/>
      <c r="N859" s="653"/>
      <c r="O859" s="653"/>
      <c r="P859" s="653"/>
      <c r="Q859" s="653"/>
      <c r="R859" s="653"/>
      <c r="S859" s="653"/>
      <c r="T859" s="653"/>
      <c r="U859" s="653"/>
    </row>
    <row r="860" spans="1:21" x14ac:dyDescent="0.25">
      <c r="A860" s="653"/>
      <c r="B860" s="653"/>
      <c r="C860" s="653"/>
      <c r="D860" s="653"/>
      <c r="E860" s="653"/>
      <c r="F860" s="653"/>
      <c r="G860" s="1243"/>
      <c r="H860" s="653"/>
      <c r="I860" s="653"/>
      <c r="J860" s="653"/>
      <c r="K860" s="653"/>
      <c r="L860" s="653"/>
      <c r="M860" s="653"/>
      <c r="N860" s="653"/>
      <c r="O860" s="653"/>
      <c r="P860" s="653"/>
      <c r="Q860" s="653"/>
      <c r="R860" s="653"/>
      <c r="S860" s="653"/>
      <c r="T860" s="653"/>
      <c r="U860" s="653"/>
    </row>
    <row r="861" spans="1:21" x14ac:dyDescent="0.25">
      <c r="A861" s="653"/>
      <c r="B861" s="653"/>
      <c r="C861" s="653"/>
      <c r="D861" s="653"/>
      <c r="E861" s="653"/>
      <c r="F861" s="653"/>
      <c r="G861" s="1243"/>
      <c r="H861" s="653"/>
      <c r="I861" s="653"/>
      <c r="J861" s="653"/>
      <c r="K861" s="653"/>
      <c r="L861" s="653"/>
      <c r="M861" s="653"/>
      <c r="N861" s="653"/>
      <c r="O861" s="653"/>
      <c r="P861" s="653"/>
      <c r="Q861" s="653"/>
      <c r="R861" s="653"/>
      <c r="S861" s="653"/>
      <c r="T861" s="653"/>
      <c r="U861" s="653"/>
    </row>
    <row r="862" spans="1:21" x14ac:dyDescent="0.25">
      <c r="A862" s="653"/>
      <c r="B862" s="653"/>
      <c r="C862" s="653"/>
      <c r="D862" s="653"/>
      <c r="E862" s="653"/>
      <c r="F862" s="653"/>
      <c r="G862" s="1243"/>
      <c r="H862" s="653"/>
      <c r="I862" s="653"/>
      <c r="J862" s="653"/>
      <c r="K862" s="653"/>
      <c r="L862" s="653"/>
      <c r="M862" s="653"/>
      <c r="N862" s="653"/>
      <c r="O862" s="653"/>
      <c r="P862" s="653"/>
      <c r="Q862" s="653"/>
      <c r="R862" s="653"/>
      <c r="S862" s="653"/>
      <c r="T862" s="653"/>
      <c r="U862" s="653"/>
    </row>
    <row r="863" spans="1:21" x14ac:dyDescent="0.25">
      <c r="A863" s="653"/>
      <c r="B863" s="653"/>
      <c r="C863" s="653"/>
      <c r="D863" s="653"/>
      <c r="E863" s="653"/>
      <c r="F863" s="653"/>
      <c r="G863" s="1243"/>
      <c r="H863" s="653"/>
      <c r="I863" s="653"/>
      <c r="J863" s="653"/>
      <c r="K863" s="653"/>
      <c r="L863" s="653"/>
      <c r="M863" s="653"/>
      <c r="N863" s="653"/>
      <c r="O863" s="653"/>
      <c r="P863" s="653"/>
      <c r="Q863" s="653"/>
      <c r="R863" s="653"/>
      <c r="S863" s="653"/>
      <c r="T863" s="653"/>
      <c r="U863" s="653"/>
    </row>
    <row r="864" spans="1:21" x14ac:dyDescent="0.25">
      <c r="A864" s="653"/>
      <c r="B864" s="653"/>
      <c r="C864" s="653"/>
      <c r="D864" s="653"/>
      <c r="E864" s="653"/>
      <c r="F864" s="653"/>
      <c r="G864" s="1243"/>
      <c r="H864" s="653"/>
      <c r="I864" s="653"/>
      <c r="J864" s="653"/>
      <c r="K864" s="653"/>
      <c r="L864" s="653"/>
      <c r="M864" s="653"/>
      <c r="N864" s="653"/>
      <c r="O864" s="653"/>
      <c r="P864" s="653"/>
      <c r="Q864" s="653"/>
      <c r="R864" s="653"/>
      <c r="S864" s="653"/>
      <c r="T864" s="653"/>
      <c r="U864" s="653"/>
    </row>
    <row r="865" spans="1:21" x14ac:dyDescent="0.25">
      <c r="A865" s="653"/>
      <c r="B865" s="653"/>
      <c r="C865" s="653"/>
      <c r="D865" s="653"/>
      <c r="E865" s="653"/>
      <c r="F865" s="653"/>
      <c r="G865" s="1243"/>
      <c r="H865" s="653"/>
      <c r="I865" s="653"/>
      <c r="J865" s="653"/>
      <c r="K865" s="653"/>
      <c r="L865" s="653"/>
      <c r="M865" s="653"/>
      <c r="N865" s="653"/>
      <c r="O865" s="653"/>
      <c r="P865" s="653"/>
      <c r="Q865" s="653"/>
      <c r="R865" s="653"/>
      <c r="S865" s="653"/>
      <c r="T865" s="653"/>
      <c r="U865" s="653"/>
    </row>
    <row r="866" spans="1:21" x14ac:dyDescent="0.25">
      <c r="A866" s="653"/>
      <c r="B866" s="653"/>
      <c r="C866" s="653"/>
      <c r="D866" s="653"/>
      <c r="E866" s="653"/>
      <c r="F866" s="653"/>
      <c r="G866" s="1243"/>
      <c r="H866" s="653"/>
      <c r="I866" s="653"/>
      <c r="J866" s="653"/>
      <c r="K866" s="653"/>
      <c r="L866" s="653"/>
      <c r="M866" s="653"/>
      <c r="N866" s="653"/>
      <c r="O866" s="653"/>
      <c r="P866" s="653"/>
      <c r="Q866" s="653"/>
      <c r="R866" s="653"/>
      <c r="S866" s="653"/>
      <c r="T866" s="653"/>
      <c r="U866" s="653"/>
    </row>
    <row r="867" spans="1:21" x14ac:dyDescent="0.25">
      <c r="A867" s="653"/>
      <c r="B867" s="653"/>
      <c r="C867" s="653"/>
      <c r="D867" s="653"/>
      <c r="E867" s="653"/>
      <c r="F867" s="653"/>
      <c r="G867" s="1243"/>
      <c r="H867" s="653"/>
      <c r="I867" s="653"/>
      <c r="J867" s="653"/>
      <c r="K867" s="653"/>
      <c r="L867" s="653"/>
      <c r="M867" s="653"/>
      <c r="N867" s="653"/>
      <c r="O867" s="653"/>
      <c r="P867" s="653"/>
      <c r="Q867" s="653"/>
      <c r="R867" s="653"/>
      <c r="S867" s="653"/>
      <c r="T867" s="653"/>
      <c r="U867" s="653"/>
    </row>
    <row r="868" spans="1:21" x14ac:dyDescent="0.25">
      <c r="A868" s="653"/>
      <c r="B868" s="653"/>
      <c r="C868" s="653"/>
      <c r="D868" s="653"/>
      <c r="E868" s="653"/>
      <c r="F868" s="653"/>
      <c r="G868" s="1243"/>
      <c r="H868" s="653"/>
      <c r="I868" s="653"/>
      <c r="J868" s="653"/>
      <c r="K868" s="653"/>
      <c r="L868" s="653"/>
      <c r="M868" s="653"/>
      <c r="N868" s="653"/>
      <c r="O868" s="653"/>
      <c r="P868" s="653"/>
      <c r="Q868" s="653"/>
      <c r="R868" s="653"/>
      <c r="S868" s="653"/>
      <c r="T868" s="653"/>
      <c r="U868" s="653"/>
    </row>
    <row r="869" spans="1:21" x14ac:dyDescent="0.25">
      <c r="A869" s="653"/>
      <c r="B869" s="653"/>
      <c r="C869" s="653"/>
      <c r="D869" s="653"/>
      <c r="E869" s="653"/>
      <c r="F869" s="653"/>
      <c r="G869" s="1243"/>
      <c r="H869" s="653"/>
      <c r="I869" s="653"/>
      <c r="J869" s="653"/>
      <c r="K869" s="653"/>
      <c r="L869" s="653"/>
      <c r="M869" s="653"/>
      <c r="N869" s="653"/>
      <c r="O869" s="653"/>
      <c r="P869" s="653"/>
      <c r="Q869" s="653"/>
      <c r="R869" s="653"/>
      <c r="S869" s="653"/>
      <c r="T869" s="653"/>
      <c r="U869" s="653"/>
    </row>
    <row r="870" spans="1:21" x14ac:dyDescent="0.25">
      <c r="A870" s="653"/>
      <c r="B870" s="653"/>
      <c r="C870" s="653"/>
      <c r="D870" s="653"/>
      <c r="E870" s="653"/>
      <c r="F870" s="653"/>
      <c r="G870" s="1243"/>
      <c r="H870" s="653"/>
      <c r="I870" s="653"/>
      <c r="J870" s="653"/>
      <c r="K870" s="653"/>
      <c r="L870" s="653"/>
      <c r="M870" s="653"/>
      <c r="N870" s="653"/>
      <c r="O870" s="653"/>
      <c r="P870" s="653"/>
      <c r="Q870" s="653"/>
      <c r="R870" s="653"/>
      <c r="S870" s="653"/>
      <c r="T870" s="653"/>
      <c r="U870" s="653"/>
    </row>
    <row r="871" spans="1:21" x14ac:dyDescent="0.25">
      <c r="A871" s="653"/>
      <c r="B871" s="653"/>
      <c r="C871" s="653"/>
      <c r="D871" s="653"/>
      <c r="E871" s="653"/>
      <c r="F871" s="653"/>
      <c r="G871" s="1243"/>
      <c r="H871" s="653"/>
      <c r="I871" s="653"/>
      <c r="J871" s="653"/>
      <c r="K871" s="653"/>
      <c r="L871" s="653"/>
      <c r="M871" s="653"/>
      <c r="N871" s="653"/>
      <c r="O871" s="653"/>
      <c r="P871" s="653"/>
      <c r="Q871" s="653"/>
      <c r="R871" s="653"/>
      <c r="S871" s="653"/>
      <c r="T871" s="653"/>
      <c r="U871" s="653"/>
    </row>
    <row r="872" spans="1:21" x14ac:dyDescent="0.25">
      <c r="A872" s="653"/>
      <c r="B872" s="653"/>
      <c r="C872" s="653"/>
      <c r="D872" s="653"/>
      <c r="E872" s="653"/>
      <c r="F872" s="653"/>
      <c r="G872" s="1243"/>
      <c r="H872" s="653"/>
      <c r="I872" s="653"/>
      <c r="J872" s="653"/>
      <c r="K872" s="653"/>
      <c r="L872" s="653"/>
      <c r="M872" s="653"/>
      <c r="N872" s="653"/>
      <c r="O872" s="653"/>
      <c r="P872" s="653"/>
      <c r="Q872" s="653"/>
      <c r="R872" s="653"/>
      <c r="S872" s="653"/>
      <c r="T872" s="653"/>
      <c r="U872" s="653"/>
    </row>
    <row r="873" spans="1:21" x14ac:dyDescent="0.25">
      <c r="A873" s="653"/>
      <c r="B873" s="653"/>
      <c r="C873" s="653"/>
      <c r="D873" s="653"/>
      <c r="E873" s="653"/>
      <c r="F873" s="653"/>
      <c r="G873" s="1243"/>
      <c r="H873" s="653"/>
      <c r="I873" s="653"/>
      <c r="J873" s="653"/>
      <c r="K873" s="653"/>
      <c r="L873" s="653"/>
      <c r="M873" s="653"/>
      <c r="N873" s="653"/>
      <c r="O873" s="653"/>
      <c r="P873" s="653"/>
      <c r="Q873" s="653"/>
      <c r="R873" s="653"/>
      <c r="S873" s="653"/>
      <c r="T873" s="653"/>
      <c r="U873" s="653"/>
    </row>
    <row r="874" spans="1:21" x14ac:dyDescent="0.25">
      <c r="A874" s="653"/>
      <c r="B874" s="653"/>
      <c r="C874" s="653"/>
      <c r="D874" s="653"/>
      <c r="E874" s="653"/>
      <c r="F874" s="653"/>
      <c r="G874" s="1243"/>
      <c r="H874" s="653"/>
      <c r="I874" s="653"/>
      <c r="J874" s="653"/>
      <c r="K874" s="653"/>
      <c r="L874" s="653"/>
      <c r="M874" s="653"/>
      <c r="N874" s="653"/>
      <c r="O874" s="653"/>
      <c r="P874" s="653"/>
      <c r="Q874" s="653"/>
      <c r="R874" s="653"/>
      <c r="S874" s="653"/>
      <c r="T874" s="653"/>
      <c r="U874" s="653"/>
    </row>
    <row r="875" spans="1:21" x14ac:dyDescent="0.25">
      <c r="A875" s="653"/>
      <c r="B875" s="653"/>
      <c r="C875" s="653"/>
      <c r="D875" s="653"/>
      <c r="E875" s="653"/>
      <c r="F875" s="653"/>
      <c r="G875" s="1243"/>
      <c r="H875" s="653"/>
      <c r="I875" s="653"/>
      <c r="J875" s="653"/>
      <c r="K875" s="653"/>
      <c r="L875" s="653"/>
      <c r="M875" s="653"/>
      <c r="N875" s="653"/>
      <c r="O875" s="653"/>
      <c r="P875" s="653"/>
      <c r="Q875" s="653"/>
      <c r="R875" s="653"/>
      <c r="S875" s="653"/>
      <c r="T875" s="653"/>
      <c r="U875" s="653"/>
    </row>
    <row r="876" spans="1:21" x14ac:dyDescent="0.25">
      <c r="A876" s="653"/>
      <c r="B876" s="653"/>
      <c r="C876" s="653"/>
      <c r="D876" s="653"/>
      <c r="E876" s="653"/>
      <c r="F876" s="653"/>
      <c r="G876" s="1243"/>
      <c r="H876" s="653"/>
      <c r="I876" s="653"/>
      <c r="J876" s="653"/>
      <c r="K876" s="653"/>
      <c r="L876" s="653"/>
      <c r="M876" s="653"/>
      <c r="N876" s="653"/>
      <c r="O876" s="653"/>
      <c r="P876" s="653"/>
      <c r="Q876" s="653"/>
      <c r="R876" s="653"/>
      <c r="S876" s="653"/>
      <c r="T876" s="653"/>
      <c r="U876" s="653"/>
    </row>
    <row r="877" spans="1:21" x14ac:dyDescent="0.25">
      <c r="A877" s="653"/>
      <c r="B877" s="653"/>
      <c r="C877" s="653"/>
      <c r="D877" s="653"/>
      <c r="E877" s="653"/>
      <c r="F877" s="653"/>
      <c r="G877" s="1243"/>
      <c r="H877" s="653"/>
      <c r="I877" s="653"/>
      <c r="J877" s="653"/>
      <c r="K877" s="653"/>
      <c r="L877" s="653"/>
      <c r="M877" s="653"/>
      <c r="N877" s="653"/>
      <c r="O877" s="653"/>
      <c r="P877" s="653"/>
      <c r="Q877" s="653"/>
      <c r="R877" s="653"/>
      <c r="S877" s="653"/>
      <c r="T877" s="653"/>
      <c r="U877" s="653"/>
    </row>
    <row r="878" spans="1:21" x14ac:dyDescent="0.25">
      <c r="A878" s="653"/>
      <c r="B878" s="653"/>
      <c r="C878" s="653"/>
      <c r="D878" s="653"/>
      <c r="E878" s="653"/>
      <c r="F878" s="653"/>
      <c r="G878" s="1243"/>
      <c r="H878" s="653"/>
      <c r="I878" s="653"/>
      <c r="J878" s="653"/>
      <c r="K878" s="653"/>
      <c r="L878" s="653"/>
      <c r="M878" s="653"/>
      <c r="N878" s="653"/>
      <c r="O878" s="653"/>
      <c r="P878" s="653"/>
      <c r="Q878" s="653"/>
      <c r="R878" s="653"/>
      <c r="S878" s="653"/>
      <c r="T878" s="653"/>
      <c r="U878" s="653"/>
    </row>
    <row r="879" spans="1:21" x14ac:dyDescent="0.25">
      <c r="A879" s="653"/>
      <c r="B879" s="653"/>
      <c r="C879" s="653"/>
      <c r="D879" s="653"/>
      <c r="E879" s="653"/>
      <c r="F879" s="653"/>
      <c r="G879" s="1243"/>
      <c r="H879" s="653"/>
      <c r="I879" s="653"/>
      <c r="J879" s="653"/>
      <c r="K879" s="653"/>
      <c r="L879" s="653"/>
      <c r="M879" s="653"/>
      <c r="N879" s="653"/>
      <c r="O879" s="653"/>
      <c r="P879" s="653"/>
      <c r="Q879" s="653"/>
      <c r="R879" s="653"/>
      <c r="S879" s="653"/>
      <c r="T879" s="653"/>
      <c r="U879" s="653"/>
    </row>
    <row r="880" spans="1:21" x14ac:dyDescent="0.25">
      <c r="A880" s="653"/>
      <c r="B880" s="653"/>
      <c r="C880" s="653"/>
      <c r="D880" s="653"/>
      <c r="E880" s="653"/>
      <c r="F880" s="653"/>
      <c r="G880" s="1243"/>
      <c r="H880" s="653"/>
      <c r="I880" s="653"/>
      <c r="J880" s="653"/>
      <c r="K880" s="653"/>
      <c r="L880" s="653"/>
      <c r="M880" s="653"/>
      <c r="N880" s="653"/>
      <c r="O880" s="653"/>
      <c r="P880" s="653"/>
      <c r="Q880" s="653"/>
      <c r="R880" s="653"/>
      <c r="S880" s="653"/>
      <c r="T880" s="653"/>
      <c r="U880" s="653"/>
    </row>
    <row r="881" spans="1:21" x14ac:dyDescent="0.25">
      <c r="A881" s="653"/>
      <c r="B881" s="653"/>
      <c r="C881" s="653"/>
      <c r="D881" s="653"/>
      <c r="E881" s="653"/>
      <c r="F881" s="653"/>
      <c r="G881" s="1243"/>
      <c r="H881" s="653"/>
      <c r="I881" s="653"/>
      <c r="J881" s="653"/>
      <c r="K881" s="653"/>
      <c r="L881" s="653"/>
      <c r="M881" s="653"/>
      <c r="N881" s="653"/>
      <c r="O881" s="653"/>
      <c r="P881" s="653"/>
      <c r="Q881" s="653"/>
      <c r="R881" s="653"/>
      <c r="S881" s="653"/>
      <c r="T881" s="653"/>
      <c r="U881" s="653"/>
    </row>
    <row r="882" spans="1:21" x14ac:dyDescent="0.25">
      <c r="A882" s="653"/>
      <c r="B882" s="653"/>
      <c r="C882" s="653"/>
      <c r="D882" s="653"/>
      <c r="E882" s="653"/>
      <c r="F882" s="653"/>
      <c r="G882" s="1243"/>
      <c r="H882" s="653"/>
      <c r="I882" s="653"/>
      <c r="J882" s="653"/>
      <c r="K882" s="653"/>
      <c r="L882" s="653"/>
      <c r="M882" s="653"/>
      <c r="N882" s="653"/>
      <c r="O882" s="653"/>
      <c r="P882" s="653"/>
      <c r="Q882" s="653"/>
      <c r="R882" s="653"/>
      <c r="S882" s="653"/>
      <c r="T882" s="653"/>
      <c r="U882" s="653"/>
    </row>
    <row r="883" spans="1:21" x14ac:dyDescent="0.25">
      <c r="A883" s="653"/>
      <c r="B883" s="653"/>
      <c r="C883" s="653"/>
      <c r="D883" s="653"/>
      <c r="E883" s="653"/>
      <c r="F883" s="653"/>
      <c r="G883" s="1243"/>
      <c r="H883" s="653"/>
      <c r="I883" s="653"/>
      <c r="J883" s="653"/>
      <c r="K883" s="653"/>
      <c r="L883" s="653"/>
      <c r="M883" s="653"/>
      <c r="N883" s="653"/>
      <c r="O883" s="653"/>
      <c r="P883" s="653"/>
      <c r="Q883" s="653"/>
      <c r="R883" s="653"/>
      <c r="S883" s="653"/>
      <c r="T883" s="653"/>
      <c r="U883" s="653"/>
    </row>
    <row r="884" spans="1:21" x14ac:dyDescent="0.25">
      <c r="A884" s="653"/>
      <c r="B884" s="653"/>
      <c r="C884" s="653"/>
      <c r="D884" s="653"/>
      <c r="E884" s="653"/>
      <c r="F884" s="653"/>
      <c r="G884" s="1243"/>
      <c r="H884" s="653"/>
      <c r="I884" s="653"/>
      <c r="J884" s="653"/>
      <c r="K884" s="653"/>
      <c r="L884" s="653"/>
      <c r="M884" s="653"/>
      <c r="N884" s="653"/>
      <c r="O884" s="653"/>
      <c r="P884" s="653"/>
      <c r="Q884" s="653"/>
      <c r="R884" s="653"/>
      <c r="S884" s="653"/>
      <c r="T884" s="653"/>
      <c r="U884" s="653"/>
    </row>
    <row r="885" spans="1:21" x14ac:dyDescent="0.25">
      <c r="A885" s="653"/>
      <c r="B885" s="653"/>
      <c r="C885" s="653"/>
      <c r="D885" s="653"/>
      <c r="E885" s="653"/>
      <c r="F885" s="653"/>
      <c r="G885" s="1243"/>
      <c r="H885" s="653"/>
      <c r="I885" s="653"/>
      <c r="J885" s="653"/>
      <c r="K885" s="653"/>
      <c r="L885" s="653"/>
      <c r="M885" s="653"/>
      <c r="N885" s="653"/>
      <c r="O885" s="653"/>
      <c r="P885" s="653"/>
      <c r="Q885" s="653"/>
      <c r="R885" s="653"/>
      <c r="S885" s="653"/>
      <c r="T885" s="653"/>
      <c r="U885" s="653"/>
    </row>
    <row r="886" spans="1:21" x14ac:dyDescent="0.25">
      <c r="A886" s="653"/>
      <c r="B886" s="653"/>
      <c r="C886" s="653"/>
      <c r="D886" s="653"/>
      <c r="E886" s="653"/>
      <c r="F886" s="653"/>
      <c r="G886" s="1243"/>
      <c r="H886" s="653"/>
      <c r="I886" s="653"/>
      <c r="J886" s="653"/>
      <c r="K886" s="653"/>
      <c r="L886" s="653"/>
      <c r="M886" s="653"/>
      <c r="N886" s="653"/>
      <c r="O886" s="653"/>
      <c r="P886" s="653"/>
      <c r="Q886" s="653"/>
      <c r="R886" s="653"/>
      <c r="S886" s="653"/>
      <c r="T886" s="653"/>
      <c r="U886" s="653"/>
    </row>
    <row r="887" spans="1:21" x14ac:dyDescent="0.25">
      <c r="A887" s="653"/>
      <c r="B887" s="653"/>
      <c r="C887" s="653"/>
      <c r="D887" s="653"/>
      <c r="E887" s="653"/>
      <c r="F887" s="653"/>
      <c r="G887" s="1243"/>
      <c r="H887" s="653"/>
      <c r="I887" s="653"/>
      <c r="J887" s="653"/>
      <c r="K887" s="653"/>
      <c r="L887" s="653"/>
      <c r="M887" s="653"/>
      <c r="N887" s="653"/>
      <c r="O887" s="653"/>
      <c r="P887" s="653"/>
      <c r="Q887" s="653"/>
      <c r="R887" s="653"/>
      <c r="S887" s="653"/>
      <c r="T887" s="653"/>
      <c r="U887" s="653"/>
    </row>
    <row r="888" spans="1:21" x14ac:dyDescent="0.25">
      <c r="A888" s="653"/>
      <c r="B888" s="653"/>
      <c r="C888" s="653"/>
      <c r="D888" s="653"/>
      <c r="E888" s="653"/>
      <c r="F888" s="653"/>
      <c r="G888" s="1243"/>
      <c r="H888" s="653"/>
      <c r="I888" s="653"/>
      <c r="J888" s="653"/>
      <c r="K888" s="653"/>
      <c r="L888" s="653"/>
      <c r="M888" s="653"/>
      <c r="N888" s="653"/>
      <c r="O888" s="653"/>
      <c r="P888" s="653"/>
      <c r="Q888" s="653"/>
      <c r="R888" s="653"/>
      <c r="S888" s="653"/>
      <c r="T888" s="653"/>
      <c r="U888" s="653"/>
    </row>
    <row r="889" spans="1:21" x14ac:dyDescent="0.25">
      <c r="A889" s="653"/>
      <c r="B889" s="653"/>
      <c r="C889" s="653"/>
      <c r="D889" s="653"/>
      <c r="E889" s="653"/>
      <c r="F889" s="653"/>
      <c r="G889" s="1243"/>
      <c r="H889" s="653"/>
      <c r="I889" s="653"/>
      <c r="J889" s="653"/>
      <c r="K889" s="653"/>
      <c r="L889" s="653"/>
      <c r="M889" s="653"/>
      <c r="N889" s="653"/>
      <c r="O889" s="653"/>
      <c r="P889" s="653"/>
      <c r="Q889" s="653"/>
      <c r="R889" s="653"/>
      <c r="S889" s="653"/>
      <c r="T889" s="653"/>
      <c r="U889" s="653"/>
    </row>
    <row r="890" spans="1:21" x14ac:dyDescent="0.25">
      <c r="A890" s="653"/>
      <c r="B890" s="653"/>
      <c r="C890" s="653"/>
      <c r="D890" s="653"/>
      <c r="E890" s="653"/>
      <c r="F890" s="653"/>
      <c r="G890" s="1243"/>
      <c r="H890" s="653"/>
      <c r="I890" s="653"/>
      <c r="J890" s="653"/>
      <c r="K890" s="653"/>
      <c r="L890" s="653"/>
      <c r="M890" s="653"/>
      <c r="N890" s="653"/>
      <c r="O890" s="653"/>
      <c r="P890" s="653"/>
      <c r="Q890" s="653"/>
      <c r="R890" s="653"/>
      <c r="S890" s="653"/>
      <c r="T890" s="653"/>
      <c r="U890" s="653"/>
    </row>
    <row r="891" spans="1:21" x14ac:dyDescent="0.25">
      <c r="A891" s="653"/>
      <c r="B891" s="653"/>
      <c r="C891" s="653"/>
      <c r="D891" s="653"/>
      <c r="E891" s="653"/>
      <c r="F891" s="653"/>
      <c r="G891" s="1243"/>
      <c r="H891" s="653"/>
      <c r="I891" s="653"/>
      <c r="J891" s="653"/>
      <c r="K891" s="653"/>
      <c r="L891" s="653"/>
      <c r="M891" s="653"/>
      <c r="N891" s="653"/>
      <c r="O891" s="653"/>
      <c r="P891" s="653"/>
      <c r="Q891" s="653"/>
      <c r="R891" s="653"/>
      <c r="S891" s="653"/>
      <c r="T891" s="653"/>
      <c r="U891" s="653"/>
    </row>
    <row r="892" spans="1:21" x14ac:dyDescent="0.25">
      <c r="A892" s="653"/>
      <c r="B892" s="653"/>
      <c r="C892" s="653"/>
      <c r="D892" s="653"/>
      <c r="E892" s="653"/>
      <c r="F892" s="653"/>
      <c r="G892" s="1243"/>
      <c r="H892" s="653"/>
      <c r="I892" s="653"/>
      <c r="J892" s="653"/>
      <c r="K892" s="653"/>
      <c r="L892" s="653"/>
      <c r="M892" s="653"/>
      <c r="N892" s="653"/>
      <c r="O892" s="653"/>
      <c r="P892" s="653"/>
      <c r="Q892" s="653"/>
      <c r="R892" s="653"/>
      <c r="S892" s="653"/>
      <c r="T892" s="653"/>
      <c r="U892" s="653"/>
    </row>
    <row r="893" spans="1:21" x14ac:dyDescent="0.25">
      <c r="A893" s="653"/>
      <c r="B893" s="653"/>
      <c r="C893" s="653"/>
      <c r="D893" s="653"/>
      <c r="E893" s="653"/>
      <c r="F893" s="653"/>
      <c r="G893" s="1243"/>
      <c r="H893" s="653"/>
      <c r="I893" s="653"/>
      <c r="J893" s="653"/>
      <c r="K893" s="653"/>
      <c r="L893" s="653"/>
      <c r="M893" s="653"/>
      <c r="N893" s="653"/>
      <c r="O893" s="653"/>
      <c r="P893" s="653"/>
      <c r="Q893" s="653"/>
      <c r="R893" s="653"/>
      <c r="S893" s="653"/>
      <c r="T893" s="653"/>
      <c r="U893" s="653"/>
    </row>
    <row r="894" spans="1:21" x14ac:dyDescent="0.25">
      <c r="A894" s="653"/>
      <c r="B894" s="653"/>
      <c r="C894" s="653"/>
      <c r="D894" s="653"/>
      <c r="E894" s="653"/>
      <c r="F894" s="653"/>
      <c r="G894" s="1243"/>
      <c r="H894" s="653"/>
      <c r="I894" s="653"/>
      <c r="J894" s="653"/>
      <c r="K894" s="653"/>
      <c r="L894" s="653"/>
      <c r="M894" s="653"/>
      <c r="N894" s="653"/>
      <c r="O894" s="653"/>
      <c r="P894" s="653"/>
      <c r="Q894" s="653"/>
      <c r="R894" s="653"/>
      <c r="S894" s="653"/>
      <c r="T894" s="653"/>
      <c r="U894" s="653"/>
    </row>
    <row r="895" spans="1:21" x14ac:dyDescent="0.25">
      <c r="A895" s="653"/>
      <c r="B895" s="653"/>
      <c r="C895" s="653"/>
      <c r="D895" s="653"/>
      <c r="E895" s="653"/>
      <c r="F895" s="653"/>
      <c r="G895" s="1243"/>
      <c r="H895" s="653"/>
      <c r="I895" s="653"/>
      <c r="J895" s="653"/>
      <c r="K895" s="653"/>
      <c r="L895" s="653"/>
      <c r="M895" s="653"/>
      <c r="N895" s="653"/>
      <c r="O895" s="653"/>
      <c r="P895" s="653"/>
      <c r="Q895" s="653"/>
      <c r="R895" s="653"/>
      <c r="S895" s="653"/>
      <c r="T895" s="653"/>
      <c r="U895" s="653"/>
    </row>
    <row r="896" spans="1:21" x14ac:dyDescent="0.25">
      <c r="A896" s="653"/>
      <c r="B896" s="653"/>
      <c r="C896" s="653"/>
      <c r="D896" s="653"/>
      <c r="E896" s="653"/>
      <c r="F896" s="653"/>
      <c r="G896" s="1243"/>
      <c r="H896" s="653"/>
      <c r="I896" s="653"/>
      <c r="J896" s="653"/>
      <c r="K896" s="653"/>
      <c r="L896" s="653"/>
      <c r="M896" s="653"/>
      <c r="N896" s="653"/>
      <c r="O896" s="653"/>
      <c r="P896" s="653"/>
      <c r="Q896" s="653"/>
      <c r="R896" s="653"/>
      <c r="S896" s="653"/>
      <c r="T896" s="653"/>
      <c r="U896" s="653"/>
    </row>
    <row r="897" spans="1:21" x14ac:dyDescent="0.25">
      <c r="A897" s="653"/>
      <c r="B897" s="653"/>
      <c r="C897" s="653"/>
      <c r="D897" s="653"/>
      <c r="E897" s="653"/>
      <c r="F897" s="653"/>
      <c r="G897" s="1243"/>
      <c r="H897" s="653"/>
      <c r="I897" s="653"/>
      <c r="J897" s="653"/>
      <c r="K897" s="653"/>
      <c r="L897" s="653"/>
      <c r="M897" s="653"/>
      <c r="N897" s="653"/>
      <c r="O897" s="653"/>
      <c r="P897" s="653"/>
      <c r="Q897" s="653"/>
      <c r="R897" s="653"/>
      <c r="S897" s="653"/>
      <c r="T897" s="653"/>
      <c r="U897" s="653"/>
    </row>
    <row r="898" spans="1:21" x14ac:dyDescent="0.25">
      <c r="A898" s="653"/>
      <c r="B898" s="653"/>
      <c r="C898" s="653"/>
      <c r="D898" s="653"/>
      <c r="E898" s="653"/>
      <c r="F898" s="653"/>
      <c r="G898" s="1243"/>
      <c r="H898" s="653"/>
      <c r="I898" s="653"/>
      <c r="J898" s="653"/>
      <c r="K898" s="653"/>
      <c r="L898" s="653"/>
      <c r="M898" s="653"/>
      <c r="N898" s="653"/>
      <c r="O898" s="653"/>
      <c r="P898" s="653"/>
      <c r="Q898" s="653"/>
      <c r="R898" s="653"/>
      <c r="S898" s="653"/>
      <c r="T898" s="653"/>
      <c r="U898" s="653"/>
    </row>
    <row r="899" spans="1:21" x14ac:dyDescent="0.25">
      <c r="A899" s="653"/>
      <c r="B899" s="653"/>
      <c r="C899" s="653"/>
      <c r="D899" s="653"/>
      <c r="E899" s="653"/>
      <c r="F899" s="653"/>
      <c r="G899" s="1243"/>
      <c r="H899" s="653"/>
      <c r="I899" s="653"/>
      <c r="J899" s="653"/>
      <c r="K899" s="653"/>
      <c r="L899" s="653"/>
      <c r="M899" s="653"/>
      <c r="N899" s="653"/>
      <c r="O899" s="653"/>
      <c r="P899" s="653"/>
      <c r="Q899" s="653"/>
      <c r="R899" s="653"/>
      <c r="S899" s="653"/>
      <c r="T899" s="653"/>
      <c r="U899" s="653"/>
    </row>
    <row r="900" spans="1:21" x14ac:dyDescent="0.25">
      <c r="A900" s="653"/>
      <c r="B900" s="653"/>
      <c r="C900" s="653"/>
      <c r="D900" s="653"/>
      <c r="E900" s="653"/>
      <c r="F900" s="653"/>
      <c r="G900" s="1243"/>
      <c r="H900" s="653"/>
      <c r="I900" s="653"/>
      <c r="J900" s="653"/>
      <c r="K900" s="653"/>
      <c r="L900" s="653"/>
      <c r="M900" s="653"/>
      <c r="N900" s="653"/>
      <c r="O900" s="653"/>
      <c r="P900" s="653"/>
      <c r="Q900" s="653"/>
      <c r="R900" s="653"/>
      <c r="S900" s="653"/>
      <c r="T900" s="653"/>
      <c r="U900" s="653"/>
    </row>
    <row r="901" spans="1:21" x14ac:dyDescent="0.25">
      <c r="A901" s="653"/>
      <c r="B901" s="653"/>
      <c r="C901" s="653"/>
      <c r="D901" s="653"/>
      <c r="E901" s="653"/>
      <c r="F901" s="653"/>
      <c r="G901" s="1243"/>
      <c r="H901" s="653"/>
      <c r="I901" s="653"/>
      <c r="J901" s="653"/>
      <c r="K901" s="653"/>
      <c r="L901" s="653"/>
      <c r="M901" s="653"/>
      <c r="N901" s="653"/>
      <c r="O901" s="653"/>
      <c r="P901" s="653"/>
      <c r="Q901" s="653"/>
      <c r="R901" s="653"/>
      <c r="S901" s="653"/>
      <c r="T901" s="653"/>
      <c r="U901" s="653"/>
    </row>
    <row r="902" spans="1:21" x14ac:dyDescent="0.25">
      <c r="A902" s="653"/>
      <c r="B902" s="653"/>
      <c r="C902" s="653"/>
      <c r="D902" s="653"/>
      <c r="E902" s="653"/>
      <c r="F902" s="653"/>
      <c r="G902" s="1243"/>
      <c r="H902" s="653"/>
      <c r="I902" s="653"/>
      <c r="J902" s="653"/>
      <c r="K902" s="653"/>
      <c r="L902" s="653"/>
      <c r="M902" s="653"/>
      <c r="N902" s="653"/>
      <c r="O902" s="653"/>
      <c r="P902" s="653"/>
      <c r="Q902" s="653"/>
      <c r="R902" s="653"/>
      <c r="S902" s="653"/>
      <c r="T902" s="653"/>
      <c r="U902" s="653"/>
    </row>
    <row r="903" spans="1:21" x14ac:dyDescent="0.25">
      <c r="A903" s="653"/>
      <c r="B903" s="653"/>
      <c r="C903" s="653"/>
      <c r="D903" s="653"/>
      <c r="E903" s="653"/>
      <c r="F903" s="653"/>
      <c r="G903" s="1243"/>
      <c r="H903" s="653"/>
      <c r="I903" s="653"/>
      <c r="J903" s="653"/>
      <c r="K903" s="653"/>
      <c r="L903" s="653"/>
      <c r="M903" s="653"/>
      <c r="N903" s="653"/>
      <c r="O903" s="653"/>
      <c r="P903" s="653"/>
      <c r="Q903" s="653"/>
      <c r="R903" s="653"/>
      <c r="S903" s="653"/>
      <c r="T903" s="653"/>
      <c r="U903" s="653"/>
    </row>
    <row r="904" spans="1:21" x14ac:dyDescent="0.25">
      <c r="A904" s="653"/>
      <c r="B904" s="653"/>
      <c r="C904" s="653"/>
      <c r="D904" s="653"/>
      <c r="E904" s="653"/>
      <c r="F904" s="653"/>
      <c r="G904" s="1243"/>
      <c r="H904" s="653"/>
      <c r="I904" s="653"/>
      <c r="J904" s="653"/>
      <c r="K904" s="653"/>
      <c r="L904" s="653"/>
      <c r="M904" s="653"/>
      <c r="N904" s="653"/>
      <c r="O904" s="653"/>
      <c r="P904" s="653"/>
      <c r="Q904" s="653"/>
      <c r="R904" s="653"/>
      <c r="S904" s="653"/>
      <c r="T904" s="653"/>
      <c r="U904" s="653"/>
    </row>
    <row r="905" spans="1:21" x14ac:dyDescent="0.25">
      <c r="A905" s="653"/>
      <c r="B905" s="653"/>
      <c r="C905" s="653"/>
      <c r="D905" s="653"/>
      <c r="E905" s="653"/>
      <c r="F905" s="653"/>
      <c r="G905" s="1243"/>
      <c r="H905" s="653"/>
      <c r="I905" s="653"/>
      <c r="J905" s="653"/>
      <c r="K905" s="653"/>
      <c r="L905" s="653"/>
      <c r="M905" s="653"/>
      <c r="N905" s="653"/>
      <c r="O905" s="653"/>
      <c r="P905" s="653"/>
      <c r="Q905" s="653"/>
      <c r="R905" s="653"/>
      <c r="S905" s="653"/>
      <c r="T905" s="653"/>
      <c r="U905" s="653"/>
    </row>
    <row r="906" spans="1:21" x14ac:dyDescent="0.25">
      <c r="A906" s="653"/>
      <c r="B906" s="653"/>
      <c r="C906" s="653"/>
      <c r="D906" s="653"/>
      <c r="E906" s="653"/>
      <c r="F906" s="653"/>
      <c r="G906" s="1243"/>
      <c r="H906" s="653"/>
      <c r="I906" s="653"/>
      <c r="J906" s="653"/>
      <c r="K906" s="653"/>
      <c r="L906" s="653"/>
      <c r="M906" s="653"/>
      <c r="N906" s="653"/>
      <c r="O906" s="653"/>
      <c r="P906" s="653"/>
      <c r="Q906" s="653"/>
      <c r="R906" s="653"/>
      <c r="S906" s="653"/>
      <c r="T906" s="653"/>
      <c r="U906" s="653"/>
    </row>
    <row r="907" spans="1:21" x14ac:dyDescent="0.25">
      <c r="A907" s="653"/>
      <c r="B907" s="653"/>
      <c r="C907" s="653"/>
      <c r="D907" s="653"/>
      <c r="E907" s="653"/>
      <c r="F907" s="653"/>
      <c r="G907" s="1243"/>
      <c r="H907" s="653"/>
      <c r="I907" s="653"/>
      <c r="J907" s="653"/>
      <c r="K907" s="653"/>
      <c r="L907" s="653"/>
      <c r="M907" s="653"/>
      <c r="N907" s="653"/>
      <c r="O907" s="653"/>
      <c r="P907" s="653"/>
      <c r="Q907" s="653"/>
      <c r="R907" s="653"/>
      <c r="S907" s="653"/>
      <c r="T907" s="653"/>
      <c r="U907" s="653"/>
    </row>
    <row r="908" spans="1:21" x14ac:dyDescent="0.25">
      <c r="A908" s="653"/>
      <c r="B908" s="653"/>
      <c r="C908" s="653"/>
      <c r="D908" s="653"/>
      <c r="E908" s="653"/>
      <c r="F908" s="653"/>
      <c r="G908" s="1243"/>
      <c r="H908" s="653"/>
      <c r="I908" s="653"/>
      <c r="J908" s="653"/>
      <c r="K908" s="653"/>
      <c r="L908" s="653"/>
      <c r="M908" s="653"/>
      <c r="N908" s="653"/>
      <c r="O908" s="653"/>
      <c r="P908" s="653"/>
      <c r="Q908" s="653"/>
      <c r="R908" s="653"/>
      <c r="S908" s="653"/>
      <c r="T908" s="653"/>
      <c r="U908" s="653"/>
    </row>
    <row r="909" spans="1:21" x14ac:dyDescent="0.25">
      <c r="A909" s="653"/>
      <c r="B909" s="653"/>
      <c r="C909" s="653"/>
      <c r="D909" s="653"/>
      <c r="E909" s="653"/>
      <c r="F909" s="653"/>
      <c r="G909" s="1243"/>
      <c r="H909" s="653"/>
      <c r="I909" s="653"/>
      <c r="J909" s="653"/>
      <c r="K909" s="653"/>
      <c r="L909" s="653"/>
      <c r="M909" s="653"/>
      <c r="N909" s="653"/>
      <c r="O909" s="653"/>
      <c r="P909" s="653"/>
      <c r="Q909" s="653"/>
      <c r="R909" s="653"/>
      <c r="S909" s="653"/>
      <c r="T909" s="653"/>
      <c r="U909" s="653"/>
    </row>
    <row r="910" spans="1:21" x14ac:dyDescent="0.25">
      <c r="A910" s="653"/>
      <c r="B910" s="653"/>
      <c r="C910" s="653"/>
      <c r="D910" s="653"/>
      <c r="E910" s="653"/>
      <c r="F910" s="653"/>
      <c r="G910" s="1243"/>
      <c r="H910" s="653"/>
      <c r="I910" s="653"/>
      <c r="J910" s="653"/>
      <c r="K910" s="653"/>
      <c r="L910" s="653"/>
      <c r="M910" s="653"/>
      <c r="N910" s="653"/>
      <c r="O910" s="653"/>
      <c r="P910" s="653"/>
      <c r="Q910" s="653"/>
      <c r="R910" s="653"/>
      <c r="S910" s="653"/>
      <c r="T910" s="653"/>
      <c r="U910" s="653"/>
    </row>
    <row r="911" spans="1:21" x14ac:dyDescent="0.25">
      <c r="A911" s="653"/>
      <c r="B911" s="653"/>
      <c r="C911" s="653"/>
      <c r="D911" s="653"/>
      <c r="E911" s="653"/>
      <c r="F911" s="653"/>
      <c r="G911" s="1243"/>
      <c r="H911" s="653"/>
      <c r="I911" s="653"/>
      <c r="J911" s="653"/>
      <c r="K911" s="653"/>
      <c r="L911" s="653"/>
      <c r="M911" s="653"/>
      <c r="N911" s="653"/>
      <c r="O911" s="653"/>
      <c r="P911" s="653"/>
      <c r="Q911" s="653"/>
      <c r="R911" s="653"/>
      <c r="S911" s="653"/>
      <c r="T911" s="653"/>
      <c r="U911" s="653"/>
    </row>
    <row r="912" spans="1:21" x14ac:dyDescent="0.25">
      <c r="A912" s="653"/>
      <c r="B912" s="653"/>
      <c r="C912" s="653"/>
      <c r="D912" s="653"/>
      <c r="E912" s="653"/>
      <c r="F912" s="653"/>
      <c r="G912" s="1243"/>
      <c r="H912" s="653"/>
      <c r="I912" s="653"/>
      <c r="J912" s="653"/>
      <c r="K912" s="653"/>
      <c r="L912" s="653"/>
      <c r="M912" s="653"/>
      <c r="N912" s="653"/>
      <c r="O912" s="653"/>
      <c r="P912" s="653"/>
      <c r="Q912" s="653"/>
      <c r="R912" s="653"/>
      <c r="S912" s="653"/>
      <c r="T912" s="653"/>
      <c r="U912" s="653"/>
    </row>
    <row r="913" spans="1:21" x14ac:dyDescent="0.25">
      <c r="A913" s="653"/>
      <c r="B913" s="653"/>
      <c r="C913" s="653"/>
      <c r="D913" s="653"/>
      <c r="E913" s="653"/>
      <c r="F913" s="653"/>
      <c r="G913" s="1243"/>
      <c r="H913" s="653"/>
      <c r="I913" s="653"/>
      <c r="J913" s="653"/>
      <c r="K913" s="653"/>
      <c r="L913" s="653"/>
      <c r="M913" s="653"/>
      <c r="N913" s="653"/>
      <c r="O913" s="653"/>
      <c r="P913" s="653"/>
      <c r="Q913" s="653"/>
      <c r="R913" s="653"/>
      <c r="S913" s="653"/>
      <c r="T913" s="653"/>
      <c r="U913" s="653"/>
    </row>
    <row r="914" spans="1:21" x14ac:dyDescent="0.25">
      <c r="A914" s="653"/>
      <c r="B914" s="653"/>
      <c r="C914" s="653"/>
      <c r="D914" s="653"/>
      <c r="E914" s="653"/>
      <c r="F914" s="653"/>
      <c r="G914" s="1243"/>
      <c r="H914" s="653"/>
      <c r="I914" s="653"/>
      <c r="J914" s="653"/>
      <c r="K914" s="653"/>
      <c r="L914" s="653"/>
      <c r="M914" s="653"/>
      <c r="N914" s="653"/>
      <c r="O914" s="653"/>
      <c r="P914" s="653"/>
      <c r="Q914" s="653"/>
      <c r="R914" s="653"/>
      <c r="S914" s="653"/>
      <c r="T914" s="653"/>
      <c r="U914" s="653"/>
    </row>
    <row r="915" spans="1:21" x14ac:dyDescent="0.25">
      <c r="A915" s="653"/>
      <c r="B915" s="653"/>
      <c r="C915" s="653"/>
      <c r="D915" s="653"/>
      <c r="E915" s="653"/>
      <c r="F915" s="653"/>
      <c r="G915" s="1243"/>
      <c r="H915" s="653"/>
      <c r="I915" s="653"/>
      <c r="J915" s="653"/>
      <c r="K915" s="653"/>
      <c r="L915" s="653"/>
      <c r="M915" s="653"/>
      <c r="N915" s="653"/>
      <c r="O915" s="653"/>
      <c r="P915" s="653"/>
      <c r="Q915" s="653"/>
      <c r="R915" s="653"/>
      <c r="S915" s="653"/>
      <c r="T915" s="653"/>
      <c r="U915" s="653"/>
    </row>
    <row r="916" spans="1:21" x14ac:dyDescent="0.25">
      <c r="A916" s="653"/>
      <c r="B916" s="653"/>
      <c r="C916" s="653"/>
      <c r="D916" s="653"/>
      <c r="E916" s="653"/>
      <c r="F916" s="653"/>
      <c r="G916" s="1243"/>
      <c r="H916" s="653"/>
      <c r="I916" s="653"/>
      <c r="J916" s="653"/>
      <c r="K916" s="653"/>
      <c r="L916" s="653"/>
      <c r="M916" s="653"/>
      <c r="N916" s="653"/>
      <c r="O916" s="653"/>
      <c r="P916" s="653"/>
      <c r="Q916" s="653"/>
      <c r="R916" s="653"/>
      <c r="S916" s="653"/>
      <c r="T916" s="653"/>
      <c r="U916" s="653"/>
    </row>
    <row r="917" spans="1:21" x14ac:dyDescent="0.25">
      <c r="A917" s="653"/>
      <c r="B917" s="653"/>
      <c r="C917" s="653"/>
      <c r="D917" s="653"/>
      <c r="E917" s="653"/>
      <c r="F917" s="653"/>
      <c r="G917" s="1243"/>
      <c r="H917" s="653"/>
      <c r="I917" s="653"/>
      <c r="J917" s="653"/>
      <c r="K917" s="653"/>
      <c r="L917" s="653"/>
      <c r="M917" s="653"/>
      <c r="N917" s="653"/>
      <c r="O917" s="653"/>
      <c r="P917" s="653"/>
      <c r="Q917" s="653"/>
      <c r="R917" s="653"/>
      <c r="S917" s="653"/>
      <c r="T917" s="653"/>
      <c r="U917" s="653"/>
    </row>
    <row r="918" spans="1:21" x14ac:dyDescent="0.25">
      <c r="A918" s="653"/>
      <c r="B918" s="653"/>
      <c r="C918" s="653"/>
      <c r="D918" s="653"/>
      <c r="E918" s="653"/>
      <c r="F918" s="653"/>
      <c r="G918" s="1243"/>
      <c r="H918" s="653"/>
      <c r="I918" s="653"/>
      <c r="J918" s="653"/>
      <c r="K918" s="653"/>
      <c r="L918" s="653"/>
      <c r="M918" s="653"/>
      <c r="N918" s="653"/>
      <c r="O918" s="653"/>
      <c r="P918" s="653"/>
      <c r="Q918" s="653"/>
      <c r="R918" s="653"/>
      <c r="S918" s="653"/>
      <c r="T918" s="653"/>
      <c r="U918" s="653"/>
    </row>
    <row r="919" spans="1:21" x14ac:dyDescent="0.25">
      <c r="A919" s="653"/>
      <c r="B919" s="653"/>
      <c r="C919" s="653"/>
      <c r="D919" s="653"/>
      <c r="E919" s="653"/>
      <c r="F919" s="653"/>
      <c r="G919" s="1243"/>
      <c r="H919" s="653"/>
      <c r="I919" s="653"/>
      <c r="J919" s="653"/>
      <c r="K919" s="653"/>
      <c r="L919" s="653"/>
      <c r="M919" s="653"/>
      <c r="N919" s="653"/>
      <c r="O919" s="653"/>
      <c r="P919" s="653"/>
      <c r="Q919" s="653"/>
      <c r="R919" s="653"/>
      <c r="S919" s="653"/>
      <c r="T919" s="653"/>
      <c r="U919" s="653"/>
    </row>
    <row r="920" spans="1:21" x14ac:dyDescent="0.25">
      <c r="A920" s="653"/>
      <c r="B920" s="653"/>
      <c r="C920" s="653"/>
      <c r="D920" s="653"/>
      <c r="E920" s="653"/>
      <c r="F920" s="653"/>
      <c r="G920" s="1243"/>
      <c r="H920" s="653"/>
      <c r="I920" s="653"/>
      <c r="J920" s="653"/>
      <c r="K920" s="653"/>
      <c r="L920" s="653"/>
      <c r="M920" s="653"/>
      <c r="N920" s="653"/>
      <c r="O920" s="653"/>
      <c r="P920" s="653"/>
      <c r="Q920" s="653"/>
      <c r="R920" s="653"/>
      <c r="S920" s="653"/>
      <c r="T920" s="653"/>
      <c r="U920" s="653"/>
    </row>
    <row r="921" spans="1:21" x14ac:dyDescent="0.25">
      <c r="A921" s="653"/>
      <c r="B921" s="653"/>
      <c r="C921" s="653"/>
      <c r="D921" s="653"/>
      <c r="E921" s="653"/>
      <c r="F921" s="653"/>
      <c r="G921" s="1243"/>
      <c r="H921" s="653"/>
      <c r="I921" s="653"/>
      <c r="J921" s="653"/>
      <c r="K921" s="653"/>
      <c r="L921" s="653"/>
      <c r="M921" s="653"/>
      <c r="N921" s="653"/>
      <c r="O921" s="653"/>
      <c r="P921" s="653"/>
      <c r="Q921" s="653"/>
      <c r="R921" s="653"/>
      <c r="S921" s="653"/>
      <c r="T921" s="653"/>
      <c r="U921" s="653"/>
    </row>
    <row r="922" spans="1:21" x14ac:dyDescent="0.25">
      <c r="A922" s="653"/>
      <c r="B922" s="653"/>
      <c r="C922" s="653"/>
      <c r="D922" s="653"/>
      <c r="E922" s="653"/>
      <c r="F922" s="653"/>
      <c r="G922" s="1243"/>
      <c r="H922" s="653"/>
      <c r="I922" s="653"/>
      <c r="J922" s="653"/>
      <c r="K922" s="653"/>
      <c r="L922" s="653"/>
      <c r="M922" s="653"/>
      <c r="N922" s="653"/>
      <c r="O922" s="653"/>
      <c r="P922" s="653"/>
      <c r="Q922" s="653"/>
      <c r="R922" s="653"/>
      <c r="S922" s="653"/>
      <c r="T922" s="653"/>
      <c r="U922" s="653"/>
    </row>
    <row r="923" spans="1:21" x14ac:dyDescent="0.25">
      <c r="A923" s="653"/>
      <c r="B923" s="653"/>
      <c r="C923" s="653"/>
      <c r="D923" s="653"/>
      <c r="E923" s="653"/>
      <c r="F923" s="653"/>
      <c r="G923" s="1243"/>
      <c r="H923" s="653"/>
      <c r="I923" s="653"/>
      <c r="J923" s="653"/>
      <c r="K923" s="653"/>
      <c r="L923" s="653"/>
      <c r="M923" s="653"/>
      <c r="N923" s="653"/>
      <c r="O923" s="653"/>
      <c r="P923" s="653"/>
      <c r="Q923" s="653"/>
      <c r="R923" s="653"/>
      <c r="S923" s="653"/>
      <c r="T923" s="653"/>
      <c r="U923" s="653"/>
    </row>
    <row r="924" spans="1:21" x14ac:dyDescent="0.25">
      <c r="A924" s="653"/>
      <c r="B924" s="653"/>
      <c r="C924" s="653"/>
      <c r="D924" s="653"/>
      <c r="E924" s="653"/>
      <c r="F924" s="653"/>
      <c r="G924" s="1243"/>
      <c r="H924" s="653"/>
      <c r="I924" s="653"/>
      <c r="J924" s="653"/>
      <c r="K924" s="653"/>
      <c r="L924" s="653"/>
      <c r="M924" s="653"/>
      <c r="N924" s="653"/>
      <c r="O924" s="653"/>
      <c r="P924" s="653"/>
      <c r="Q924" s="653"/>
      <c r="R924" s="653"/>
      <c r="S924" s="653"/>
      <c r="T924" s="653"/>
      <c r="U924" s="653"/>
    </row>
    <row r="925" spans="1:21" x14ac:dyDescent="0.25">
      <c r="A925" s="653"/>
      <c r="B925" s="653"/>
      <c r="C925" s="653"/>
      <c r="D925" s="653"/>
      <c r="E925" s="653"/>
      <c r="F925" s="653"/>
      <c r="G925" s="1243"/>
      <c r="H925" s="653"/>
      <c r="I925" s="653"/>
      <c r="J925" s="653"/>
      <c r="K925" s="653"/>
      <c r="L925" s="653"/>
      <c r="M925" s="653"/>
      <c r="N925" s="653"/>
      <c r="O925" s="653"/>
      <c r="P925" s="653"/>
      <c r="Q925" s="653"/>
      <c r="R925" s="653"/>
      <c r="S925" s="653"/>
      <c r="T925" s="653"/>
      <c r="U925" s="653"/>
    </row>
    <row r="926" spans="1:21" x14ac:dyDescent="0.25">
      <c r="A926" s="653"/>
      <c r="B926" s="653"/>
      <c r="C926" s="653"/>
      <c r="D926" s="653"/>
      <c r="E926" s="653"/>
      <c r="F926" s="653"/>
      <c r="G926" s="1243"/>
      <c r="H926" s="653"/>
      <c r="I926" s="653"/>
      <c r="J926" s="653"/>
      <c r="K926" s="653"/>
      <c r="L926" s="653"/>
      <c r="M926" s="653"/>
      <c r="N926" s="653"/>
      <c r="O926" s="653"/>
      <c r="P926" s="653"/>
      <c r="Q926" s="653"/>
      <c r="R926" s="653"/>
      <c r="S926" s="653"/>
      <c r="T926" s="653"/>
      <c r="U926" s="653"/>
    </row>
    <row r="927" spans="1:21" x14ac:dyDescent="0.25">
      <c r="A927" s="653"/>
      <c r="B927" s="653"/>
      <c r="C927" s="653"/>
      <c r="D927" s="653"/>
      <c r="E927" s="653"/>
      <c r="F927" s="653"/>
      <c r="G927" s="1243"/>
      <c r="H927" s="653"/>
      <c r="I927" s="653"/>
      <c r="J927" s="653"/>
      <c r="K927" s="653"/>
      <c r="L927" s="653"/>
      <c r="M927" s="653"/>
      <c r="N927" s="653"/>
      <c r="O927" s="653"/>
      <c r="P927" s="653"/>
      <c r="Q927" s="653"/>
      <c r="R927" s="653"/>
      <c r="S927" s="653"/>
      <c r="T927" s="653"/>
      <c r="U927" s="653"/>
    </row>
    <row r="928" spans="1:21" x14ac:dyDescent="0.25">
      <c r="A928" s="653"/>
      <c r="B928" s="653"/>
      <c r="C928" s="653"/>
      <c r="D928" s="653"/>
      <c r="E928" s="653"/>
      <c r="F928" s="653"/>
      <c r="G928" s="1243"/>
      <c r="H928" s="653"/>
      <c r="I928" s="653"/>
      <c r="J928" s="653"/>
      <c r="K928" s="653"/>
      <c r="L928" s="653"/>
      <c r="M928" s="653"/>
      <c r="N928" s="653"/>
      <c r="O928" s="653"/>
      <c r="P928" s="653"/>
      <c r="Q928" s="653"/>
      <c r="R928" s="653"/>
      <c r="S928" s="653"/>
      <c r="T928" s="653"/>
      <c r="U928" s="653"/>
    </row>
    <row r="929" spans="1:21" x14ac:dyDescent="0.25">
      <c r="A929" s="653"/>
      <c r="B929" s="653"/>
      <c r="C929" s="653"/>
      <c r="D929" s="653"/>
      <c r="E929" s="653"/>
      <c r="F929" s="653"/>
      <c r="G929" s="1243"/>
      <c r="H929" s="653"/>
      <c r="I929" s="653"/>
      <c r="J929" s="653"/>
      <c r="K929" s="653"/>
      <c r="L929" s="653"/>
      <c r="M929" s="653"/>
      <c r="N929" s="653"/>
      <c r="O929" s="653"/>
      <c r="P929" s="653"/>
      <c r="Q929" s="653"/>
      <c r="R929" s="653"/>
      <c r="S929" s="653"/>
      <c r="T929" s="653"/>
      <c r="U929" s="653"/>
    </row>
    <row r="930" spans="1:21" x14ac:dyDescent="0.25">
      <c r="A930" s="653"/>
      <c r="B930" s="653"/>
      <c r="C930" s="653"/>
      <c r="D930" s="653"/>
      <c r="E930" s="653"/>
      <c r="F930" s="653"/>
      <c r="G930" s="1243"/>
      <c r="H930" s="653"/>
      <c r="I930" s="653"/>
      <c r="J930" s="653"/>
      <c r="K930" s="653"/>
      <c r="L930" s="653"/>
      <c r="M930" s="653"/>
      <c r="N930" s="653"/>
      <c r="O930" s="653"/>
      <c r="P930" s="653"/>
      <c r="Q930" s="653"/>
      <c r="R930" s="653"/>
      <c r="S930" s="653"/>
      <c r="T930" s="653"/>
      <c r="U930" s="653"/>
    </row>
    <row r="931" spans="1:21" x14ac:dyDescent="0.25">
      <c r="A931" s="653"/>
      <c r="B931" s="653"/>
      <c r="C931" s="653"/>
      <c r="D931" s="653"/>
      <c r="E931" s="653"/>
      <c r="F931" s="653"/>
      <c r="G931" s="1243"/>
      <c r="H931" s="653"/>
      <c r="I931" s="653"/>
      <c r="J931" s="653"/>
      <c r="K931" s="653"/>
      <c r="L931" s="653"/>
      <c r="M931" s="653"/>
      <c r="N931" s="653"/>
      <c r="O931" s="653"/>
      <c r="P931" s="653"/>
      <c r="Q931" s="653"/>
      <c r="R931" s="653"/>
      <c r="S931" s="653"/>
      <c r="T931" s="653"/>
      <c r="U931" s="653"/>
    </row>
    <row r="932" spans="1:21" x14ac:dyDescent="0.25">
      <c r="A932" s="653"/>
      <c r="B932" s="653"/>
      <c r="C932" s="653"/>
      <c r="D932" s="653"/>
      <c r="E932" s="653"/>
      <c r="F932" s="653"/>
      <c r="G932" s="1243"/>
      <c r="H932" s="653"/>
      <c r="I932" s="653"/>
      <c r="J932" s="653"/>
      <c r="K932" s="653"/>
      <c r="L932" s="653"/>
      <c r="M932" s="653"/>
      <c r="N932" s="653"/>
      <c r="O932" s="653"/>
      <c r="P932" s="653"/>
      <c r="Q932" s="653"/>
      <c r="R932" s="653"/>
      <c r="S932" s="653"/>
      <c r="T932" s="653"/>
      <c r="U932" s="653"/>
    </row>
    <row r="933" spans="1:21" x14ac:dyDescent="0.25">
      <c r="A933" s="653"/>
      <c r="B933" s="653"/>
      <c r="C933" s="653"/>
      <c r="D933" s="653"/>
      <c r="E933" s="653"/>
      <c r="F933" s="653"/>
      <c r="G933" s="1243"/>
      <c r="H933" s="653"/>
      <c r="I933" s="653"/>
      <c r="J933" s="653"/>
      <c r="K933" s="653"/>
      <c r="L933" s="653"/>
      <c r="M933" s="653"/>
      <c r="N933" s="653"/>
      <c r="O933" s="653"/>
      <c r="P933" s="653"/>
      <c r="Q933" s="653"/>
      <c r="R933" s="653"/>
      <c r="S933" s="653"/>
      <c r="T933" s="653"/>
      <c r="U933" s="653"/>
    </row>
    <row r="934" spans="1:21" x14ac:dyDescent="0.25">
      <c r="A934" s="653"/>
      <c r="B934" s="653"/>
      <c r="C934" s="653"/>
      <c r="D934" s="653"/>
      <c r="E934" s="653"/>
      <c r="F934" s="653"/>
      <c r="G934" s="1243"/>
      <c r="H934" s="653"/>
      <c r="I934" s="653"/>
      <c r="J934" s="653"/>
      <c r="K934" s="653"/>
      <c r="L934" s="653"/>
      <c r="M934" s="653"/>
      <c r="N934" s="653"/>
      <c r="O934" s="653"/>
      <c r="P934" s="653"/>
      <c r="Q934" s="653"/>
      <c r="R934" s="653"/>
      <c r="S934" s="653"/>
      <c r="T934" s="653"/>
      <c r="U934" s="653"/>
    </row>
    <row r="935" spans="1:21" x14ac:dyDescent="0.25">
      <c r="A935" s="653"/>
      <c r="B935" s="653"/>
      <c r="C935" s="653"/>
      <c r="D935" s="653"/>
      <c r="E935" s="653"/>
      <c r="F935" s="653"/>
      <c r="G935" s="1243"/>
      <c r="H935" s="653"/>
      <c r="I935" s="653"/>
      <c r="J935" s="653"/>
      <c r="K935" s="653"/>
      <c r="L935" s="653"/>
      <c r="M935" s="653"/>
      <c r="N935" s="653"/>
      <c r="O935" s="653"/>
      <c r="P935" s="653"/>
      <c r="Q935" s="653"/>
      <c r="R935" s="653"/>
      <c r="S935" s="653"/>
      <c r="T935" s="653"/>
      <c r="U935" s="653"/>
    </row>
    <row r="936" spans="1:21" x14ac:dyDescent="0.25">
      <c r="A936" s="653"/>
      <c r="B936" s="653"/>
      <c r="C936" s="653"/>
      <c r="D936" s="653"/>
      <c r="E936" s="653"/>
      <c r="F936" s="653"/>
      <c r="G936" s="1243"/>
      <c r="H936" s="653"/>
      <c r="I936" s="653"/>
      <c r="J936" s="653"/>
      <c r="K936" s="653"/>
      <c r="L936" s="653"/>
      <c r="M936" s="653"/>
      <c r="N936" s="653"/>
      <c r="O936" s="653"/>
      <c r="P936" s="653"/>
      <c r="Q936" s="653"/>
      <c r="R936" s="653"/>
      <c r="S936" s="653"/>
      <c r="T936" s="653"/>
      <c r="U936" s="653"/>
    </row>
    <row r="937" spans="1:21" x14ac:dyDescent="0.25">
      <c r="A937" s="653"/>
      <c r="B937" s="653"/>
      <c r="C937" s="653"/>
      <c r="D937" s="653"/>
      <c r="E937" s="653"/>
      <c r="F937" s="653"/>
      <c r="G937" s="1243"/>
      <c r="H937" s="653"/>
      <c r="I937" s="653"/>
      <c r="J937" s="653"/>
      <c r="K937" s="653"/>
      <c r="L937" s="653"/>
      <c r="M937" s="653"/>
      <c r="N937" s="653"/>
      <c r="O937" s="653"/>
      <c r="P937" s="653"/>
      <c r="Q937" s="653"/>
      <c r="R937" s="653"/>
      <c r="S937" s="653"/>
      <c r="T937" s="653"/>
      <c r="U937" s="653"/>
    </row>
    <row r="938" spans="1:21" x14ac:dyDescent="0.25">
      <c r="A938" s="653"/>
      <c r="B938" s="653"/>
      <c r="C938" s="653"/>
      <c r="D938" s="653"/>
      <c r="E938" s="653"/>
      <c r="F938" s="653"/>
      <c r="G938" s="1243"/>
      <c r="H938" s="653"/>
      <c r="I938" s="653"/>
      <c r="J938" s="653"/>
      <c r="K938" s="653"/>
      <c r="L938" s="653"/>
      <c r="M938" s="653"/>
      <c r="N938" s="653"/>
      <c r="O938" s="653"/>
      <c r="P938" s="653"/>
      <c r="Q938" s="653"/>
      <c r="R938" s="653"/>
      <c r="S938" s="653"/>
      <c r="T938" s="653"/>
      <c r="U938" s="653"/>
    </row>
    <row r="939" spans="1:21" x14ac:dyDescent="0.25">
      <c r="A939" s="653"/>
      <c r="B939" s="653"/>
      <c r="C939" s="653"/>
      <c r="D939" s="653"/>
      <c r="E939" s="653"/>
      <c r="F939" s="653"/>
      <c r="G939" s="1243"/>
      <c r="H939" s="653"/>
      <c r="I939" s="653"/>
      <c r="J939" s="653"/>
      <c r="K939" s="653"/>
      <c r="L939" s="653"/>
      <c r="M939" s="653"/>
      <c r="N939" s="653"/>
      <c r="O939" s="653"/>
      <c r="P939" s="653"/>
      <c r="Q939" s="653"/>
      <c r="R939" s="653"/>
      <c r="S939" s="653"/>
      <c r="T939" s="653"/>
      <c r="U939" s="653"/>
    </row>
    <row r="940" spans="1:21" x14ac:dyDescent="0.25">
      <c r="A940" s="653"/>
      <c r="B940" s="653"/>
      <c r="C940" s="653"/>
      <c r="D940" s="653"/>
      <c r="E940" s="653"/>
      <c r="F940" s="653"/>
      <c r="G940" s="1243"/>
      <c r="H940" s="653"/>
      <c r="I940" s="653"/>
      <c r="J940" s="653"/>
      <c r="K940" s="653"/>
      <c r="L940" s="653"/>
      <c r="M940" s="653"/>
      <c r="N940" s="653"/>
      <c r="O940" s="653"/>
      <c r="P940" s="653"/>
      <c r="Q940" s="653"/>
      <c r="R940" s="653"/>
      <c r="S940" s="653"/>
      <c r="T940" s="653"/>
      <c r="U940" s="653"/>
    </row>
    <row r="941" spans="1:21" x14ac:dyDescent="0.25">
      <c r="A941" s="653"/>
      <c r="B941" s="653"/>
      <c r="C941" s="653"/>
      <c r="D941" s="653"/>
      <c r="E941" s="653"/>
      <c r="F941" s="653"/>
      <c r="G941" s="1243"/>
      <c r="H941" s="653"/>
      <c r="I941" s="653"/>
      <c r="J941" s="653"/>
      <c r="K941" s="653"/>
      <c r="L941" s="653"/>
      <c r="M941" s="653"/>
      <c r="N941" s="653"/>
      <c r="O941" s="653"/>
      <c r="P941" s="653"/>
      <c r="Q941" s="653"/>
      <c r="R941" s="653"/>
      <c r="S941" s="653"/>
      <c r="T941" s="653"/>
      <c r="U941" s="653"/>
    </row>
    <row r="942" spans="1:21" x14ac:dyDescent="0.25">
      <c r="A942" s="653"/>
      <c r="B942" s="653"/>
      <c r="C942" s="653"/>
      <c r="D942" s="653"/>
      <c r="E942" s="653"/>
      <c r="F942" s="653"/>
      <c r="G942" s="1243"/>
      <c r="H942" s="653"/>
      <c r="I942" s="653"/>
      <c r="J942" s="653"/>
      <c r="K942" s="653"/>
      <c r="L942" s="653"/>
      <c r="M942" s="653"/>
      <c r="N942" s="653"/>
      <c r="O942" s="653"/>
      <c r="P942" s="653"/>
      <c r="Q942" s="653"/>
      <c r="R942" s="653"/>
      <c r="S942" s="653"/>
      <c r="T942" s="653"/>
      <c r="U942" s="653"/>
    </row>
    <row r="943" spans="1:21" x14ac:dyDescent="0.25">
      <c r="A943" s="653"/>
      <c r="B943" s="653"/>
      <c r="C943" s="653"/>
      <c r="D943" s="653"/>
      <c r="E943" s="653"/>
      <c r="F943" s="653"/>
      <c r="G943" s="1243"/>
      <c r="H943" s="653"/>
      <c r="I943" s="653"/>
      <c r="J943" s="653"/>
      <c r="K943" s="653"/>
      <c r="L943" s="653"/>
      <c r="M943" s="653"/>
      <c r="N943" s="653"/>
      <c r="O943" s="653"/>
      <c r="P943" s="653"/>
      <c r="Q943" s="653"/>
      <c r="R943" s="653"/>
      <c r="S943" s="653"/>
      <c r="T943" s="653"/>
      <c r="U943" s="653"/>
    </row>
    <row r="944" spans="1:21" x14ac:dyDescent="0.25">
      <c r="A944" s="653"/>
      <c r="B944" s="653"/>
      <c r="C944" s="653"/>
      <c r="D944" s="653"/>
      <c r="E944" s="653"/>
      <c r="F944" s="653"/>
      <c r="G944" s="1243"/>
      <c r="H944" s="653"/>
      <c r="I944" s="653"/>
      <c r="J944" s="653"/>
      <c r="K944" s="653"/>
      <c r="L944" s="653"/>
      <c r="M944" s="653"/>
      <c r="N944" s="653"/>
      <c r="O944" s="653"/>
      <c r="P944" s="653"/>
      <c r="Q944" s="653"/>
      <c r="R944" s="653"/>
      <c r="S944" s="653"/>
      <c r="T944" s="653"/>
      <c r="U944" s="653"/>
    </row>
    <row r="945" spans="1:21" x14ac:dyDescent="0.25">
      <c r="A945" s="653"/>
      <c r="B945" s="653"/>
      <c r="C945" s="653"/>
      <c r="D945" s="653"/>
      <c r="E945" s="653"/>
      <c r="F945" s="653"/>
      <c r="G945" s="1243"/>
      <c r="H945" s="653"/>
      <c r="I945" s="653"/>
      <c r="J945" s="653"/>
      <c r="K945" s="653"/>
      <c r="L945" s="653"/>
      <c r="M945" s="653"/>
      <c r="N945" s="653"/>
      <c r="O945" s="653"/>
      <c r="P945" s="653"/>
      <c r="Q945" s="653"/>
      <c r="R945" s="653"/>
      <c r="S945" s="653"/>
      <c r="T945" s="653"/>
      <c r="U945" s="653"/>
    </row>
    <row r="946" spans="1:21" x14ac:dyDescent="0.25">
      <c r="A946" s="653"/>
      <c r="B946" s="653"/>
      <c r="C946" s="653"/>
      <c r="D946" s="653"/>
      <c r="E946" s="653"/>
      <c r="F946" s="653"/>
      <c r="G946" s="1243"/>
      <c r="H946" s="653"/>
      <c r="I946" s="653"/>
      <c r="J946" s="653"/>
      <c r="K946" s="653"/>
      <c r="L946" s="653"/>
      <c r="M946" s="653"/>
      <c r="N946" s="653"/>
      <c r="O946" s="653"/>
      <c r="P946" s="653"/>
      <c r="Q946" s="653"/>
      <c r="R946" s="653"/>
      <c r="S946" s="653"/>
      <c r="T946" s="653"/>
      <c r="U946" s="653"/>
    </row>
    <row r="947" spans="1:21" x14ac:dyDescent="0.25">
      <c r="A947" s="653"/>
      <c r="B947" s="653"/>
      <c r="C947" s="653"/>
      <c r="D947" s="653"/>
      <c r="E947" s="653"/>
      <c r="F947" s="653"/>
      <c r="G947" s="1243"/>
      <c r="H947" s="653"/>
      <c r="I947" s="653"/>
      <c r="J947" s="653"/>
      <c r="K947" s="653"/>
      <c r="L947" s="653"/>
      <c r="M947" s="653"/>
      <c r="N947" s="653"/>
      <c r="O947" s="653"/>
      <c r="P947" s="653"/>
      <c r="Q947" s="653"/>
      <c r="R947" s="653"/>
      <c r="S947" s="653"/>
      <c r="T947" s="653"/>
      <c r="U947" s="653"/>
    </row>
    <row r="948" spans="1:21" x14ac:dyDescent="0.25">
      <c r="A948" s="653"/>
      <c r="B948" s="653"/>
      <c r="C948" s="653"/>
      <c r="D948" s="653"/>
      <c r="E948" s="653"/>
      <c r="F948" s="653"/>
      <c r="G948" s="1243"/>
      <c r="H948" s="653"/>
      <c r="I948" s="653"/>
      <c r="J948" s="653"/>
      <c r="K948" s="653"/>
      <c r="L948" s="653"/>
      <c r="M948" s="653"/>
      <c r="N948" s="653"/>
      <c r="O948" s="653"/>
      <c r="P948" s="653"/>
      <c r="Q948" s="653"/>
      <c r="R948" s="653"/>
      <c r="S948" s="653"/>
      <c r="T948" s="653"/>
      <c r="U948" s="653"/>
    </row>
    <row r="949" spans="1:21" x14ac:dyDescent="0.25">
      <c r="A949" s="653"/>
      <c r="B949" s="653"/>
      <c r="C949" s="653"/>
      <c r="D949" s="653"/>
      <c r="E949" s="653"/>
      <c r="F949" s="653"/>
      <c r="G949" s="1243"/>
      <c r="H949" s="653"/>
      <c r="I949" s="653"/>
      <c r="J949" s="653"/>
      <c r="K949" s="653"/>
      <c r="L949" s="653"/>
      <c r="M949" s="653"/>
      <c r="N949" s="653"/>
      <c r="O949" s="653"/>
      <c r="P949" s="653"/>
      <c r="Q949" s="653"/>
      <c r="R949" s="653"/>
      <c r="S949" s="653"/>
      <c r="T949" s="653"/>
      <c r="U949" s="653"/>
    </row>
    <row r="950" spans="1:21" x14ac:dyDescent="0.25">
      <c r="A950" s="653"/>
      <c r="B950" s="653"/>
      <c r="C950" s="653"/>
      <c r="D950" s="653"/>
      <c r="E950" s="653"/>
      <c r="F950" s="653"/>
      <c r="G950" s="1243"/>
      <c r="H950" s="653"/>
      <c r="I950" s="653"/>
      <c r="J950" s="653"/>
      <c r="K950" s="653"/>
      <c r="L950" s="653"/>
      <c r="M950" s="653"/>
      <c r="N950" s="653"/>
      <c r="O950" s="653"/>
      <c r="P950" s="653"/>
      <c r="Q950" s="653"/>
      <c r="R950" s="653"/>
      <c r="S950" s="653"/>
      <c r="T950" s="653"/>
      <c r="U950" s="653"/>
    </row>
    <row r="951" spans="1:21" x14ac:dyDescent="0.25">
      <c r="A951" s="653"/>
      <c r="B951" s="653"/>
      <c r="C951" s="653"/>
      <c r="D951" s="653"/>
      <c r="E951" s="653"/>
      <c r="F951" s="653"/>
      <c r="G951" s="1243"/>
      <c r="H951" s="653"/>
      <c r="I951" s="653"/>
      <c r="J951" s="653"/>
      <c r="K951" s="653"/>
      <c r="L951" s="653"/>
      <c r="M951" s="653"/>
      <c r="N951" s="653"/>
      <c r="O951" s="653"/>
      <c r="P951" s="653"/>
      <c r="Q951" s="653"/>
      <c r="R951" s="653"/>
      <c r="S951" s="653"/>
      <c r="T951" s="653"/>
      <c r="U951" s="653"/>
    </row>
    <row r="952" spans="1:21" x14ac:dyDescent="0.25">
      <c r="A952" s="653"/>
      <c r="B952" s="653"/>
      <c r="C952" s="653"/>
      <c r="D952" s="653"/>
      <c r="E952" s="653"/>
      <c r="F952" s="653"/>
      <c r="G952" s="1243"/>
      <c r="H952" s="653"/>
      <c r="I952" s="653"/>
      <c r="J952" s="653"/>
      <c r="K952" s="653"/>
      <c r="L952" s="653"/>
      <c r="M952" s="653"/>
      <c r="N952" s="653"/>
      <c r="O952" s="653"/>
      <c r="P952" s="653"/>
      <c r="Q952" s="653"/>
      <c r="R952" s="653"/>
      <c r="S952" s="653"/>
      <c r="T952" s="653"/>
      <c r="U952" s="653"/>
    </row>
    <row r="953" spans="1:21" x14ac:dyDescent="0.25">
      <c r="A953" s="653"/>
      <c r="B953" s="653"/>
      <c r="C953" s="653"/>
      <c r="D953" s="653"/>
      <c r="E953" s="653"/>
      <c r="F953" s="653"/>
      <c r="G953" s="1243"/>
      <c r="H953" s="653"/>
      <c r="I953" s="653"/>
      <c r="J953" s="653"/>
      <c r="K953" s="653"/>
      <c r="L953" s="653"/>
      <c r="M953" s="653"/>
      <c r="N953" s="653"/>
      <c r="O953" s="653"/>
      <c r="P953" s="653"/>
      <c r="Q953" s="653"/>
      <c r="R953" s="653"/>
      <c r="S953" s="653"/>
      <c r="T953" s="653"/>
      <c r="U953" s="653"/>
    </row>
    <row r="954" spans="1:21" x14ac:dyDescent="0.25">
      <c r="A954" s="653"/>
      <c r="B954" s="653"/>
      <c r="C954" s="653"/>
      <c r="D954" s="653"/>
      <c r="E954" s="653"/>
      <c r="F954" s="653"/>
      <c r="G954" s="1243"/>
      <c r="H954" s="653"/>
      <c r="I954" s="653"/>
      <c r="J954" s="653"/>
      <c r="K954" s="653"/>
      <c r="L954" s="653"/>
      <c r="M954" s="653"/>
      <c r="N954" s="653"/>
      <c r="O954" s="653"/>
      <c r="P954" s="653"/>
      <c r="Q954" s="653"/>
      <c r="R954" s="653"/>
      <c r="S954" s="653"/>
      <c r="T954" s="653"/>
      <c r="U954" s="653"/>
    </row>
    <row r="955" spans="1:21" x14ac:dyDescent="0.25">
      <c r="A955" s="653"/>
      <c r="B955" s="653"/>
      <c r="C955" s="653"/>
      <c r="D955" s="653"/>
      <c r="E955" s="653"/>
      <c r="F955" s="653"/>
      <c r="G955" s="1243"/>
      <c r="H955" s="653"/>
      <c r="I955" s="653"/>
      <c r="J955" s="653"/>
      <c r="K955" s="653"/>
      <c r="L955" s="653"/>
      <c r="M955" s="653"/>
      <c r="N955" s="653"/>
      <c r="O955" s="653"/>
      <c r="P955" s="653"/>
      <c r="Q955" s="653"/>
      <c r="R955" s="653"/>
      <c r="S955" s="653"/>
      <c r="T955" s="653"/>
      <c r="U955" s="653"/>
    </row>
    <row r="956" spans="1:21" x14ac:dyDescent="0.25">
      <c r="A956" s="653"/>
      <c r="B956" s="653"/>
      <c r="C956" s="653"/>
      <c r="D956" s="653"/>
      <c r="E956" s="653"/>
      <c r="F956" s="653"/>
      <c r="G956" s="1243"/>
      <c r="H956" s="653"/>
      <c r="I956" s="653"/>
      <c r="J956" s="653"/>
      <c r="K956" s="653"/>
      <c r="L956" s="653"/>
      <c r="M956" s="653"/>
      <c r="N956" s="653"/>
      <c r="O956" s="653"/>
      <c r="P956" s="653"/>
      <c r="Q956" s="653"/>
      <c r="R956" s="653"/>
      <c r="S956" s="653"/>
      <c r="T956" s="653"/>
      <c r="U956" s="653"/>
    </row>
    <row r="957" spans="1:21" x14ac:dyDescent="0.25">
      <c r="A957" s="653"/>
      <c r="B957" s="653"/>
      <c r="C957" s="653"/>
      <c r="D957" s="653"/>
      <c r="E957" s="653"/>
      <c r="F957" s="653"/>
      <c r="G957" s="1243"/>
      <c r="H957" s="653"/>
      <c r="I957" s="653"/>
      <c r="J957" s="653"/>
      <c r="K957" s="653"/>
      <c r="L957" s="653"/>
      <c r="M957" s="653"/>
      <c r="N957" s="653"/>
      <c r="O957" s="653"/>
      <c r="P957" s="653"/>
      <c r="Q957" s="653"/>
      <c r="R957" s="653"/>
      <c r="S957" s="653"/>
      <c r="T957" s="653"/>
      <c r="U957" s="653"/>
    </row>
    <row r="958" spans="1:21" x14ac:dyDescent="0.25">
      <c r="A958" s="653"/>
      <c r="B958" s="653"/>
      <c r="C958" s="653"/>
      <c r="D958" s="653"/>
      <c r="E958" s="653"/>
      <c r="F958" s="653"/>
      <c r="G958" s="1243"/>
      <c r="H958" s="653"/>
      <c r="I958" s="653"/>
      <c r="J958" s="653"/>
      <c r="K958" s="653"/>
      <c r="L958" s="653"/>
      <c r="M958" s="653"/>
      <c r="N958" s="653"/>
      <c r="O958" s="653"/>
      <c r="P958" s="653"/>
      <c r="Q958" s="653"/>
      <c r="R958" s="653"/>
      <c r="S958" s="653"/>
      <c r="T958" s="653"/>
      <c r="U958" s="653"/>
    </row>
    <row r="959" spans="1:21" x14ac:dyDescent="0.25">
      <c r="A959" s="653"/>
      <c r="B959" s="653"/>
      <c r="C959" s="653"/>
      <c r="D959" s="653"/>
      <c r="E959" s="653"/>
      <c r="F959" s="653"/>
      <c r="G959" s="1243"/>
      <c r="H959" s="653"/>
      <c r="I959" s="653"/>
      <c r="J959" s="653"/>
      <c r="K959" s="653"/>
      <c r="L959" s="653"/>
      <c r="M959" s="653"/>
      <c r="N959" s="653"/>
      <c r="O959" s="653"/>
      <c r="P959" s="653"/>
      <c r="Q959" s="653"/>
      <c r="R959" s="653"/>
      <c r="S959" s="653"/>
      <c r="T959" s="653"/>
      <c r="U959" s="653"/>
    </row>
    <row r="960" spans="1:21" x14ac:dyDescent="0.25">
      <c r="A960" s="653"/>
      <c r="B960" s="653"/>
      <c r="C960" s="653"/>
      <c r="D960" s="653"/>
      <c r="E960" s="653"/>
      <c r="F960" s="653"/>
      <c r="G960" s="1243"/>
      <c r="H960" s="653"/>
      <c r="I960" s="653"/>
      <c r="J960" s="653"/>
      <c r="K960" s="653"/>
      <c r="L960" s="653"/>
      <c r="M960" s="653"/>
      <c r="N960" s="653"/>
      <c r="O960" s="653"/>
      <c r="P960" s="653"/>
      <c r="Q960" s="653"/>
      <c r="R960" s="653"/>
      <c r="S960" s="653"/>
      <c r="T960" s="653"/>
      <c r="U960" s="653"/>
    </row>
    <row r="961" spans="1:21" x14ac:dyDescent="0.25">
      <c r="A961" s="653"/>
      <c r="B961" s="653"/>
      <c r="C961" s="653"/>
      <c r="D961" s="653"/>
      <c r="E961" s="653"/>
      <c r="F961" s="653"/>
      <c r="G961" s="1243"/>
      <c r="H961" s="653"/>
      <c r="I961" s="653"/>
      <c r="J961" s="653"/>
      <c r="K961" s="653"/>
      <c r="L961" s="653"/>
      <c r="M961" s="653"/>
      <c r="N961" s="653"/>
      <c r="O961" s="653"/>
      <c r="P961" s="653"/>
      <c r="Q961" s="653"/>
      <c r="R961" s="653"/>
      <c r="S961" s="653"/>
      <c r="T961" s="653"/>
      <c r="U961" s="653"/>
    </row>
    <row r="962" spans="1:21" x14ac:dyDescent="0.25">
      <c r="A962" s="653"/>
      <c r="B962" s="653"/>
      <c r="C962" s="653"/>
      <c r="D962" s="653"/>
      <c r="E962" s="653"/>
      <c r="F962" s="653"/>
      <c r="G962" s="1243"/>
      <c r="H962" s="653"/>
      <c r="I962" s="653"/>
      <c r="J962" s="653"/>
      <c r="K962" s="653"/>
      <c r="L962" s="653"/>
      <c r="M962" s="653"/>
      <c r="N962" s="653"/>
      <c r="O962" s="653"/>
      <c r="P962" s="653"/>
      <c r="Q962" s="653"/>
      <c r="R962" s="653"/>
      <c r="S962" s="653"/>
      <c r="T962" s="653"/>
      <c r="U962" s="653"/>
    </row>
    <row r="963" spans="1:21" x14ac:dyDescent="0.25">
      <c r="A963" s="653"/>
      <c r="B963" s="653"/>
      <c r="C963" s="653"/>
      <c r="D963" s="653"/>
      <c r="E963" s="653"/>
      <c r="F963" s="653"/>
      <c r="G963" s="1243"/>
      <c r="H963" s="653"/>
      <c r="I963" s="653"/>
      <c r="J963" s="653"/>
      <c r="K963" s="653"/>
      <c r="L963" s="653"/>
      <c r="M963" s="653"/>
      <c r="N963" s="653"/>
      <c r="O963" s="653"/>
      <c r="P963" s="653"/>
      <c r="Q963" s="653"/>
      <c r="R963" s="653"/>
      <c r="S963" s="653"/>
      <c r="T963" s="653"/>
      <c r="U963" s="653"/>
    </row>
    <row r="964" spans="1:21" x14ac:dyDescent="0.25">
      <c r="A964" s="653"/>
      <c r="B964" s="653"/>
      <c r="C964" s="653"/>
      <c r="D964" s="653"/>
      <c r="E964" s="653"/>
      <c r="F964" s="653"/>
      <c r="G964" s="1243"/>
      <c r="H964" s="653"/>
      <c r="I964" s="653"/>
      <c r="J964" s="653"/>
      <c r="K964" s="653"/>
      <c r="L964" s="653"/>
      <c r="M964" s="653"/>
      <c r="N964" s="653"/>
      <c r="O964" s="653"/>
      <c r="P964" s="653"/>
      <c r="Q964" s="653"/>
      <c r="R964" s="653"/>
      <c r="S964" s="653"/>
      <c r="T964" s="653"/>
      <c r="U964" s="653"/>
    </row>
    <row r="965" spans="1:21" x14ac:dyDescent="0.25">
      <c r="A965" s="653"/>
      <c r="B965" s="653"/>
      <c r="C965" s="653"/>
      <c r="D965" s="653"/>
      <c r="E965" s="653"/>
      <c r="F965" s="653"/>
      <c r="G965" s="1243"/>
      <c r="H965" s="653"/>
      <c r="I965" s="653"/>
      <c r="J965" s="653"/>
      <c r="K965" s="653"/>
      <c r="L965" s="653"/>
      <c r="M965" s="653"/>
      <c r="N965" s="653"/>
      <c r="O965" s="653"/>
      <c r="P965" s="653"/>
      <c r="Q965" s="653"/>
      <c r="R965" s="653"/>
      <c r="S965" s="653"/>
      <c r="T965" s="653"/>
      <c r="U965" s="653"/>
    </row>
    <row r="966" spans="1:21" x14ac:dyDescent="0.25">
      <c r="A966" s="653"/>
      <c r="B966" s="653"/>
      <c r="C966" s="653"/>
      <c r="D966" s="653"/>
      <c r="E966" s="653"/>
      <c r="F966" s="653"/>
      <c r="G966" s="1243"/>
      <c r="H966" s="653"/>
      <c r="I966" s="653"/>
      <c r="J966" s="653"/>
      <c r="K966" s="653"/>
      <c r="L966" s="653"/>
      <c r="M966" s="653"/>
      <c r="N966" s="653"/>
      <c r="O966" s="653"/>
      <c r="P966" s="653"/>
      <c r="Q966" s="653"/>
      <c r="R966" s="653"/>
      <c r="S966" s="653"/>
      <c r="T966" s="653"/>
      <c r="U966" s="653"/>
    </row>
    <row r="967" spans="1:21" x14ac:dyDescent="0.25">
      <c r="A967" s="653"/>
      <c r="B967" s="653"/>
      <c r="C967" s="653"/>
      <c r="D967" s="653"/>
      <c r="E967" s="653"/>
      <c r="F967" s="653"/>
      <c r="G967" s="1243"/>
      <c r="H967" s="653"/>
      <c r="I967" s="653"/>
      <c r="J967" s="653"/>
      <c r="K967" s="653"/>
      <c r="L967" s="653"/>
      <c r="M967" s="653"/>
      <c r="N967" s="653"/>
      <c r="O967" s="653"/>
      <c r="P967" s="653"/>
      <c r="Q967" s="653"/>
      <c r="R967" s="653"/>
      <c r="S967" s="653"/>
      <c r="T967" s="653"/>
      <c r="U967" s="653"/>
    </row>
    <row r="968" spans="1:21" x14ac:dyDescent="0.25">
      <c r="A968" s="653"/>
      <c r="B968" s="653"/>
      <c r="C968" s="653"/>
      <c r="D968" s="653"/>
      <c r="E968" s="653"/>
      <c r="F968" s="653"/>
      <c r="G968" s="1243"/>
      <c r="H968" s="653"/>
      <c r="I968" s="653"/>
      <c r="J968" s="653"/>
      <c r="K968" s="653"/>
      <c r="L968" s="653"/>
      <c r="M968" s="653"/>
      <c r="N968" s="653"/>
      <c r="O968" s="653"/>
      <c r="P968" s="653"/>
      <c r="Q968" s="653"/>
      <c r="R968" s="653"/>
      <c r="S968" s="653"/>
      <c r="T968" s="653"/>
      <c r="U968" s="653"/>
    </row>
    <row r="969" spans="1:21" x14ac:dyDescent="0.25">
      <c r="A969" s="653"/>
      <c r="B969" s="653"/>
      <c r="C969" s="653"/>
      <c r="D969" s="653"/>
      <c r="E969" s="653"/>
      <c r="F969" s="653"/>
      <c r="G969" s="1243"/>
      <c r="H969" s="653"/>
      <c r="I969" s="653"/>
      <c r="J969" s="653"/>
      <c r="K969" s="653"/>
      <c r="L969" s="653"/>
      <c r="M969" s="653"/>
      <c r="N969" s="653"/>
      <c r="O969" s="653"/>
      <c r="P969" s="653"/>
      <c r="Q969" s="653"/>
      <c r="R969" s="653"/>
      <c r="S969" s="653"/>
      <c r="T969" s="653"/>
      <c r="U969" s="653"/>
    </row>
    <row r="970" spans="1:21" x14ac:dyDescent="0.25">
      <c r="A970" s="653"/>
      <c r="B970" s="653"/>
      <c r="C970" s="653"/>
      <c r="D970" s="653"/>
      <c r="E970" s="653"/>
      <c r="F970" s="653"/>
      <c r="G970" s="1243"/>
      <c r="H970" s="653"/>
      <c r="I970" s="653"/>
      <c r="J970" s="653"/>
      <c r="K970" s="653"/>
      <c r="L970" s="653"/>
      <c r="M970" s="653"/>
      <c r="N970" s="653"/>
      <c r="O970" s="653"/>
      <c r="P970" s="653"/>
      <c r="Q970" s="653"/>
      <c r="R970" s="653"/>
      <c r="S970" s="653"/>
      <c r="T970" s="653"/>
      <c r="U970" s="653"/>
    </row>
    <row r="971" spans="1:21" x14ac:dyDescent="0.25">
      <c r="A971" s="653"/>
      <c r="B971" s="653"/>
      <c r="C971" s="653"/>
      <c r="D971" s="653"/>
      <c r="E971" s="653"/>
      <c r="F971" s="653"/>
      <c r="G971" s="1243"/>
      <c r="H971" s="653"/>
      <c r="I971" s="653"/>
      <c r="J971" s="653"/>
      <c r="K971" s="653"/>
      <c r="L971" s="653"/>
      <c r="M971" s="653"/>
      <c r="N971" s="653"/>
      <c r="O971" s="653"/>
      <c r="P971" s="653"/>
      <c r="Q971" s="653"/>
      <c r="R971" s="653"/>
      <c r="S971" s="653"/>
      <c r="T971" s="653"/>
      <c r="U971" s="653"/>
    </row>
    <row r="972" spans="1:21" x14ac:dyDescent="0.25">
      <c r="A972" s="653"/>
      <c r="B972" s="653"/>
      <c r="C972" s="653"/>
      <c r="D972" s="653"/>
      <c r="E972" s="653"/>
      <c r="F972" s="653"/>
      <c r="G972" s="1243"/>
      <c r="H972" s="653"/>
      <c r="I972" s="653"/>
      <c r="J972" s="653"/>
      <c r="K972" s="653"/>
      <c r="L972" s="653"/>
      <c r="M972" s="653"/>
      <c r="N972" s="653"/>
      <c r="O972" s="653"/>
      <c r="P972" s="653"/>
      <c r="Q972" s="653"/>
      <c r="R972" s="653"/>
      <c r="S972" s="653"/>
      <c r="T972" s="653"/>
      <c r="U972" s="653"/>
    </row>
    <row r="973" spans="1:21" x14ac:dyDescent="0.25">
      <c r="A973" s="653"/>
      <c r="B973" s="653"/>
      <c r="C973" s="653"/>
      <c r="D973" s="653"/>
      <c r="E973" s="653"/>
      <c r="F973" s="653"/>
      <c r="G973" s="1243"/>
      <c r="H973" s="653"/>
      <c r="I973" s="653"/>
      <c r="J973" s="653"/>
      <c r="K973" s="653"/>
      <c r="L973" s="653"/>
      <c r="M973" s="653"/>
      <c r="N973" s="653"/>
      <c r="O973" s="653"/>
      <c r="P973" s="653"/>
      <c r="Q973" s="653"/>
      <c r="R973" s="653"/>
      <c r="S973" s="653"/>
      <c r="T973" s="653"/>
      <c r="U973" s="653"/>
    </row>
    <row r="974" spans="1:21" x14ac:dyDescent="0.25">
      <c r="A974" s="653"/>
      <c r="B974" s="653"/>
      <c r="C974" s="653"/>
      <c r="D974" s="653"/>
      <c r="E974" s="653"/>
      <c r="F974" s="653"/>
      <c r="G974" s="1243"/>
      <c r="H974" s="653"/>
      <c r="I974" s="653"/>
      <c r="J974" s="653"/>
      <c r="K974" s="653"/>
      <c r="L974" s="653"/>
      <c r="M974" s="653"/>
      <c r="N974" s="653"/>
      <c r="O974" s="653"/>
      <c r="P974" s="653"/>
      <c r="Q974" s="653"/>
      <c r="R974" s="653"/>
      <c r="S974" s="653"/>
      <c r="T974" s="653"/>
      <c r="U974" s="653"/>
    </row>
    <row r="975" spans="1:21" x14ac:dyDescent="0.25">
      <c r="A975" s="653"/>
      <c r="B975" s="653"/>
      <c r="C975" s="653"/>
      <c r="D975" s="653"/>
      <c r="E975" s="653"/>
      <c r="F975" s="653"/>
      <c r="G975" s="1243"/>
      <c r="H975" s="653"/>
      <c r="I975" s="653"/>
      <c r="J975" s="653"/>
      <c r="K975" s="653"/>
      <c r="L975" s="653"/>
      <c r="M975" s="653"/>
      <c r="N975" s="653"/>
      <c r="O975" s="653"/>
      <c r="P975" s="653"/>
      <c r="Q975" s="653"/>
      <c r="R975" s="653"/>
      <c r="S975" s="653"/>
      <c r="T975" s="653"/>
      <c r="U975" s="653"/>
    </row>
    <row r="976" spans="1:21" x14ac:dyDescent="0.25">
      <c r="A976" s="653"/>
      <c r="B976" s="653"/>
      <c r="C976" s="653"/>
      <c r="D976" s="653"/>
      <c r="E976" s="653"/>
      <c r="F976" s="653"/>
      <c r="G976" s="1243"/>
      <c r="H976" s="653"/>
      <c r="I976" s="653"/>
      <c r="J976" s="653"/>
      <c r="K976" s="653"/>
      <c r="L976" s="653"/>
      <c r="M976" s="653"/>
      <c r="N976" s="653"/>
      <c r="O976" s="653"/>
      <c r="P976" s="653"/>
      <c r="Q976" s="653"/>
      <c r="R976" s="653"/>
      <c r="S976" s="653"/>
      <c r="T976" s="653"/>
      <c r="U976" s="653"/>
    </row>
    <row r="977" spans="1:21" x14ac:dyDescent="0.25">
      <c r="A977" s="653"/>
      <c r="B977" s="653"/>
      <c r="C977" s="653"/>
      <c r="D977" s="653"/>
      <c r="E977" s="653"/>
      <c r="F977" s="653"/>
      <c r="G977" s="1243"/>
      <c r="H977" s="653"/>
      <c r="I977" s="653"/>
      <c r="J977" s="653"/>
      <c r="K977" s="653"/>
      <c r="L977" s="653"/>
      <c r="M977" s="653"/>
      <c r="N977" s="653"/>
      <c r="O977" s="653"/>
      <c r="P977" s="653"/>
      <c r="Q977" s="653"/>
      <c r="R977" s="653"/>
      <c r="S977" s="653"/>
      <c r="T977" s="653"/>
      <c r="U977" s="653"/>
    </row>
    <row r="978" spans="1:21" x14ac:dyDescent="0.25">
      <c r="A978" s="653"/>
      <c r="B978" s="653"/>
      <c r="C978" s="653"/>
      <c r="D978" s="653"/>
      <c r="E978" s="653"/>
      <c r="F978" s="653"/>
      <c r="G978" s="1243"/>
      <c r="H978" s="653"/>
      <c r="I978" s="653"/>
      <c r="J978" s="653"/>
      <c r="K978" s="653"/>
      <c r="L978" s="653"/>
      <c r="M978" s="653"/>
      <c r="N978" s="653"/>
      <c r="O978" s="653"/>
      <c r="P978" s="653"/>
      <c r="Q978" s="653"/>
      <c r="R978" s="653"/>
      <c r="S978" s="653"/>
      <c r="T978" s="653"/>
      <c r="U978" s="653"/>
    </row>
    <row r="979" spans="1:21" x14ac:dyDescent="0.25">
      <c r="A979" s="653"/>
      <c r="B979" s="653"/>
      <c r="C979" s="653"/>
      <c r="D979" s="653"/>
      <c r="E979" s="653"/>
      <c r="F979" s="653"/>
      <c r="G979" s="1243"/>
      <c r="H979" s="653"/>
      <c r="I979" s="653"/>
      <c r="J979" s="653"/>
      <c r="K979" s="653"/>
      <c r="L979" s="653"/>
      <c r="M979" s="653"/>
      <c r="N979" s="653"/>
      <c r="O979" s="653"/>
      <c r="P979" s="653"/>
      <c r="Q979" s="653"/>
      <c r="R979" s="653"/>
      <c r="S979" s="653"/>
      <c r="T979" s="653"/>
      <c r="U979" s="653"/>
    </row>
    <row r="980" spans="1:21" x14ac:dyDescent="0.25">
      <c r="A980" s="653"/>
      <c r="B980" s="653"/>
      <c r="C980" s="653"/>
      <c r="D980" s="653"/>
      <c r="E980" s="653"/>
      <c r="F980" s="653"/>
      <c r="G980" s="1243"/>
      <c r="H980" s="653"/>
      <c r="I980" s="653"/>
      <c r="J980" s="653"/>
      <c r="K980" s="653"/>
      <c r="L980" s="653"/>
      <c r="M980" s="653"/>
      <c r="N980" s="653"/>
      <c r="O980" s="653"/>
      <c r="P980" s="653"/>
      <c r="Q980" s="653"/>
      <c r="R980" s="653"/>
      <c r="S980" s="653"/>
      <c r="T980" s="653"/>
      <c r="U980" s="653"/>
    </row>
    <row r="981" spans="1:21" x14ac:dyDescent="0.25">
      <c r="A981" s="653"/>
      <c r="B981" s="653"/>
      <c r="C981" s="653"/>
      <c r="D981" s="653"/>
      <c r="E981" s="653"/>
      <c r="F981" s="653"/>
      <c r="G981" s="1243"/>
      <c r="H981" s="653"/>
      <c r="I981" s="653"/>
      <c r="J981" s="653"/>
      <c r="K981" s="653"/>
      <c r="L981" s="653"/>
      <c r="M981" s="653"/>
      <c r="N981" s="653"/>
      <c r="O981" s="653"/>
      <c r="P981" s="653"/>
      <c r="Q981" s="653"/>
      <c r="R981" s="653"/>
      <c r="S981" s="653"/>
      <c r="T981" s="653"/>
      <c r="U981" s="653"/>
    </row>
    <row r="982" spans="1:21" x14ac:dyDescent="0.25">
      <c r="A982" s="653"/>
      <c r="B982" s="653"/>
      <c r="C982" s="653"/>
      <c r="D982" s="653"/>
      <c r="E982" s="653"/>
      <c r="F982" s="653"/>
      <c r="G982" s="1243"/>
      <c r="H982" s="653"/>
      <c r="I982" s="653"/>
      <c r="J982" s="653"/>
      <c r="K982" s="653"/>
      <c r="L982" s="653"/>
      <c r="M982" s="653"/>
      <c r="N982" s="653"/>
      <c r="O982" s="653"/>
      <c r="P982" s="653"/>
      <c r="Q982" s="653"/>
      <c r="R982" s="653"/>
      <c r="S982" s="653"/>
      <c r="T982" s="653"/>
      <c r="U982" s="653"/>
    </row>
    <row r="983" spans="1:21" x14ac:dyDescent="0.25">
      <c r="A983" s="653"/>
      <c r="B983" s="653"/>
      <c r="C983" s="653"/>
      <c r="D983" s="653"/>
      <c r="E983" s="653"/>
      <c r="F983" s="653"/>
      <c r="G983" s="1243"/>
      <c r="H983" s="653"/>
      <c r="I983" s="653"/>
      <c r="J983" s="653"/>
      <c r="K983" s="653"/>
      <c r="L983" s="653"/>
      <c r="M983" s="653"/>
      <c r="N983" s="653"/>
      <c r="O983" s="653"/>
      <c r="P983" s="653"/>
      <c r="Q983" s="653"/>
      <c r="R983" s="653"/>
      <c r="S983" s="653"/>
      <c r="T983" s="653"/>
      <c r="U983" s="653"/>
    </row>
    <row r="984" spans="1:21" x14ac:dyDescent="0.25">
      <c r="A984" s="653"/>
      <c r="B984" s="653"/>
      <c r="C984" s="653"/>
      <c r="D984" s="653"/>
      <c r="E984" s="653"/>
      <c r="F984" s="653"/>
      <c r="G984" s="1243"/>
      <c r="H984" s="653"/>
      <c r="I984" s="653"/>
      <c r="J984" s="653"/>
      <c r="K984" s="653"/>
      <c r="L984" s="653"/>
      <c r="M984" s="653"/>
      <c r="N984" s="653"/>
      <c r="O984" s="653"/>
      <c r="P984" s="653"/>
      <c r="Q984" s="653"/>
      <c r="R984" s="653"/>
      <c r="S984" s="653"/>
      <c r="T984" s="653"/>
      <c r="U984" s="653"/>
    </row>
    <row r="985" spans="1:21" x14ac:dyDescent="0.25">
      <c r="A985" s="653"/>
      <c r="B985" s="653"/>
      <c r="C985" s="653"/>
      <c r="D985" s="653"/>
      <c r="E985" s="653"/>
      <c r="F985" s="653"/>
      <c r="G985" s="1243"/>
      <c r="H985" s="653"/>
      <c r="I985" s="653"/>
      <c r="J985" s="653"/>
      <c r="K985" s="653"/>
      <c r="L985" s="653"/>
      <c r="M985" s="653"/>
      <c r="N985" s="653"/>
      <c r="O985" s="653"/>
      <c r="P985" s="653"/>
      <c r="Q985" s="653"/>
      <c r="R985" s="653"/>
      <c r="S985" s="653"/>
      <c r="T985" s="653"/>
      <c r="U985" s="653"/>
    </row>
    <row r="986" spans="1:21" x14ac:dyDescent="0.25">
      <c r="A986" s="653"/>
      <c r="B986" s="653"/>
      <c r="C986" s="653"/>
      <c r="D986" s="653"/>
      <c r="E986" s="653"/>
      <c r="F986" s="653"/>
      <c r="G986" s="1243"/>
      <c r="H986" s="653"/>
      <c r="I986" s="653"/>
      <c r="J986" s="653"/>
      <c r="K986" s="653"/>
      <c r="L986" s="653"/>
      <c r="M986" s="653"/>
      <c r="N986" s="653"/>
      <c r="O986" s="653"/>
      <c r="P986" s="653"/>
      <c r="Q986" s="653"/>
      <c r="R986" s="653"/>
      <c r="S986" s="653"/>
      <c r="T986" s="653"/>
      <c r="U986" s="653"/>
    </row>
    <row r="987" spans="1:21" x14ac:dyDescent="0.25">
      <c r="A987" s="653"/>
      <c r="B987" s="653"/>
      <c r="C987" s="653"/>
      <c r="D987" s="653"/>
      <c r="E987" s="653"/>
      <c r="F987" s="653"/>
      <c r="G987" s="1243"/>
      <c r="H987" s="653"/>
      <c r="I987" s="653"/>
      <c r="J987" s="653"/>
      <c r="K987" s="653"/>
      <c r="L987" s="653"/>
      <c r="M987" s="653"/>
      <c r="N987" s="653"/>
      <c r="O987" s="653"/>
      <c r="P987" s="653"/>
      <c r="Q987" s="653"/>
      <c r="R987" s="653"/>
      <c r="S987" s="653"/>
      <c r="T987" s="653"/>
      <c r="U987" s="653"/>
    </row>
    <row r="988" spans="1:21" x14ac:dyDescent="0.25">
      <c r="A988" s="653"/>
      <c r="B988" s="653"/>
      <c r="C988" s="653"/>
      <c r="D988" s="653"/>
      <c r="E988" s="653"/>
      <c r="F988" s="653"/>
      <c r="G988" s="1243"/>
      <c r="H988" s="653"/>
      <c r="I988" s="653"/>
      <c r="J988" s="653"/>
      <c r="K988" s="653"/>
      <c r="L988" s="653"/>
      <c r="M988" s="653"/>
      <c r="N988" s="653"/>
      <c r="O988" s="653"/>
      <c r="P988" s="653"/>
      <c r="Q988" s="653"/>
      <c r="R988" s="653"/>
      <c r="S988" s="653"/>
      <c r="T988" s="653"/>
      <c r="U988" s="653"/>
    </row>
    <row r="989" spans="1:21" x14ac:dyDescent="0.25">
      <c r="A989" s="653"/>
      <c r="B989" s="653"/>
      <c r="C989" s="653"/>
      <c r="D989" s="653"/>
      <c r="E989" s="653"/>
      <c r="F989" s="653"/>
      <c r="G989" s="1243"/>
      <c r="H989" s="653"/>
      <c r="I989" s="653"/>
      <c r="J989" s="653"/>
      <c r="K989" s="653"/>
      <c r="L989" s="653"/>
      <c r="M989" s="653"/>
      <c r="N989" s="653"/>
      <c r="O989" s="653"/>
      <c r="P989" s="653"/>
      <c r="Q989" s="653"/>
      <c r="R989" s="653"/>
      <c r="S989" s="653"/>
      <c r="T989" s="653"/>
      <c r="U989" s="653"/>
    </row>
    <row r="990" spans="1:21" x14ac:dyDescent="0.25">
      <c r="A990" s="653"/>
      <c r="B990" s="653"/>
      <c r="C990" s="653"/>
      <c r="D990" s="653"/>
      <c r="E990" s="653"/>
      <c r="F990" s="653"/>
      <c r="G990" s="1243"/>
      <c r="H990" s="653"/>
      <c r="I990" s="653"/>
      <c r="J990" s="653"/>
      <c r="K990" s="653"/>
      <c r="L990" s="653"/>
      <c r="M990" s="653"/>
      <c r="N990" s="653"/>
      <c r="O990" s="653"/>
      <c r="P990" s="653"/>
      <c r="Q990" s="653"/>
      <c r="R990" s="653"/>
      <c r="S990" s="653"/>
      <c r="T990" s="653"/>
      <c r="U990" s="653"/>
    </row>
    <row r="991" spans="1:21" x14ac:dyDescent="0.25">
      <c r="A991" s="653"/>
      <c r="B991" s="653"/>
      <c r="C991" s="653"/>
      <c r="D991" s="653"/>
      <c r="E991" s="653"/>
      <c r="F991" s="653"/>
      <c r="G991" s="1243"/>
      <c r="H991" s="653"/>
      <c r="I991" s="653"/>
      <c r="J991" s="653"/>
      <c r="K991" s="653"/>
      <c r="L991" s="653"/>
      <c r="M991" s="653"/>
      <c r="N991" s="653"/>
      <c r="O991" s="653"/>
      <c r="P991" s="653"/>
      <c r="Q991" s="653"/>
      <c r="R991" s="653"/>
      <c r="S991" s="653"/>
      <c r="T991" s="653"/>
      <c r="U991" s="653"/>
    </row>
    <row r="992" spans="1:21" x14ac:dyDescent="0.25">
      <c r="A992" s="653"/>
      <c r="B992" s="653"/>
      <c r="C992" s="653"/>
      <c r="D992" s="653"/>
      <c r="E992" s="653"/>
      <c r="F992" s="653"/>
      <c r="G992" s="1243"/>
      <c r="H992" s="653"/>
      <c r="I992" s="653"/>
      <c r="J992" s="653"/>
      <c r="K992" s="653"/>
      <c r="L992" s="653"/>
      <c r="M992" s="653"/>
      <c r="N992" s="653"/>
      <c r="O992" s="653"/>
      <c r="P992" s="653"/>
      <c r="Q992" s="653"/>
      <c r="R992" s="653"/>
      <c r="S992" s="653"/>
      <c r="T992" s="653"/>
      <c r="U992" s="653"/>
    </row>
    <row r="993" spans="1:21" x14ac:dyDescent="0.25">
      <c r="A993" s="653"/>
      <c r="B993" s="653"/>
      <c r="C993" s="653"/>
      <c r="D993" s="653"/>
      <c r="E993" s="653"/>
      <c r="F993" s="653"/>
      <c r="G993" s="1243"/>
      <c r="H993" s="653"/>
      <c r="I993" s="653"/>
      <c r="J993" s="653"/>
      <c r="K993" s="653"/>
      <c r="L993" s="653"/>
      <c r="M993" s="653"/>
      <c r="N993" s="653"/>
      <c r="O993" s="653"/>
      <c r="P993" s="653"/>
      <c r="Q993" s="653"/>
      <c r="R993" s="653"/>
      <c r="S993" s="653"/>
      <c r="T993" s="653"/>
      <c r="U993" s="653"/>
    </row>
    <row r="994" spans="1:21" x14ac:dyDescent="0.25">
      <c r="A994" s="653"/>
      <c r="B994" s="653"/>
      <c r="C994" s="653"/>
      <c r="D994" s="653"/>
      <c r="E994" s="653"/>
      <c r="F994" s="653"/>
      <c r="G994" s="1243"/>
      <c r="H994" s="653"/>
      <c r="I994" s="653"/>
      <c r="J994" s="653"/>
      <c r="K994" s="653"/>
      <c r="L994" s="653"/>
      <c r="M994" s="653"/>
      <c r="N994" s="653"/>
      <c r="O994" s="653"/>
      <c r="P994" s="653"/>
      <c r="Q994" s="653"/>
      <c r="R994" s="653"/>
      <c r="S994" s="653"/>
      <c r="T994" s="653"/>
      <c r="U994" s="653"/>
    </row>
    <row r="995" spans="1:21" x14ac:dyDescent="0.25">
      <c r="A995" s="653"/>
      <c r="B995" s="653"/>
      <c r="C995" s="653"/>
      <c r="D995" s="653"/>
      <c r="E995" s="653"/>
      <c r="F995" s="653"/>
      <c r="G995" s="1243"/>
      <c r="H995" s="653"/>
      <c r="I995" s="653"/>
      <c r="J995" s="653"/>
      <c r="K995" s="653"/>
      <c r="L995" s="653"/>
      <c r="M995" s="653"/>
      <c r="N995" s="653"/>
      <c r="O995" s="653"/>
      <c r="P995" s="653"/>
      <c r="Q995" s="653"/>
      <c r="R995" s="653"/>
      <c r="S995" s="653"/>
      <c r="T995" s="653"/>
      <c r="U995" s="653"/>
    </row>
    <row r="996" spans="1:21" x14ac:dyDescent="0.25">
      <c r="A996" s="653"/>
      <c r="B996" s="653"/>
      <c r="C996" s="653"/>
      <c r="D996" s="653"/>
      <c r="E996" s="653"/>
      <c r="F996" s="653"/>
      <c r="G996" s="1243"/>
      <c r="H996" s="653"/>
      <c r="I996" s="653"/>
      <c r="J996" s="653"/>
      <c r="K996" s="653"/>
      <c r="L996" s="653"/>
      <c r="M996" s="653"/>
      <c r="N996" s="653"/>
      <c r="O996" s="653"/>
      <c r="P996" s="653"/>
      <c r="Q996" s="653"/>
      <c r="R996" s="653"/>
      <c r="S996" s="653"/>
      <c r="T996" s="653"/>
      <c r="U996" s="653"/>
    </row>
    <row r="997" spans="1:21" x14ac:dyDescent="0.25">
      <c r="A997" s="653"/>
      <c r="B997" s="653"/>
      <c r="C997" s="653"/>
      <c r="D997" s="653"/>
      <c r="E997" s="653"/>
      <c r="F997" s="653"/>
      <c r="G997" s="1243"/>
      <c r="H997" s="653"/>
      <c r="I997" s="653"/>
      <c r="J997" s="653"/>
      <c r="K997" s="653"/>
      <c r="L997" s="653"/>
      <c r="M997" s="653"/>
      <c r="N997" s="653"/>
      <c r="O997" s="653"/>
      <c r="P997" s="653"/>
      <c r="Q997" s="653"/>
      <c r="R997" s="653"/>
      <c r="S997" s="653"/>
      <c r="T997" s="653"/>
      <c r="U997" s="653"/>
    </row>
    <row r="998" spans="1:21" x14ac:dyDescent="0.25">
      <c r="A998" s="653"/>
      <c r="B998" s="653"/>
      <c r="C998" s="653"/>
      <c r="D998" s="653"/>
      <c r="E998" s="653"/>
      <c r="F998" s="653"/>
      <c r="G998" s="1243"/>
      <c r="H998" s="653"/>
      <c r="I998" s="653"/>
      <c r="J998" s="653"/>
      <c r="K998" s="653"/>
      <c r="L998" s="653"/>
      <c r="M998" s="653"/>
      <c r="N998" s="653"/>
      <c r="O998" s="653"/>
      <c r="P998" s="653"/>
      <c r="Q998" s="653"/>
      <c r="R998" s="653"/>
      <c r="S998" s="653"/>
      <c r="T998" s="653"/>
      <c r="U998" s="653"/>
    </row>
    <row r="999" spans="1:21" x14ac:dyDescent="0.25">
      <c r="A999" s="653"/>
      <c r="B999" s="653"/>
      <c r="C999" s="653"/>
      <c r="D999" s="653"/>
      <c r="E999" s="653"/>
      <c r="F999" s="653"/>
      <c r="G999" s="1243"/>
      <c r="H999" s="653"/>
      <c r="I999" s="653"/>
      <c r="J999" s="653"/>
      <c r="K999" s="653"/>
      <c r="L999" s="653"/>
      <c r="M999" s="653"/>
      <c r="N999" s="653"/>
      <c r="O999" s="653"/>
      <c r="P999" s="653"/>
      <c r="Q999" s="653"/>
      <c r="R999" s="653"/>
      <c r="S999" s="653"/>
      <c r="T999" s="653"/>
      <c r="U999" s="653"/>
    </row>
    <row r="1000" spans="1:21" x14ac:dyDescent="0.25">
      <c r="A1000" s="653"/>
      <c r="B1000" s="653"/>
      <c r="C1000" s="653"/>
      <c r="D1000" s="653"/>
      <c r="E1000" s="653"/>
      <c r="F1000" s="653"/>
      <c r="G1000" s="1243"/>
      <c r="H1000" s="653"/>
      <c r="I1000" s="653"/>
      <c r="J1000" s="653"/>
      <c r="K1000" s="653"/>
      <c r="L1000" s="653"/>
      <c r="M1000" s="653"/>
      <c r="N1000" s="653"/>
      <c r="O1000" s="653"/>
      <c r="P1000" s="653"/>
      <c r="Q1000" s="653"/>
      <c r="R1000" s="653"/>
      <c r="S1000" s="653"/>
      <c r="T1000" s="653"/>
      <c r="U1000" s="653"/>
    </row>
    <row r="1001" spans="1:21" x14ac:dyDescent="0.25">
      <c r="A1001" s="653"/>
      <c r="B1001" s="653"/>
      <c r="C1001" s="653"/>
      <c r="D1001" s="653"/>
      <c r="E1001" s="653"/>
      <c r="F1001" s="653"/>
      <c r="G1001" s="1243"/>
      <c r="H1001" s="653"/>
      <c r="I1001" s="653"/>
      <c r="J1001" s="653"/>
      <c r="K1001" s="653"/>
      <c r="L1001" s="653"/>
      <c r="M1001" s="653"/>
      <c r="N1001" s="653"/>
      <c r="O1001" s="653"/>
      <c r="P1001" s="653"/>
      <c r="Q1001" s="653"/>
      <c r="R1001" s="653"/>
      <c r="S1001" s="653"/>
      <c r="T1001" s="653"/>
      <c r="U1001" s="653"/>
    </row>
    <row r="1002" spans="1:21" x14ac:dyDescent="0.25">
      <c r="A1002" s="653"/>
      <c r="B1002" s="653"/>
      <c r="C1002" s="653"/>
      <c r="D1002" s="653"/>
      <c r="E1002" s="653"/>
      <c r="F1002" s="653"/>
      <c r="G1002" s="1243"/>
      <c r="H1002" s="653"/>
      <c r="I1002" s="653"/>
      <c r="J1002" s="653"/>
      <c r="K1002" s="653"/>
      <c r="L1002" s="653"/>
      <c r="M1002" s="653"/>
      <c r="N1002" s="653"/>
      <c r="O1002" s="653"/>
      <c r="P1002" s="653"/>
      <c r="Q1002" s="653"/>
      <c r="R1002" s="653"/>
      <c r="S1002" s="653"/>
      <c r="T1002" s="653"/>
      <c r="U1002" s="653"/>
    </row>
    <row r="1003" spans="1:21" x14ac:dyDescent="0.25">
      <c r="A1003" s="653"/>
      <c r="B1003" s="653"/>
      <c r="C1003" s="653"/>
      <c r="D1003" s="653"/>
      <c r="E1003" s="653"/>
      <c r="F1003" s="653"/>
      <c r="G1003" s="1243"/>
      <c r="H1003" s="653"/>
      <c r="I1003" s="653"/>
      <c r="J1003" s="653"/>
      <c r="K1003" s="653"/>
      <c r="L1003" s="653"/>
      <c r="M1003" s="653"/>
      <c r="N1003" s="653"/>
      <c r="O1003" s="653"/>
      <c r="P1003" s="653"/>
      <c r="Q1003" s="653"/>
      <c r="R1003" s="653"/>
      <c r="S1003" s="653"/>
      <c r="T1003" s="653"/>
      <c r="U1003" s="653"/>
    </row>
    <row r="1004" spans="1:21" x14ac:dyDescent="0.25">
      <c r="A1004" s="653"/>
      <c r="B1004" s="653"/>
      <c r="C1004" s="653"/>
      <c r="D1004" s="653"/>
      <c r="E1004" s="653"/>
      <c r="F1004" s="653"/>
      <c r="G1004" s="1243"/>
      <c r="H1004" s="653"/>
      <c r="I1004" s="653"/>
      <c r="J1004" s="653"/>
      <c r="K1004" s="653"/>
      <c r="L1004" s="653"/>
      <c r="M1004" s="653"/>
      <c r="N1004" s="653"/>
      <c r="O1004" s="653"/>
      <c r="P1004" s="653"/>
      <c r="Q1004" s="653"/>
      <c r="R1004" s="653"/>
      <c r="S1004" s="653"/>
      <c r="T1004" s="653"/>
      <c r="U1004" s="653"/>
    </row>
    <row r="1005" spans="1:21" x14ac:dyDescent="0.25">
      <c r="A1005" s="653"/>
      <c r="B1005" s="653"/>
      <c r="C1005" s="653"/>
      <c r="D1005" s="653"/>
      <c r="E1005" s="653"/>
      <c r="F1005" s="653"/>
      <c r="G1005" s="1243"/>
      <c r="H1005" s="653"/>
      <c r="I1005" s="653"/>
      <c r="J1005" s="653"/>
      <c r="K1005" s="653"/>
      <c r="L1005" s="653"/>
      <c r="M1005" s="653"/>
      <c r="N1005" s="653"/>
      <c r="O1005" s="653"/>
      <c r="P1005" s="653"/>
      <c r="Q1005" s="653"/>
      <c r="R1005" s="653"/>
      <c r="S1005" s="653"/>
      <c r="T1005" s="653"/>
      <c r="U1005" s="653"/>
    </row>
    <row r="1006" spans="1:21" x14ac:dyDescent="0.25">
      <c r="A1006" s="653"/>
      <c r="B1006" s="653"/>
      <c r="C1006" s="653"/>
      <c r="D1006" s="653"/>
      <c r="E1006" s="653"/>
      <c r="F1006" s="653"/>
      <c r="G1006" s="1243"/>
      <c r="H1006" s="653"/>
      <c r="I1006" s="653"/>
      <c r="J1006" s="653"/>
      <c r="K1006" s="653"/>
      <c r="L1006" s="653"/>
      <c r="M1006" s="653"/>
      <c r="N1006" s="653"/>
      <c r="O1006" s="653"/>
      <c r="P1006" s="653"/>
      <c r="Q1006" s="653"/>
      <c r="R1006" s="653"/>
      <c r="S1006" s="653"/>
      <c r="T1006" s="653"/>
      <c r="U1006" s="653"/>
    </row>
    <row r="1007" spans="1:21" x14ac:dyDescent="0.25">
      <c r="A1007" s="653"/>
      <c r="B1007" s="653"/>
      <c r="C1007" s="653"/>
      <c r="D1007" s="653"/>
      <c r="E1007" s="653"/>
      <c r="F1007" s="653"/>
      <c r="G1007" s="1243"/>
      <c r="H1007" s="653"/>
      <c r="I1007" s="653"/>
      <c r="J1007" s="653"/>
      <c r="K1007" s="653"/>
      <c r="L1007" s="653"/>
      <c r="M1007" s="653"/>
      <c r="N1007" s="653"/>
      <c r="O1007" s="653"/>
      <c r="P1007" s="653"/>
      <c r="Q1007" s="653"/>
      <c r="R1007" s="653"/>
      <c r="S1007" s="653"/>
      <c r="T1007" s="653"/>
      <c r="U1007" s="653"/>
    </row>
    <row r="1008" spans="1:21" x14ac:dyDescent="0.25">
      <c r="A1008" s="653"/>
      <c r="B1008" s="653"/>
      <c r="C1008" s="653"/>
      <c r="D1008" s="653"/>
      <c r="E1008" s="653"/>
      <c r="F1008" s="653"/>
      <c r="G1008" s="1243"/>
      <c r="H1008" s="653"/>
      <c r="I1008" s="653"/>
      <c r="J1008" s="653"/>
      <c r="K1008" s="653"/>
      <c r="L1008" s="653"/>
      <c r="M1008" s="653"/>
      <c r="N1008" s="653"/>
      <c r="O1008" s="653"/>
      <c r="P1008" s="653"/>
      <c r="Q1008" s="653"/>
      <c r="R1008" s="653"/>
      <c r="S1008" s="653"/>
      <c r="T1008" s="653"/>
      <c r="U1008" s="653"/>
    </row>
    <row r="1009" spans="1:21" x14ac:dyDescent="0.25">
      <c r="A1009" s="653"/>
      <c r="B1009" s="653"/>
      <c r="C1009" s="653"/>
      <c r="D1009" s="653"/>
      <c r="E1009" s="653"/>
      <c r="F1009" s="653"/>
      <c r="G1009" s="1243"/>
      <c r="H1009" s="653"/>
      <c r="I1009" s="653"/>
      <c r="J1009" s="653"/>
      <c r="K1009" s="653"/>
      <c r="L1009" s="653"/>
      <c r="M1009" s="653"/>
      <c r="N1009" s="653"/>
      <c r="O1009" s="653"/>
      <c r="P1009" s="653"/>
      <c r="Q1009" s="653"/>
      <c r="R1009" s="653"/>
      <c r="S1009" s="653"/>
      <c r="T1009" s="653"/>
      <c r="U1009" s="653"/>
    </row>
    <row r="1010" spans="1:21" x14ac:dyDescent="0.25">
      <c r="A1010" s="653"/>
      <c r="B1010" s="653"/>
      <c r="C1010" s="653"/>
      <c r="D1010" s="653"/>
      <c r="E1010" s="653"/>
      <c r="F1010" s="653"/>
      <c r="G1010" s="1243"/>
      <c r="H1010" s="653"/>
      <c r="I1010" s="653"/>
      <c r="J1010" s="653"/>
      <c r="K1010" s="653"/>
      <c r="L1010" s="653"/>
      <c r="M1010" s="653"/>
      <c r="N1010" s="653"/>
      <c r="O1010" s="653"/>
      <c r="P1010" s="653"/>
      <c r="Q1010" s="653"/>
      <c r="R1010" s="653"/>
      <c r="S1010" s="653"/>
      <c r="T1010" s="653"/>
      <c r="U1010" s="653"/>
    </row>
    <row r="1011" spans="1:21" x14ac:dyDescent="0.25">
      <c r="A1011" s="653"/>
      <c r="B1011" s="653"/>
      <c r="C1011" s="653"/>
      <c r="D1011" s="653"/>
      <c r="E1011" s="653"/>
      <c r="F1011" s="653"/>
      <c r="G1011" s="1243"/>
      <c r="H1011" s="653"/>
      <c r="I1011" s="653"/>
      <c r="J1011" s="653"/>
      <c r="K1011" s="653"/>
      <c r="L1011" s="653"/>
      <c r="M1011" s="653"/>
      <c r="N1011" s="653"/>
      <c r="O1011" s="653"/>
      <c r="P1011" s="653"/>
      <c r="Q1011" s="653"/>
      <c r="R1011" s="653"/>
      <c r="S1011" s="653"/>
      <c r="T1011" s="653"/>
      <c r="U1011" s="653"/>
    </row>
    <row r="1012" spans="1:21" x14ac:dyDescent="0.25">
      <c r="A1012" s="653"/>
      <c r="B1012" s="653"/>
      <c r="C1012" s="653"/>
      <c r="D1012" s="653"/>
      <c r="E1012" s="653"/>
      <c r="F1012" s="653"/>
      <c r="G1012" s="1243"/>
      <c r="H1012" s="653"/>
      <c r="I1012" s="653"/>
      <c r="J1012" s="653"/>
      <c r="K1012" s="653"/>
      <c r="L1012" s="653"/>
      <c r="M1012" s="653"/>
      <c r="N1012" s="653"/>
      <c r="O1012" s="653"/>
      <c r="P1012" s="653"/>
      <c r="Q1012" s="653"/>
      <c r="R1012" s="653"/>
      <c r="S1012" s="653"/>
      <c r="T1012" s="653"/>
      <c r="U1012" s="653"/>
    </row>
    <row r="1013" spans="1:21" x14ac:dyDescent="0.25">
      <c r="A1013" s="653"/>
      <c r="B1013" s="653"/>
      <c r="C1013" s="653"/>
      <c r="D1013" s="653"/>
      <c r="E1013" s="653"/>
      <c r="F1013" s="653"/>
      <c r="G1013" s="1243"/>
      <c r="H1013" s="653"/>
      <c r="I1013" s="653"/>
      <c r="J1013" s="653"/>
      <c r="K1013" s="653"/>
      <c r="L1013" s="653"/>
      <c r="M1013" s="653"/>
      <c r="N1013" s="653"/>
      <c r="O1013" s="653"/>
      <c r="P1013" s="653"/>
      <c r="Q1013" s="653"/>
      <c r="R1013" s="653"/>
      <c r="S1013" s="653"/>
      <c r="T1013" s="653"/>
      <c r="U1013" s="653"/>
    </row>
    <row r="1014" spans="1:21" x14ac:dyDescent="0.25">
      <c r="A1014" s="653"/>
      <c r="B1014" s="653"/>
      <c r="C1014" s="653"/>
      <c r="D1014" s="653"/>
      <c r="E1014" s="653"/>
      <c r="F1014" s="653"/>
      <c r="G1014" s="1243"/>
      <c r="H1014" s="653"/>
      <c r="I1014" s="653"/>
      <c r="J1014" s="653"/>
      <c r="K1014" s="653"/>
      <c r="L1014" s="653"/>
      <c r="M1014" s="653"/>
      <c r="N1014" s="653"/>
      <c r="O1014" s="653"/>
      <c r="P1014" s="653"/>
      <c r="Q1014" s="653"/>
      <c r="R1014" s="653"/>
      <c r="S1014" s="653"/>
      <c r="T1014" s="653"/>
      <c r="U1014" s="653"/>
    </row>
    <row r="1015" spans="1:21" x14ac:dyDescent="0.25">
      <c r="A1015" s="653"/>
      <c r="B1015" s="653"/>
      <c r="C1015" s="653"/>
      <c r="D1015" s="653"/>
      <c r="E1015" s="653"/>
      <c r="F1015" s="653"/>
      <c r="G1015" s="1243"/>
      <c r="H1015" s="653"/>
      <c r="I1015" s="653"/>
      <c r="J1015" s="653"/>
      <c r="K1015" s="653"/>
      <c r="L1015" s="653"/>
      <c r="M1015" s="653"/>
      <c r="N1015" s="653"/>
      <c r="O1015" s="653"/>
      <c r="P1015" s="653"/>
      <c r="Q1015" s="653"/>
      <c r="R1015" s="653"/>
      <c r="S1015" s="653"/>
      <c r="T1015" s="653"/>
      <c r="U1015" s="653"/>
    </row>
    <row r="1016" spans="1:21" x14ac:dyDescent="0.25">
      <c r="A1016" s="653"/>
      <c r="B1016" s="653"/>
      <c r="C1016" s="653"/>
      <c r="D1016" s="653"/>
      <c r="E1016" s="653"/>
      <c r="F1016" s="653"/>
      <c r="G1016" s="1243"/>
      <c r="H1016" s="653"/>
      <c r="I1016" s="653"/>
      <c r="J1016" s="653"/>
      <c r="K1016" s="653"/>
      <c r="L1016" s="653"/>
      <c r="M1016" s="653"/>
      <c r="N1016" s="653"/>
      <c r="O1016" s="653"/>
      <c r="P1016" s="653"/>
      <c r="Q1016" s="653"/>
      <c r="R1016" s="653"/>
      <c r="S1016" s="653"/>
      <c r="T1016" s="653"/>
      <c r="U1016" s="653"/>
    </row>
    <row r="1017" spans="1:21" x14ac:dyDescent="0.25">
      <c r="A1017" s="653"/>
      <c r="B1017" s="653"/>
      <c r="C1017" s="653"/>
      <c r="D1017" s="653"/>
      <c r="E1017" s="653"/>
      <c r="F1017" s="653"/>
      <c r="G1017" s="1243"/>
      <c r="H1017" s="653"/>
      <c r="I1017" s="653"/>
      <c r="J1017" s="653"/>
      <c r="K1017" s="653"/>
      <c r="L1017" s="653"/>
      <c r="M1017" s="653"/>
      <c r="N1017" s="653"/>
      <c r="O1017" s="653"/>
      <c r="P1017" s="653"/>
      <c r="Q1017" s="653"/>
      <c r="R1017" s="653"/>
      <c r="S1017" s="653"/>
      <c r="T1017" s="653"/>
      <c r="U1017" s="653"/>
    </row>
    <row r="1018" spans="1:21" x14ac:dyDescent="0.25">
      <c r="A1018" s="653"/>
      <c r="B1018" s="653"/>
      <c r="C1018" s="653"/>
      <c r="D1018" s="653"/>
      <c r="E1018" s="653"/>
      <c r="F1018" s="653"/>
      <c r="G1018" s="1243"/>
      <c r="H1018" s="653"/>
      <c r="I1018" s="653"/>
      <c r="J1018" s="653"/>
      <c r="K1018" s="653"/>
      <c r="L1018" s="653"/>
      <c r="M1018" s="653"/>
      <c r="N1018" s="653"/>
      <c r="O1018" s="653"/>
      <c r="P1018" s="653"/>
      <c r="Q1018" s="653"/>
      <c r="R1018" s="653"/>
      <c r="S1018" s="653"/>
      <c r="T1018" s="653"/>
      <c r="U1018" s="653"/>
    </row>
    <row r="1019" spans="1:21" x14ac:dyDescent="0.25">
      <c r="A1019" s="653"/>
      <c r="B1019" s="653"/>
      <c r="C1019" s="653"/>
      <c r="D1019" s="653"/>
      <c r="E1019" s="653"/>
      <c r="F1019" s="653"/>
      <c r="G1019" s="1243"/>
      <c r="H1019" s="653"/>
      <c r="I1019" s="653"/>
      <c r="J1019" s="653"/>
      <c r="K1019" s="653"/>
      <c r="L1019" s="653"/>
      <c r="M1019" s="653"/>
      <c r="N1019" s="653"/>
      <c r="O1019" s="653"/>
      <c r="P1019" s="653"/>
      <c r="Q1019" s="653"/>
      <c r="R1019" s="653"/>
      <c r="S1019" s="653"/>
      <c r="T1019" s="653"/>
      <c r="U1019" s="653"/>
    </row>
    <row r="1020" spans="1:21" x14ac:dyDescent="0.25">
      <c r="A1020" s="653"/>
      <c r="B1020" s="653"/>
      <c r="C1020" s="653"/>
      <c r="D1020" s="653"/>
      <c r="E1020" s="653"/>
      <c r="F1020" s="653"/>
      <c r="G1020" s="1243"/>
      <c r="H1020" s="653"/>
      <c r="I1020" s="653"/>
      <c r="J1020" s="653"/>
      <c r="K1020" s="653"/>
      <c r="L1020" s="653"/>
      <c r="M1020" s="653"/>
      <c r="N1020" s="653"/>
      <c r="O1020" s="653"/>
      <c r="P1020" s="653"/>
      <c r="Q1020" s="653"/>
      <c r="R1020" s="653"/>
      <c r="S1020" s="653"/>
      <c r="T1020" s="653"/>
      <c r="U1020" s="653"/>
    </row>
    <row r="1021" spans="1:21" x14ac:dyDescent="0.25">
      <c r="A1021" s="653"/>
      <c r="B1021" s="653"/>
      <c r="C1021" s="653"/>
      <c r="D1021" s="653"/>
      <c r="E1021" s="653"/>
      <c r="F1021" s="653"/>
      <c r="G1021" s="1243"/>
      <c r="H1021" s="653"/>
      <c r="I1021" s="653"/>
      <c r="J1021" s="653"/>
      <c r="K1021" s="653"/>
      <c r="L1021" s="653"/>
      <c r="M1021" s="653"/>
      <c r="N1021" s="653"/>
      <c r="O1021" s="653"/>
      <c r="P1021" s="653"/>
      <c r="Q1021" s="653"/>
      <c r="R1021" s="653"/>
      <c r="S1021" s="653"/>
      <c r="T1021" s="653"/>
      <c r="U1021" s="653"/>
    </row>
    <row r="1022" spans="1:21" x14ac:dyDescent="0.25">
      <c r="A1022" s="653"/>
      <c r="B1022" s="653"/>
      <c r="C1022" s="653"/>
      <c r="D1022" s="653"/>
      <c r="E1022" s="653"/>
      <c r="F1022" s="653"/>
      <c r="G1022" s="1243"/>
      <c r="H1022" s="653"/>
      <c r="I1022" s="653"/>
      <c r="J1022" s="653"/>
      <c r="K1022" s="653"/>
      <c r="L1022" s="653"/>
      <c r="M1022" s="653"/>
      <c r="N1022" s="653"/>
      <c r="O1022" s="653"/>
      <c r="P1022" s="653"/>
      <c r="Q1022" s="653"/>
      <c r="R1022" s="653"/>
      <c r="S1022" s="653"/>
      <c r="T1022" s="653"/>
      <c r="U1022" s="653"/>
    </row>
    <row r="1023" spans="1:21" x14ac:dyDescent="0.25">
      <c r="A1023" s="653"/>
      <c r="B1023" s="653"/>
      <c r="C1023" s="653"/>
      <c r="D1023" s="653"/>
      <c r="E1023" s="653"/>
      <c r="F1023" s="653"/>
      <c r="G1023" s="1243"/>
      <c r="H1023" s="653"/>
      <c r="I1023" s="653"/>
      <c r="J1023" s="653"/>
      <c r="K1023" s="653"/>
      <c r="L1023" s="653"/>
      <c r="M1023" s="653"/>
      <c r="N1023" s="653"/>
      <c r="O1023" s="653"/>
      <c r="P1023" s="653"/>
      <c r="Q1023" s="653"/>
      <c r="R1023" s="653"/>
      <c r="S1023" s="653"/>
      <c r="T1023" s="653"/>
      <c r="U1023" s="653"/>
    </row>
    <row r="1024" spans="1:21" x14ac:dyDescent="0.25">
      <c r="A1024" s="653"/>
      <c r="B1024" s="653"/>
      <c r="C1024" s="653"/>
      <c r="D1024" s="653"/>
      <c r="E1024" s="653"/>
      <c r="F1024" s="653"/>
      <c r="G1024" s="1243"/>
      <c r="H1024" s="653"/>
      <c r="I1024" s="653"/>
      <c r="J1024" s="653"/>
      <c r="K1024" s="653"/>
      <c r="L1024" s="653"/>
      <c r="M1024" s="653"/>
      <c r="N1024" s="653"/>
      <c r="O1024" s="653"/>
      <c r="P1024" s="653"/>
      <c r="Q1024" s="653"/>
      <c r="R1024" s="653"/>
      <c r="S1024" s="653"/>
      <c r="T1024" s="653"/>
      <c r="U1024" s="653"/>
    </row>
    <row r="1025" spans="1:21" x14ac:dyDescent="0.25">
      <c r="A1025" s="653"/>
      <c r="B1025" s="653"/>
      <c r="C1025" s="653"/>
      <c r="D1025" s="653"/>
      <c r="E1025" s="653"/>
      <c r="F1025" s="653"/>
      <c r="G1025" s="1243"/>
      <c r="H1025" s="653"/>
      <c r="I1025" s="653"/>
      <c r="J1025" s="653"/>
      <c r="K1025" s="653"/>
      <c r="L1025" s="653"/>
      <c r="M1025" s="653"/>
      <c r="N1025" s="653"/>
      <c r="O1025" s="653"/>
      <c r="P1025" s="653"/>
      <c r="Q1025" s="653"/>
      <c r="R1025" s="653"/>
      <c r="S1025" s="653"/>
      <c r="T1025" s="653"/>
      <c r="U1025" s="653"/>
    </row>
    <row r="1026" spans="1:21" x14ac:dyDescent="0.25">
      <c r="A1026" s="653"/>
      <c r="B1026" s="653"/>
      <c r="C1026" s="653"/>
      <c r="D1026" s="653"/>
      <c r="E1026" s="653"/>
      <c r="F1026" s="653"/>
      <c r="G1026" s="1243"/>
      <c r="H1026" s="653"/>
      <c r="I1026" s="653"/>
      <c r="J1026" s="653"/>
      <c r="K1026" s="653"/>
      <c r="L1026" s="653"/>
      <c r="M1026" s="653"/>
      <c r="N1026" s="653"/>
      <c r="O1026" s="653"/>
      <c r="P1026" s="653"/>
      <c r="Q1026" s="653"/>
      <c r="R1026" s="653"/>
      <c r="S1026" s="653"/>
      <c r="T1026" s="653"/>
      <c r="U1026" s="653"/>
    </row>
    <row r="1027" spans="1:21" x14ac:dyDescent="0.25">
      <c r="A1027" s="653"/>
      <c r="B1027" s="653"/>
      <c r="C1027" s="653"/>
      <c r="D1027" s="653"/>
      <c r="E1027" s="653"/>
      <c r="F1027" s="653"/>
      <c r="G1027" s="1243"/>
      <c r="H1027" s="653"/>
      <c r="I1027" s="653"/>
      <c r="J1027" s="653"/>
      <c r="K1027" s="653"/>
      <c r="L1027" s="653"/>
      <c r="M1027" s="653"/>
      <c r="N1027" s="653"/>
      <c r="O1027" s="653"/>
      <c r="P1027" s="653"/>
      <c r="Q1027" s="653"/>
      <c r="R1027" s="653"/>
      <c r="S1027" s="653"/>
      <c r="T1027" s="653"/>
      <c r="U1027" s="653"/>
    </row>
    <row r="1028" spans="1:21" x14ac:dyDescent="0.25">
      <c r="A1028" s="653"/>
      <c r="B1028" s="653"/>
      <c r="C1028" s="653"/>
      <c r="D1028" s="653"/>
      <c r="E1028" s="653"/>
      <c r="F1028" s="653"/>
      <c r="G1028" s="1243"/>
      <c r="H1028" s="653"/>
      <c r="I1028" s="653"/>
      <c r="J1028" s="653"/>
      <c r="K1028" s="653"/>
      <c r="L1028" s="653"/>
      <c r="M1028" s="653"/>
      <c r="N1028" s="653"/>
      <c r="O1028" s="653"/>
      <c r="P1028" s="653"/>
      <c r="Q1028" s="653"/>
      <c r="R1028" s="653"/>
      <c r="S1028" s="653"/>
      <c r="T1028" s="653"/>
      <c r="U1028" s="653"/>
    </row>
    <row r="1029" spans="1:21" x14ac:dyDescent="0.25">
      <c r="A1029" s="653"/>
      <c r="B1029" s="653"/>
      <c r="C1029" s="653"/>
      <c r="D1029" s="653"/>
      <c r="E1029" s="653"/>
      <c r="F1029" s="653"/>
      <c r="G1029" s="1243"/>
      <c r="H1029" s="653"/>
      <c r="I1029" s="653"/>
      <c r="J1029" s="653"/>
      <c r="K1029" s="653"/>
      <c r="L1029" s="653"/>
      <c r="M1029" s="653"/>
      <c r="N1029" s="653"/>
      <c r="O1029" s="653"/>
      <c r="P1029" s="653"/>
      <c r="Q1029" s="653"/>
      <c r="R1029" s="653"/>
      <c r="S1029" s="653"/>
      <c r="T1029" s="653"/>
      <c r="U1029" s="653"/>
    </row>
    <row r="1030" spans="1:21" x14ac:dyDescent="0.25">
      <c r="A1030" s="653"/>
      <c r="B1030" s="653"/>
      <c r="C1030" s="653"/>
      <c r="D1030" s="653"/>
      <c r="E1030" s="653"/>
      <c r="F1030" s="653"/>
      <c r="G1030" s="1243"/>
      <c r="H1030" s="653"/>
      <c r="I1030" s="653"/>
      <c r="J1030" s="653"/>
      <c r="K1030" s="653"/>
      <c r="L1030" s="653"/>
      <c r="M1030" s="653"/>
      <c r="N1030" s="653"/>
      <c r="O1030" s="653"/>
      <c r="P1030" s="653"/>
      <c r="Q1030" s="653"/>
      <c r="R1030" s="653"/>
      <c r="S1030" s="653"/>
      <c r="T1030" s="653"/>
      <c r="U1030" s="653"/>
    </row>
    <row r="1031" spans="1:21" x14ac:dyDescent="0.25">
      <c r="A1031" s="653"/>
      <c r="B1031" s="653"/>
      <c r="C1031" s="653"/>
      <c r="D1031" s="653"/>
      <c r="E1031" s="653"/>
      <c r="F1031" s="653"/>
      <c r="G1031" s="1243"/>
      <c r="H1031" s="653"/>
      <c r="I1031" s="653"/>
      <c r="J1031" s="653"/>
      <c r="K1031" s="653"/>
      <c r="L1031" s="653"/>
      <c r="M1031" s="653"/>
      <c r="N1031" s="653"/>
      <c r="O1031" s="653"/>
      <c r="P1031" s="653"/>
      <c r="Q1031" s="653"/>
      <c r="R1031" s="653"/>
      <c r="S1031" s="653"/>
      <c r="T1031" s="653"/>
      <c r="U1031" s="653"/>
    </row>
    <row r="1032" spans="1:21" x14ac:dyDescent="0.25">
      <c r="A1032" s="653"/>
      <c r="B1032" s="653"/>
      <c r="C1032" s="653"/>
      <c r="D1032" s="653"/>
      <c r="E1032" s="653"/>
      <c r="F1032" s="653"/>
      <c r="G1032" s="1243"/>
      <c r="H1032" s="653"/>
      <c r="I1032" s="653"/>
      <c r="J1032" s="653"/>
      <c r="K1032" s="653"/>
      <c r="L1032" s="653"/>
      <c r="M1032" s="653"/>
      <c r="N1032" s="653"/>
      <c r="O1032" s="653"/>
      <c r="P1032" s="653"/>
      <c r="Q1032" s="653"/>
      <c r="R1032" s="653"/>
      <c r="S1032" s="653"/>
      <c r="T1032" s="653"/>
      <c r="U1032" s="653"/>
    </row>
    <row r="1033" spans="1:21" x14ac:dyDescent="0.25">
      <c r="A1033" s="653"/>
      <c r="B1033" s="653"/>
      <c r="C1033" s="653"/>
      <c r="D1033" s="653"/>
      <c r="E1033" s="653"/>
      <c r="F1033" s="653"/>
      <c r="G1033" s="1243"/>
      <c r="H1033" s="653"/>
      <c r="I1033" s="653"/>
      <c r="J1033" s="653"/>
      <c r="K1033" s="653"/>
      <c r="L1033" s="653"/>
      <c r="M1033" s="653"/>
      <c r="N1033" s="653"/>
      <c r="O1033" s="653"/>
      <c r="P1033" s="653"/>
      <c r="Q1033" s="653"/>
      <c r="R1033" s="653"/>
      <c r="S1033" s="653"/>
      <c r="T1033" s="653"/>
      <c r="U1033" s="653"/>
    </row>
    <row r="1034" spans="1:21" x14ac:dyDescent="0.25">
      <c r="A1034" s="653"/>
      <c r="B1034" s="653"/>
      <c r="C1034" s="653"/>
      <c r="D1034" s="653"/>
      <c r="E1034" s="653"/>
      <c r="F1034" s="653"/>
      <c r="G1034" s="1243"/>
      <c r="H1034" s="653"/>
      <c r="I1034" s="653"/>
      <c r="J1034" s="653"/>
      <c r="K1034" s="653"/>
      <c r="L1034" s="653"/>
      <c r="M1034" s="653"/>
      <c r="N1034" s="653"/>
      <c r="O1034" s="653"/>
      <c r="P1034" s="653"/>
      <c r="Q1034" s="653"/>
      <c r="R1034" s="653"/>
      <c r="S1034" s="653"/>
      <c r="T1034" s="653"/>
      <c r="U1034" s="653"/>
    </row>
    <row r="1035" spans="1:21" x14ac:dyDescent="0.25">
      <c r="A1035" s="653"/>
      <c r="B1035" s="653"/>
      <c r="C1035" s="653"/>
      <c r="D1035" s="653"/>
      <c r="E1035" s="653"/>
      <c r="F1035" s="653"/>
      <c r="G1035" s="1243"/>
      <c r="H1035" s="653"/>
      <c r="I1035" s="653"/>
      <c r="J1035" s="653"/>
      <c r="K1035" s="653"/>
      <c r="L1035" s="653"/>
      <c r="M1035" s="653"/>
      <c r="N1035" s="653"/>
      <c r="O1035" s="653"/>
      <c r="P1035" s="653"/>
      <c r="Q1035" s="653"/>
      <c r="R1035" s="653"/>
      <c r="S1035" s="653"/>
      <c r="T1035" s="653"/>
      <c r="U1035" s="653"/>
    </row>
    <row r="1036" spans="1:21" x14ac:dyDescent="0.25">
      <c r="A1036" s="653"/>
      <c r="B1036" s="653"/>
      <c r="C1036" s="653"/>
      <c r="D1036" s="653"/>
      <c r="E1036" s="653"/>
      <c r="F1036" s="653"/>
      <c r="G1036" s="1243"/>
      <c r="H1036" s="653"/>
      <c r="I1036" s="653"/>
      <c r="J1036" s="653"/>
      <c r="K1036" s="653"/>
      <c r="L1036" s="653"/>
      <c r="M1036" s="653"/>
      <c r="N1036" s="653"/>
      <c r="O1036" s="653"/>
      <c r="P1036" s="653"/>
      <c r="Q1036" s="653"/>
      <c r="R1036" s="653"/>
      <c r="S1036" s="653"/>
      <c r="T1036" s="653"/>
      <c r="U1036" s="653"/>
    </row>
    <row r="1037" spans="1:21" x14ac:dyDescent="0.25">
      <c r="A1037" s="653"/>
      <c r="B1037" s="653"/>
      <c r="C1037" s="653"/>
      <c r="D1037" s="653"/>
      <c r="E1037" s="653"/>
      <c r="F1037" s="653"/>
      <c r="G1037" s="1243"/>
      <c r="H1037" s="653"/>
      <c r="I1037" s="653"/>
      <c r="J1037" s="653"/>
      <c r="K1037" s="653"/>
      <c r="L1037" s="653"/>
      <c r="M1037" s="653"/>
      <c r="N1037" s="653"/>
      <c r="O1037" s="653"/>
      <c r="P1037" s="653"/>
      <c r="Q1037" s="653"/>
      <c r="R1037" s="653"/>
      <c r="S1037" s="653"/>
      <c r="T1037" s="653"/>
      <c r="U1037" s="653"/>
    </row>
    <row r="1038" spans="1:21" x14ac:dyDescent="0.25">
      <c r="A1038" s="653"/>
      <c r="B1038" s="653"/>
      <c r="C1038" s="653"/>
      <c r="D1038" s="653"/>
      <c r="E1038" s="653"/>
      <c r="F1038" s="653"/>
      <c r="G1038" s="1243"/>
      <c r="H1038" s="653"/>
      <c r="I1038" s="653"/>
      <c r="J1038" s="653"/>
      <c r="K1038" s="653"/>
      <c r="L1038" s="653"/>
      <c r="M1038" s="653"/>
      <c r="N1038" s="653"/>
      <c r="O1038" s="653"/>
      <c r="P1038" s="653"/>
      <c r="Q1038" s="653"/>
      <c r="R1038" s="653"/>
      <c r="S1038" s="653"/>
      <c r="T1038" s="653"/>
      <c r="U1038" s="653"/>
    </row>
    <row r="1039" spans="1:21" x14ac:dyDescent="0.25">
      <c r="A1039" s="653"/>
      <c r="B1039" s="653"/>
      <c r="C1039" s="653"/>
      <c r="D1039" s="653"/>
      <c r="E1039" s="653"/>
      <c r="F1039" s="653"/>
      <c r="G1039" s="1243"/>
      <c r="H1039" s="653"/>
      <c r="I1039" s="653"/>
      <c r="J1039" s="653"/>
      <c r="K1039" s="653"/>
      <c r="L1039" s="653"/>
      <c r="M1039" s="653"/>
      <c r="N1039" s="653"/>
      <c r="O1039" s="653"/>
      <c r="P1039" s="653"/>
      <c r="Q1039" s="653"/>
      <c r="R1039" s="653"/>
      <c r="S1039" s="653"/>
      <c r="T1039" s="653"/>
      <c r="U1039" s="653"/>
    </row>
    <row r="1040" spans="1:21" x14ac:dyDescent="0.25">
      <c r="A1040" s="653"/>
      <c r="B1040" s="653"/>
      <c r="C1040" s="653"/>
      <c r="D1040" s="653"/>
      <c r="E1040" s="653"/>
      <c r="F1040" s="653"/>
      <c r="G1040" s="1243"/>
      <c r="H1040" s="653"/>
      <c r="I1040" s="653"/>
      <c r="J1040" s="653"/>
      <c r="K1040" s="653"/>
      <c r="L1040" s="653"/>
      <c r="M1040" s="653"/>
      <c r="N1040" s="653"/>
      <c r="O1040" s="653"/>
      <c r="P1040" s="653"/>
      <c r="Q1040" s="653"/>
      <c r="R1040" s="653"/>
      <c r="S1040" s="653"/>
      <c r="T1040" s="653"/>
      <c r="U1040" s="653"/>
    </row>
    <row r="1041" spans="1:21" x14ac:dyDescent="0.25">
      <c r="A1041" s="653"/>
      <c r="B1041" s="653"/>
      <c r="C1041" s="653"/>
      <c r="D1041" s="653"/>
      <c r="E1041" s="653"/>
      <c r="F1041" s="653"/>
      <c r="G1041" s="1243"/>
      <c r="H1041" s="653"/>
      <c r="I1041" s="653"/>
      <c r="J1041" s="653"/>
      <c r="K1041" s="653"/>
      <c r="L1041" s="653"/>
      <c r="M1041" s="653"/>
      <c r="N1041" s="653"/>
      <c r="O1041" s="653"/>
      <c r="P1041" s="653"/>
      <c r="Q1041" s="653"/>
      <c r="R1041" s="653"/>
      <c r="S1041" s="653"/>
      <c r="T1041" s="653"/>
      <c r="U1041" s="653"/>
    </row>
    <row r="1042" spans="1:21" x14ac:dyDescent="0.25">
      <c r="A1042" s="653"/>
      <c r="B1042" s="653"/>
      <c r="C1042" s="653"/>
      <c r="D1042" s="653"/>
      <c r="E1042" s="653"/>
      <c r="F1042" s="653"/>
      <c r="G1042" s="1243"/>
      <c r="H1042" s="653"/>
      <c r="I1042" s="653"/>
      <c r="J1042" s="653"/>
      <c r="K1042" s="653"/>
      <c r="L1042" s="653"/>
      <c r="M1042" s="653"/>
      <c r="N1042" s="653"/>
      <c r="O1042" s="653"/>
      <c r="P1042" s="653"/>
      <c r="Q1042" s="653"/>
      <c r="R1042" s="653"/>
      <c r="S1042" s="653"/>
      <c r="T1042" s="653"/>
      <c r="U1042" s="653"/>
    </row>
    <row r="1043" spans="1:21" x14ac:dyDescent="0.25">
      <c r="A1043" s="653"/>
      <c r="B1043" s="653"/>
      <c r="C1043" s="653"/>
      <c r="D1043" s="653"/>
      <c r="E1043" s="653"/>
      <c r="F1043" s="653"/>
      <c r="G1043" s="1243"/>
      <c r="H1043" s="653"/>
      <c r="I1043" s="653"/>
      <c r="J1043" s="653"/>
      <c r="K1043" s="653"/>
      <c r="L1043" s="653"/>
      <c r="M1043" s="653"/>
      <c r="N1043" s="653"/>
      <c r="O1043" s="653"/>
      <c r="P1043" s="653"/>
      <c r="Q1043" s="653"/>
      <c r="R1043" s="653"/>
      <c r="S1043" s="653"/>
      <c r="T1043" s="653"/>
      <c r="U1043" s="653"/>
    </row>
    <row r="1044" spans="1:21" x14ac:dyDescent="0.25">
      <c r="A1044" s="653"/>
      <c r="B1044" s="653"/>
      <c r="C1044" s="653"/>
      <c r="D1044" s="653"/>
      <c r="E1044" s="653"/>
      <c r="F1044" s="653"/>
      <c r="G1044" s="1243"/>
      <c r="H1044" s="653"/>
      <c r="I1044" s="653"/>
      <c r="J1044" s="653"/>
      <c r="K1044" s="653"/>
      <c r="L1044" s="653"/>
      <c r="M1044" s="653"/>
      <c r="N1044" s="653"/>
      <c r="O1044" s="653"/>
      <c r="P1044" s="653"/>
      <c r="Q1044" s="653"/>
      <c r="R1044" s="653"/>
      <c r="S1044" s="653"/>
      <c r="T1044" s="653"/>
      <c r="U1044" s="653"/>
    </row>
    <row r="1045" spans="1:21" x14ac:dyDescent="0.25">
      <c r="A1045" s="653"/>
      <c r="B1045" s="653"/>
      <c r="C1045" s="653"/>
      <c r="D1045" s="653"/>
      <c r="E1045" s="653"/>
      <c r="F1045" s="653"/>
      <c r="G1045" s="1243"/>
      <c r="H1045" s="653"/>
      <c r="I1045" s="653"/>
      <c r="J1045" s="653"/>
      <c r="K1045" s="653"/>
      <c r="L1045" s="653"/>
      <c r="M1045" s="653"/>
      <c r="N1045" s="653"/>
      <c r="O1045" s="653"/>
      <c r="P1045" s="653"/>
      <c r="Q1045" s="653"/>
      <c r="R1045" s="653"/>
      <c r="S1045" s="653"/>
      <c r="T1045" s="653"/>
      <c r="U1045" s="653"/>
    </row>
    <row r="1046" spans="1:21" x14ac:dyDescent="0.25">
      <c r="A1046" s="653"/>
      <c r="B1046" s="653"/>
      <c r="C1046" s="653"/>
      <c r="D1046" s="653"/>
      <c r="E1046" s="653"/>
      <c r="F1046" s="653"/>
      <c r="G1046" s="1243"/>
      <c r="H1046" s="653"/>
      <c r="I1046" s="653"/>
      <c r="J1046" s="653"/>
      <c r="K1046" s="653"/>
      <c r="L1046" s="653"/>
      <c r="M1046" s="653"/>
      <c r="N1046" s="653"/>
      <c r="O1046" s="653"/>
      <c r="P1046" s="653"/>
      <c r="Q1046" s="653"/>
      <c r="R1046" s="653"/>
      <c r="S1046" s="653"/>
      <c r="T1046" s="653"/>
      <c r="U1046" s="653"/>
    </row>
    <row r="1047" spans="1:21" x14ac:dyDescent="0.25">
      <c r="A1047" s="653"/>
      <c r="B1047" s="653"/>
      <c r="C1047" s="653"/>
      <c r="D1047" s="653"/>
      <c r="E1047" s="653"/>
      <c r="F1047" s="653"/>
      <c r="G1047" s="1243"/>
      <c r="H1047" s="653"/>
      <c r="I1047" s="653"/>
      <c r="J1047" s="653"/>
      <c r="K1047" s="653"/>
      <c r="L1047" s="653"/>
      <c r="M1047" s="653"/>
      <c r="N1047" s="653"/>
      <c r="O1047" s="653"/>
      <c r="P1047" s="653"/>
      <c r="Q1047" s="653"/>
      <c r="R1047" s="653"/>
      <c r="S1047" s="653"/>
      <c r="T1047" s="653"/>
      <c r="U1047" s="653"/>
    </row>
    <row r="1048" spans="1:21" x14ac:dyDescent="0.25">
      <c r="A1048" s="653"/>
      <c r="B1048" s="653"/>
      <c r="C1048" s="653"/>
      <c r="D1048" s="653"/>
      <c r="E1048" s="653"/>
      <c r="F1048" s="653"/>
      <c r="G1048" s="1243"/>
      <c r="H1048" s="653"/>
      <c r="I1048" s="653"/>
      <c r="J1048" s="653"/>
      <c r="K1048" s="653"/>
      <c r="L1048" s="653"/>
      <c r="M1048" s="653"/>
      <c r="N1048" s="653"/>
      <c r="O1048" s="653"/>
      <c r="P1048" s="653"/>
      <c r="Q1048" s="653"/>
      <c r="R1048" s="653"/>
      <c r="S1048" s="653"/>
      <c r="T1048" s="653"/>
      <c r="U1048" s="653"/>
    </row>
    <row r="1049" spans="1:21" x14ac:dyDescent="0.25">
      <c r="A1049" s="653"/>
      <c r="B1049" s="653"/>
      <c r="C1049" s="653"/>
      <c r="D1049" s="653"/>
      <c r="E1049" s="653"/>
      <c r="F1049" s="653"/>
      <c r="G1049" s="1243"/>
      <c r="H1049" s="653"/>
      <c r="I1049" s="653"/>
      <c r="J1049" s="653"/>
      <c r="K1049" s="653"/>
      <c r="L1049" s="653"/>
      <c r="M1049" s="653"/>
      <c r="N1049" s="653"/>
      <c r="O1049" s="653"/>
      <c r="P1049" s="653"/>
      <c r="Q1049" s="653"/>
      <c r="R1049" s="653"/>
      <c r="S1049" s="653"/>
      <c r="T1049" s="653"/>
      <c r="U1049" s="653"/>
    </row>
    <row r="1050" spans="1:21" x14ac:dyDescent="0.25">
      <c r="A1050" s="653"/>
      <c r="B1050" s="653"/>
      <c r="C1050" s="653"/>
      <c r="D1050" s="653"/>
      <c r="E1050" s="653"/>
      <c r="F1050" s="653"/>
      <c r="G1050" s="1243"/>
      <c r="H1050" s="653"/>
      <c r="I1050" s="653"/>
      <c r="J1050" s="653"/>
      <c r="K1050" s="653"/>
      <c r="L1050" s="653"/>
      <c r="M1050" s="653"/>
      <c r="N1050" s="653"/>
      <c r="O1050" s="653"/>
      <c r="P1050" s="653"/>
      <c r="Q1050" s="653"/>
      <c r="R1050" s="653"/>
      <c r="S1050" s="653"/>
      <c r="T1050" s="653"/>
      <c r="U1050" s="653"/>
    </row>
    <row r="1051" spans="1:21" x14ac:dyDescent="0.25">
      <c r="A1051" s="653"/>
      <c r="B1051" s="653"/>
      <c r="C1051" s="653"/>
      <c r="D1051" s="653"/>
      <c r="E1051" s="653"/>
      <c r="F1051" s="653"/>
      <c r="G1051" s="1243"/>
      <c r="H1051" s="653"/>
      <c r="I1051" s="653"/>
      <c r="J1051" s="653"/>
      <c r="K1051" s="653"/>
      <c r="L1051" s="653"/>
      <c r="M1051" s="653"/>
      <c r="N1051" s="653"/>
      <c r="O1051" s="653"/>
      <c r="P1051" s="653"/>
      <c r="Q1051" s="653"/>
      <c r="R1051" s="653"/>
      <c r="S1051" s="653"/>
      <c r="T1051" s="653"/>
      <c r="U1051" s="653"/>
    </row>
    <row r="1052" spans="1:21" x14ac:dyDescent="0.25">
      <c r="A1052" s="653"/>
      <c r="B1052" s="653"/>
      <c r="C1052" s="653"/>
      <c r="D1052" s="653"/>
      <c r="E1052" s="653"/>
      <c r="F1052" s="653"/>
      <c r="G1052" s="1243"/>
      <c r="H1052" s="653"/>
      <c r="I1052" s="653"/>
      <c r="J1052" s="653"/>
      <c r="K1052" s="653"/>
      <c r="L1052" s="653"/>
      <c r="M1052" s="653"/>
      <c r="N1052" s="653"/>
      <c r="O1052" s="653"/>
      <c r="P1052" s="653"/>
      <c r="Q1052" s="653"/>
      <c r="R1052" s="653"/>
      <c r="S1052" s="653"/>
      <c r="T1052" s="653"/>
      <c r="U1052" s="653"/>
    </row>
    <row r="1053" spans="1:21" x14ac:dyDescent="0.25">
      <c r="A1053" s="653"/>
      <c r="B1053" s="653"/>
      <c r="C1053" s="653"/>
      <c r="D1053" s="653"/>
      <c r="E1053" s="653"/>
      <c r="F1053" s="653"/>
      <c r="G1053" s="1243"/>
      <c r="H1053" s="653"/>
      <c r="I1053" s="653"/>
      <c r="J1053" s="653"/>
      <c r="K1053" s="653"/>
      <c r="L1053" s="653"/>
      <c r="M1053" s="653"/>
      <c r="N1053" s="653"/>
      <c r="O1053" s="653"/>
      <c r="P1053" s="653"/>
      <c r="Q1053" s="653"/>
      <c r="R1053" s="653"/>
      <c r="S1053" s="653"/>
      <c r="T1053" s="653"/>
      <c r="U1053" s="653"/>
    </row>
    <row r="1054" spans="1:21" x14ac:dyDescent="0.25">
      <c r="A1054" s="653"/>
      <c r="B1054" s="653"/>
      <c r="C1054" s="653"/>
      <c r="D1054" s="653"/>
      <c r="E1054" s="653"/>
      <c r="F1054" s="653"/>
      <c r="G1054" s="1243"/>
      <c r="H1054" s="653"/>
      <c r="I1054" s="653"/>
      <c r="J1054" s="653"/>
      <c r="K1054" s="653"/>
      <c r="L1054" s="653"/>
      <c r="M1054" s="653"/>
      <c r="N1054" s="653"/>
      <c r="O1054" s="653"/>
      <c r="P1054" s="653"/>
      <c r="Q1054" s="653"/>
      <c r="R1054" s="653"/>
      <c r="S1054" s="653"/>
      <c r="T1054" s="653"/>
      <c r="U1054" s="653"/>
    </row>
    <row r="1055" spans="1:21" x14ac:dyDescent="0.25">
      <c r="A1055" s="653"/>
      <c r="B1055" s="653"/>
      <c r="C1055" s="653"/>
      <c r="D1055" s="653"/>
      <c r="E1055" s="653"/>
      <c r="F1055" s="653"/>
      <c r="G1055" s="1243"/>
      <c r="H1055" s="653"/>
      <c r="I1055" s="653"/>
      <c r="J1055" s="653"/>
      <c r="K1055" s="653"/>
      <c r="L1055" s="653"/>
      <c r="M1055" s="653"/>
      <c r="N1055" s="653"/>
      <c r="O1055" s="653"/>
      <c r="P1055" s="653"/>
      <c r="Q1055" s="653"/>
      <c r="R1055" s="653"/>
      <c r="S1055" s="653"/>
      <c r="T1055" s="653"/>
      <c r="U1055" s="653"/>
    </row>
    <row r="1056" spans="1:21" x14ac:dyDescent="0.25">
      <c r="A1056" s="653"/>
      <c r="B1056" s="653"/>
      <c r="C1056" s="653"/>
      <c r="D1056" s="653"/>
      <c r="E1056" s="653"/>
      <c r="F1056" s="653"/>
      <c r="G1056" s="1243"/>
      <c r="H1056" s="653"/>
      <c r="I1056" s="653"/>
      <c r="J1056" s="653"/>
      <c r="K1056" s="653"/>
      <c r="L1056" s="653"/>
      <c r="M1056" s="653"/>
      <c r="N1056" s="653"/>
      <c r="O1056" s="653"/>
      <c r="P1056" s="653"/>
      <c r="Q1056" s="653"/>
      <c r="R1056" s="653"/>
      <c r="S1056" s="653"/>
      <c r="T1056" s="653"/>
      <c r="U1056" s="653"/>
    </row>
    <row r="1057" spans="1:21" x14ac:dyDescent="0.25">
      <c r="A1057" s="653"/>
      <c r="B1057" s="653"/>
      <c r="C1057" s="653"/>
      <c r="D1057" s="653"/>
      <c r="E1057" s="653"/>
      <c r="F1057" s="653"/>
      <c r="G1057" s="1243"/>
      <c r="H1057" s="653"/>
      <c r="I1057" s="653"/>
      <c r="J1057" s="653"/>
      <c r="K1057" s="653"/>
      <c r="L1057" s="653"/>
      <c r="M1057" s="653"/>
      <c r="N1057" s="653"/>
      <c r="O1057" s="653"/>
      <c r="P1057" s="653"/>
      <c r="Q1057" s="653"/>
      <c r="R1057" s="653"/>
      <c r="S1057" s="653"/>
      <c r="T1057" s="653"/>
      <c r="U1057" s="653"/>
    </row>
    <row r="1058" spans="1:21" x14ac:dyDescent="0.25">
      <c r="A1058" s="653"/>
      <c r="B1058" s="653"/>
      <c r="C1058" s="653"/>
      <c r="D1058" s="653"/>
      <c r="E1058" s="653"/>
      <c r="F1058" s="653"/>
      <c r="G1058" s="1243"/>
      <c r="H1058" s="653"/>
      <c r="I1058" s="653"/>
      <c r="J1058" s="653"/>
      <c r="K1058" s="653"/>
      <c r="L1058" s="653"/>
      <c r="M1058" s="653"/>
      <c r="N1058" s="653"/>
      <c r="O1058" s="653"/>
      <c r="P1058" s="653"/>
      <c r="Q1058" s="653"/>
      <c r="R1058" s="653"/>
      <c r="S1058" s="653"/>
      <c r="T1058" s="653"/>
      <c r="U1058" s="653"/>
    </row>
  </sheetData>
  <sheetProtection algorithmName="SHA-512" hashValue="u3bMAJbDjyXUedL/gat/x/8pdO8A+3Ph+jByS2V6gAc+y4lS6Jhknt1mi9LvyKiAuoU6WeeFKPWC6L8an35+Nw==" saltValue="v6Q0rZc/79DdvijfszZvcw==" spinCount="100000" sheet="1" objects="1" scenarios="1"/>
  <mergeCells count="257">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s>
  <conditionalFormatting sqref="N6">
    <cfRule type="expression" dxfId="160" priority="48">
      <formula>$J6="Check"</formula>
    </cfRule>
  </conditionalFormatting>
  <conditionalFormatting sqref="N20">
    <cfRule type="expression" dxfId="159" priority="46">
      <formula>$J20="Check"</formula>
    </cfRule>
  </conditionalFormatting>
  <conditionalFormatting sqref="N34">
    <cfRule type="expression" dxfId="158" priority="45">
      <formula>$J34="Check"</formula>
    </cfRule>
  </conditionalFormatting>
  <conditionalFormatting sqref="N48">
    <cfRule type="expression" dxfId="157" priority="44">
      <formula>$J48="Check"</formula>
    </cfRule>
  </conditionalFormatting>
  <conditionalFormatting sqref="N62">
    <cfRule type="expression" dxfId="156" priority="43">
      <formula>$J62="Check"</formula>
    </cfRule>
  </conditionalFormatting>
  <conditionalFormatting sqref="N78">
    <cfRule type="expression" dxfId="155" priority="42">
      <formula>$J78="Check"</formula>
    </cfRule>
  </conditionalFormatting>
  <conditionalFormatting sqref="N94">
    <cfRule type="expression" dxfId="154" priority="41">
      <formula>$J94="Check"</formula>
    </cfRule>
  </conditionalFormatting>
  <conditionalFormatting sqref="N108">
    <cfRule type="expression" dxfId="153" priority="40">
      <formula>$J108="Check"</formula>
    </cfRule>
  </conditionalFormatting>
  <conditionalFormatting sqref="N122">
    <cfRule type="expression" dxfId="152" priority="39">
      <formula>$J122="Check"</formula>
    </cfRule>
  </conditionalFormatting>
  <conditionalFormatting sqref="N138">
    <cfRule type="expression" dxfId="151" priority="38">
      <formula>$J138="Check"</formula>
    </cfRule>
  </conditionalFormatting>
  <conditionalFormatting sqref="N242">
    <cfRule type="expression" dxfId="150" priority="31">
      <formula>$J242="Check"</formula>
    </cfRule>
  </conditionalFormatting>
  <conditionalFormatting sqref="N226">
    <cfRule type="expression" dxfId="149" priority="30">
      <formula>$J226="Check"</formula>
    </cfRule>
  </conditionalFormatting>
  <conditionalFormatting sqref="N210">
    <cfRule type="expression" dxfId="148" priority="29">
      <formula>$J210="Check"</formula>
    </cfRule>
  </conditionalFormatting>
  <conditionalFormatting sqref="N196">
    <cfRule type="expression" dxfId="147" priority="28">
      <formula>$J196="Check"</formula>
    </cfRule>
  </conditionalFormatting>
  <conditionalFormatting sqref="N182">
    <cfRule type="expression" dxfId="146" priority="27">
      <formula>$J182="Check"</formula>
    </cfRule>
  </conditionalFormatting>
  <conditionalFormatting sqref="N168">
    <cfRule type="expression" dxfId="145" priority="26">
      <formula>$J168="Check"</formula>
    </cfRule>
  </conditionalFormatting>
  <conditionalFormatting sqref="N154">
    <cfRule type="expression" dxfId="144" priority="25">
      <formula>$J154="Check"</formula>
    </cfRule>
  </conditionalFormatting>
  <conditionalFormatting sqref="N312">
    <cfRule type="expression" dxfId="143" priority="24">
      <formula>$J312="Check"</formula>
    </cfRule>
  </conditionalFormatting>
  <conditionalFormatting sqref="N326">
    <cfRule type="expression" dxfId="142" priority="23">
      <formula>$J326="Check"</formula>
    </cfRule>
  </conditionalFormatting>
  <conditionalFormatting sqref="N340">
    <cfRule type="expression" dxfId="141" priority="22">
      <formula>$J340="Check"</formula>
    </cfRule>
  </conditionalFormatting>
  <conditionalFormatting sqref="N354">
    <cfRule type="expression" dxfId="140" priority="21">
      <formula>$J354="Check"</formula>
    </cfRule>
  </conditionalFormatting>
  <conditionalFormatting sqref="N368">
    <cfRule type="expression" dxfId="139" priority="20">
      <formula>$J368="Check"</formula>
    </cfRule>
  </conditionalFormatting>
  <conditionalFormatting sqref="N382">
    <cfRule type="expression" dxfId="138" priority="19">
      <formula>$J382="Check"</formula>
    </cfRule>
  </conditionalFormatting>
  <conditionalFormatting sqref="N396">
    <cfRule type="expression" dxfId="137" priority="17">
      <formula>$J396="Check"</formula>
    </cfRule>
  </conditionalFormatting>
  <conditionalFormatting sqref="N410">
    <cfRule type="expression" dxfId="136" priority="15">
      <formula>$J410="Check"</formula>
    </cfRule>
  </conditionalFormatting>
  <conditionalFormatting sqref="N424">
    <cfRule type="expression" dxfId="135" priority="14">
      <formula>$J424="Check"</formula>
    </cfRule>
  </conditionalFormatting>
  <conditionalFormatting sqref="N438">
    <cfRule type="expression" dxfId="134" priority="13">
      <formula>$J438="Check"</formula>
    </cfRule>
  </conditionalFormatting>
  <conditionalFormatting sqref="N452">
    <cfRule type="expression" dxfId="133" priority="12">
      <formula>$J452="Check"</formula>
    </cfRule>
  </conditionalFormatting>
  <conditionalFormatting sqref="N466">
    <cfRule type="expression" dxfId="132" priority="11">
      <formula>$J466="Check"</formula>
    </cfRule>
  </conditionalFormatting>
  <conditionalFormatting sqref="N480">
    <cfRule type="expression" dxfId="131" priority="10">
      <formula>$J480="Check"</formula>
    </cfRule>
  </conditionalFormatting>
  <conditionalFormatting sqref="N256">
    <cfRule type="expression" dxfId="130" priority="9">
      <formula>$J256="Check"</formula>
    </cfRule>
  </conditionalFormatting>
  <conditionalFormatting sqref="N270">
    <cfRule type="expression" dxfId="129" priority="8">
      <formula>$J270="Check"</formula>
    </cfRule>
  </conditionalFormatting>
  <conditionalFormatting sqref="N284">
    <cfRule type="expression" dxfId="128" priority="7">
      <formula>$J284="Check"</formula>
    </cfRule>
  </conditionalFormatting>
  <conditionalFormatting sqref="N298">
    <cfRule type="expression" dxfId="127" priority="6">
      <formula>$J298="Check"</formula>
    </cfRule>
  </conditionalFormatting>
  <conditionalFormatting sqref="P248">
    <cfRule type="expression" dxfId="126" priority="5">
      <formula>$H242="Monthly"</formula>
    </cfRule>
  </conditionalFormatting>
  <conditionalFormatting sqref="P262">
    <cfRule type="expression" dxfId="125" priority="4">
      <formula>$H256="Monthly"</formula>
    </cfRule>
  </conditionalFormatting>
  <conditionalFormatting sqref="P276">
    <cfRule type="expression" dxfId="124" priority="3">
      <formula>$H270="Monthly"</formula>
    </cfRule>
  </conditionalFormatting>
  <conditionalFormatting sqref="P290">
    <cfRule type="expression" dxfId="123" priority="2">
      <formula>$H284="Monthly"</formula>
    </cfRule>
  </conditionalFormatting>
  <conditionalFormatting sqref="P304">
    <cfRule type="expression" dxfId="122" priority="1">
      <formula>$H298="Monthly"</formula>
    </cfRule>
  </conditionalFormatting>
  <dataValidations count="7">
    <dataValidation type="list" allowBlank="1" showInputMessage="1" showErrorMessage="1" sqref="H6 H34 H20 H62 H78 H48 H94 H108 H122 H138 H242 H196 H226 H210 H182 H168 H154 H312 H368 H438 H452 H256 H270 H284 H298" xr:uid="{00000000-0002-0000-0C00-000000000000}">
      <formula1>"Annual, Quarterly, Monthly, Weekly, Program"</formula1>
    </dataValidation>
    <dataValidation type="list" allowBlank="1" showInputMessage="1" showErrorMessage="1" sqref="R6 R20 R34 R62 R78 R48 R94 R108 R122 R138 R242 R226 R210 R196 R182 R168 R154 R312 R368 R256 R270 R284 R298 R43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P40 D71 D87 H40 H26 D41 P54 H54 H100 H114 H132 H148 D101 D115 D147 D131 D249 H248 T20 T34 T48 T62 T78 T94 T108 T122 T138 T168 T182 T196 T210 T226 D235 T242 P72 P88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T438"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729" t="s">
        <v>113</v>
      </c>
      <c r="BA1" s="1221"/>
      <c r="BB1" s="1275"/>
      <c r="BC1" s="1275"/>
      <c r="BD1" s="1275"/>
    </row>
    <row r="2" spans="1:56" ht="15" x14ac:dyDescent="0.25">
      <c r="I2" s="575"/>
      <c r="J2" s="1625"/>
      <c r="K2" s="1625"/>
      <c r="O2" s="575"/>
      <c r="P2" s="575"/>
      <c r="Q2" s="575"/>
      <c r="R2" s="575"/>
      <c r="S2" s="575"/>
      <c r="T2" s="575"/>
      <c r="U2" s="575"/>
      <c r="V2" s="575"/>
      <c r="W2" s="575"/>
      <c r="X2" s="575"/>
      <c r="Y2" s="575"/>
      <c r="Z2" s="575"/>
      <c r="AA2" s="575"/>
      <c r="AH2" s="140" t="s">
        <v>62</v>
      </c>
      <c r="AI2" s="140" t="s">
        <v>1</v>
      </c>
      <c r="AJ2" s="140" t="s">
        <v>62</v>
      </c>
      <c r="AK2" s="729" t="s">
        <v>113</v>
      </c>
      <c r="BA2" s="1221"/>
      <c r="BB2" s="599"/>
      <c r="BC2" s="1223"/>
      <c r="BD2" s="599"/>
    </row>
    <row r="3" spans="1:56" ht="15" x14ac:dyDescent="0.25">
      <c r="I3" s="576" t="s">
        <v>919</v>
      </c>
      <c r="J3" s="1543" t="e">
        <f>VLOOKUP($J$4,'Market Geography'!$D:$G,4,FALSE)</f>
        <v>#N/A</v>
      </c>
      <c r="K3" s="1543"/>
      <c r="O3" s="575"/>
      <c r="P3" s="575"/>
      <c r="Q3" s="575"/>
      <c r="R3" s="575"/>
      <c r="S3" s="575"/>
      <c r="T3" s="575"/>
      <c r="U3" s="575"/>
      <c r="V3" s="575"/>
      <c r="W3" s="575"/>
      <c r="X3" s="575"/>
      <c r="Y3" s="575"/>
      <c r="Z3" s="575"/>
      <c r="AA3" s="575"/>
      <c r="AH3" s="140" t="s">
        <v>74</v>
      </c>
      <c r="AI3" s="140" t="s">
        <v>1</v>
      </c>
      <c r="AJ3" s="140" t="s">
        <v>74</v>
      </c>
      <c r="AK3" s="729" t="s">
        <v>113</v>
      </c>
      <c r="BA3" s="1221"/>
      <c r="BB3" s="599"/>
      <c r="BC3" s="1223"/>
      <c r="BD3" s="599"/>
    </row>
    <row r="4" spans="1:56" ht="15" x14ac:dyDescent="0.25">
      <c r="I4" s="576" t="s">
        <v>920</v>
      </c>
      <c r="J4" s="1543">
        <f>Welcome!$D$4</f>
        <v>0</v>
      </c>
      <c r="K4" s="1543"/>
      <c r="L4" s="577"/>
      <c r="M4" s="577"/>
      <c r="O4" s="575"/>
      <c r="P4" s="575"/>
      <c r="Q4" s="575"/>
      <c r="R4" s="575"/>
      <c r="S4" s="575"/>
      <c r="T4" s="575"/>
      <c r="U4" s="575"/>
      <c r="V4" s="575"/>
      <c r="W4" s="575"/>
      <c r="X4" s="575"/>
      <c r="Y4" s="575"/>
      <c r="Z4" s="575"/>
      <c r="AA4" s="575"/>
      <c r="AC4" s="27"/>
      <c r="AH4" s="140" t="s">
        <v>34</v>
      </c>
      <c r="AI4" s="140" t="s">
        <v>1</v>
      </c>
      <c r="AJ4" s="140" t="s">
        <v>34</v>
      </c>
      <c r="AK4" s="729" t="s">
        <v>113</v>
      </c>
      <c r="BA4" s="1221"/>
      <c r="BB4" s="599"/>
      <c r="BC4" s="1223"/>
      <c r="BD4" s="599"/>
    </row>
    <row r="5" spans="1:56" ht="15" x14ac:dyDescent="0.25">
      <c r="I5" s="576" t="s">
        <v>921</v>
      </c>
      <c r="J5" s="1626" t="e">
        <f>VLOOKUP($J$4,'Market Geography'!$D:$F,3,FALSE)</f>
        <v>#N/A</v>
      </c>
      <c r="K5" s="1626"/>
      <c r="O5" s="575"/>
      <c r="P5" s="575"/>
      <c r="Q5" s="575"/>
      <c r="R5" s="575"/>
      <c r="S5" s="575"/>
      <c r="T5" s="575"/>
      <c r="U5" s="575"/>
      <c r="V5" s="575"/>
      <c r="W5" s="575"/>
      <c r="X5" s="575"/>
      <c r="Y5" s="575"/>
      <c r="Z5" s="575"/>
      <c r="AA5" s="575"/>
      <c r="AH5" s="140" t="s">
        <v>0</v>
      </c>
      <c r="AI5" s="140" t="s">
        <v>1</v>
      </c>
      <c r="AJ5" s="140" t="s">
        <v>0</v>
      </c>
      <c r="AK5" s="729" t="s">
        <v>113</v>
      </c>
      <c r="BA5" s="1221"/>
      <c r="BB5" s="599"/>
      <c r="BC5" s="1223"/>
      <c r="BD5" s="599"/>
    </row>
    <row r="6" spans="1:56" ht="15" x14ac:dyDescent="0.25">
      <c r="I6" s="578" t="s">
        <v>922</v>
      </c>
      <c r="J6" s="1543" t="s">
        <v>134</v>
      </c>
      <c r="K6" s="1543" t="s">
        <v>206</v>
      </c>
      <c r="O6" s="575"/>
      <c r="P6" s="575"/>
      <c r="Q6" s="575"/>
      <c r="R6" s="575"/>
      <c r="S6" s="575"/>
      <c r="T6" s="575"/>
      <c r="U6" s="575"/>
      <c r="V6" s="575"/>
      <c r="W6" s="575"/>
      <c r="X6" s="575"/>
      <c r="Y6" s="575"/>
      <c r="Z6" s="575"/>
      <c r="AA6" s="575"/>
      <c r="AH6" s="140" t="s">
        <v>69</v>
      </c>
      <c r="AI6" s="140" t="s">
        <v>1</v>
      </c>
      <c r="AJ6" s="140" t="s">
        <v>69</v>
      </c>
      <c r="AK6" s="729" t="s">
        <v>113</v>
      </c>
      <c r="BA6" s="1221"/>
      <c r="BB6" s="599"/>
      <c r="BC6" s="1223"/>
      <c r="BD6" s="599"/>
    </row>
    <row r="7" spans="1:56" ht="15" x14ac:dyDescent="0.25">
      <c r="I7" s="578" t="s">
        <v>923</v>
      </c>
      <c r="J7" s="1543" t="str">
        <f>IF(Welcome!$D$8="MDA","C","N")</f>
        <v>N</v>
      </c>
      <c r="K7" s="1543" t="e">
        <f>IF(#REF!="MDA","C","N")</f>
        <v>#REF!</v>
      </c>
      <c r="O7" s="575"/>
      <c r="P7" s="575"/>
      <c r="Q7" s="575"/>
      <c r="R7" s="575"/>
      <c r="S7" s="575"/>
      <c r="T7" s="575"/>
      <c r="U7" s="575"/>
      <c r="V7" s="575"/>
      <c r="W7" s="575"/>
      <c r="X7" s="575"/>
      <c r="Y7" s="575"/>
      <c r="Z7" s="575"/>
      <c r="AA7" s="575"/>
      <c r="AB7" s="27"/>
      <c r="AC7" s="27"/>
      <c r="AH7" s="140" t="s">
        <v>4</v>
      </c>
      <c r="AI7" s="140" t="s">
        <v>1</v>
      </c>
      <c r="AJ7" s="140" t="s">
        <v>4</v>
      </c>
      <c r="AK7" s="729" t="s">
        <v>113</v>
      </c>
      <c r="BA7" s="1221"/>
      <c r="BB7" s="599"/>
      <c r="BC7" s="1223"/>
      <c r="BD7" s="599"/>
    </row>
    <row r="8" spans="1:56" ht="15" x14ac:dyDescent="0.25">
      <c r="AH8" s="140" t="s">
        <v>35</v>
      </c>
      <c r="AI8" s="140" t="s">
        <v>1</v>
      </c>
      <c r="AJ8" s="140" t="s">
        <v>35</v>
      </c>
      <c r="AK8" s="729" t="s">
        <v>113</v>
      </c>
      <c r="BA8" s="1221"/>
      <c r="BB8" s="599"/>
      <c r="BC8" s="1223"/>
      <c r="BD8" s="599"/>
    </row>
    <row r="9" spans="1:56" ht="15" x14ac:dyDescent="0.25">
      <c r="I9" s="579"/>
      <c r="AH9" s="140" t="s">
        <v>6</v>
      </c>
      <c r="AI9" s="140" t="s">
        <v>1</v>
      </c>
      <c r="AJ9" s="140" t="s">
        <v>6</v>
      </c>
      <c r="AK9" s="729" t="s">
        <v>113</v>
      </c>
      <c r="BA9" s="1221"/>
      <c r="BB9" s="599"/>
      <c r="BC9" s="1223"/>
      <c r="BD9" s="599"/>
    </row>
    <row r="10" spans="1:56" ht="15" x14ac:dyDescent="0.25">
      <c r="I10" s="579"/>
      <c r="J10" s="579"/>
      <c r="N10" s="565"/>
      <c r="O10" s="565"/>
      <c r="P10" s="565"/>
      <c r="Q10" s="565"/>
      <c r="R10" s="565"/>
      <c r="S10" s="565"/>
      <c r="T10" s="565"/>
      <c r="U10" s="565"/>
      <c r="V10" s="565"/>
      <c r="W10" s="565"/>
      <c r="X10" s="565"/>
      <c r="Y10" s="565"/>
      <c r="Z10" s="565"/>
      <c r="AA10" s="565"/>
      <c r="AB10" s="565"/>
      <c r="AC10" s="580"/>
      <c r="AH10" s="140" t="s">
        <v>15</v>
      </c>
      <c r="AI10" s="140" t="s">
        <v>1</v>
      </c>
      <c r="AJ10" s="140" t="s">
        <v>15</v>
      </c>
      <c r="AK10" s="729" t="s">
        <v>113</v>
      </c>
      <c r="BA10" s="1221"/>
      <c r="BB10" s="599"/>
      <c r="BC10" s="1223"/>
      <c r="BD10" s="599"/>
    </row>
    <row r="11" spans="1:56" ht="15" x14ac:dyDescent="0.25">
      <c r="I11" s="563"/>
      <c r="N11" s="565"/>
      <c r="O11" s="565"/>
      <c r="P11" s="565"/>
      <c r="Q11" s="565"/>
      <c r="R11" s="565"/>
      <c r="S11" s="565"/>
      <c r="T11" s="565"/>
      <c r="U11" s="565"/>
      <c r="V11" s="565"/>
      <c r="W11" s="565"/>
      <c r="X11" s="565"/>
      <c r="Y11" s="565"/>
      <c r="Z11" s="565"/>
      <c r="AA11" s="565"/>
      <c r="AB11" s="565"/>
      <c r="AC11" s="580"/>
      <c r="AH11" s="140" t="s">
        <v>45</v>
      </c>
      <c r="AI11" s="140" t="s">
        <v>1</v>
      </c>
      <c r="AJ11" s="140" t="s">
        <v>45</v>
      </c>
      <c r="AK11" s="729" t="s">
        <v>113</v>
      </c>
      <c r="BA11" s="1221"/>
      <c r="BB11" s="599"/>
      <c r="BC11" s="1223"/>
      <c r="BD11" s="599"/>
    </row>
    <row r="12" spans="1:56" ht="15" x14ac:dyDescent="0.25">
      <c r="I12" s="563"/>
      <c r="N12" s="565"/>
      <c r="O12" s="565"/>
      <c r="P12" s="565"/>
      <c r="Q12" s="565"/>
      <c r="R12" s="565"/>
      <c r="S12" s="565"/>
      <c r="T12" s="565"/>
      <c r="U12" s="565"/>
      <c r="V12" s="565"/>
      <c r="W12" s="565"/>
      <c r="X12" s="565"/>
      <c r="Y12" s="565"/>
      <c r="Z12" s="565"/>
      <c r="AA12" s="565"/>
      <c r="AB12" s="565"/>
      <c r="AH12" s="140" t="s">
        <v>48</v>
      </c>
      <c r="AI12" s="140" t="s">
        <v>1</v>
      </c>
      <c r="AJ12" s="140" t="s">
        <v>48</v>
      </c>
      <c r="AK12" s="729" t="s">
        <v>113</v>
      </c>
      <c r="BA12" s="1221"/>
      <c r="BB12" s="599"/>
      <c r="BC12" s="1223"/>
      <c r="BD12" s="599"/>
    </row>
    <row r="13" spans="1:56" ht="15" x14ac:dyDescent="0.25">
      <c r="J13" s="564"/>
      <c r="N13" s="565"/>
      <c r="AD13" s="1622" t="s">
        <v>975</v>
      </c>
      <c r="AE13" s="1623"/>
      <c r="AF13" s="1624"/>
      <c r="AH13" s="140" t="s">
        <v>60</v>
      </c>
      <c r="AI13" s="140" t="s">
        <v>1</v>
      </c>
      <c r="AJ13" s="140" t="s">
        <v>60</v>
      </c>
      <c r="AK13" s="729" t="s">
        <v>113</v>
      </c>
      <c r="BA13" s="1221"/>
      <c r="BB13" s="599"/>
      <c r="BC13" s="1223"/>
      <c r="BD13" s="599"/>
    </row>
    <row r="14" spans="1:56" ht="39" x14ac:dyDescent="0.25">
      <c r="A14" s="140" t="s">
        <v>1040</v>
      </c>
      <c r="B14" s="570" t="s">
        <v>900</v>
      </c>
      <c r="C14" s="570" t="s">
        <v>918</v>
      </c>
      <c r="D14" s="571" t="s">
        <v>966</v>
      </c>
      <c r="E14" s="571" t="s">
        <v>974</v>
      </c>
      <c r="F14" s="573" t="s">
        <v>981</v>
      </c>
      <c r="G14" s="572" t="s">
        <v>976</v>
      </c>
      <c r="H14" s="572" t="s">
        <v>977</v>
      </c>
      <c r="I14" s="572" t="s">
        <v>204</v>
      </c>
      <c r="J14" s="572" t="s">
        <v>397</v>
      </c>
      <c r="K14" s="572" t="s">
        <v>205</v>
      </c>
      <c r="L14" s="572" t="s">
        <v>978</v>
      </c>
      <c r="M14" s="572" t="s">
        <v>1039</v>
      </c>
      <c r="N14" s="574" t="s">
        <v>984</v>
      </c>
      <c r="O14" s="573" t="s">
        <v>985</v>
      </c>
      <c r="P14" s="573" t="s">
        <v>986</v>
      </c>
      <c r="Q14" s="571" t="s">
        <v>979</v>
      </c>
      <c r="R14" s="571" t="s">
        <v>980</v>
      </c>
      <c r="S14" s="571" t="s">
        <v>989</v>
      </c>
      <c r="T14" s="571" t="s">
        <v>967</v>
      </c>
      <c r="U14" s="571" t="s">
        <v>968</v>
      </c>
      <c r="V14" s="571" t="s">
        <v>969</v>
      </c>
      <c r="W14" s="582" t="s">
        <v>987</v>
      </c>
      <c r="X14" s="582" t="s">
        <v>988</v>
      </c>
      <c r="Y14" s="582" t="s">
        <v>990</v>
      </c>
      <c r="Z14" s="572" t="s">
        <v>982</v>
      </c>
      <c r="AA14" s="572" t="s">
        <v>983</v>
      </c>
      <c r="AB14" s="572"/>
      <c r="AC14" s="584" t="s">
        <v>831</v>
      </c>
      <c r="AD14" s="585" t="s">
        <v>832</v>
      </c>
      <c r="AE14" s="585" t="s">
        <v>833</v>
      </c>
      <c r="AF14" s="585" t="s">
        <v>834</v>
      </c>
      <c r="AG14" s="585" t="s">
        <v>1014</v>
      </c>
      <c r="AH14" s="140" t="s">
        <v>20</v>
      </c>
      <c r="AI14" s="140" t="s">
        <v>1</v>
      </c>
      <c r="AJ14" s="140" t="s">
        <v>20</v>
      </c>
      <c r="AK14" s="729" t="s">
        <v>113</v>
      </c>
      <c r="BA14" s="1221"/>
      <c r="BB14" s="599"/>
      <c r="BC14" s="1223"/>
      <c r="BD14" s="599"/>
    </row>
    <row r="15" spans="1:56" ht="15" x14ac:dyDescent="0.25">
      <c r="A15" s="140" t="str">
        <f>IF('Customer Inputs'!$S6="","",IF('Variable Costs (Back)'!$M15="Zip Code Not Serviced","Zip Code Not Serviced",""))</f>
        <v/>
      </c>
      <c r="B15" s="140" t="str">
        <f>'Customer Inputs'!Y6</f>
        <v/>
      </c>
      <c r="C15" s="140" t="str">
        <f>IF('Customer Inputs'!H6="","",'Customer Inputs'!H6)</f>
        <v/>
      </c>
      <c r="D15" s="563">
        <f>ROUND('Multi-Customer'!$BB$51,0)</f>
        <v>0</v>
      </c>
      <c r="E15" s="563">
        <f>ROUND('Multi-Customer'!$BB$52,0)</f>
        <v>0</v>
      </c>
      <c r="F15" s="563">
        <f>ROUND('Multi-Customer'!$BC$35,0)</f>
        <v>0</v>
      </c>
      <c r="G15" s="563" t="str">
        <f>LEFT($I15,3)</f>
        <v/>
      </c>
      <c r="H15" s="563" t="str">
        <f>LEFT($I15,4)</f>
        <v/>
      </c>
      <c r="I15" s="563" t="str">
        <f>IF('Customer Inputs'!Z6="","",'Customer Inputs'!Z6)</f>
        <v/>
      </c>
      <c r="J15" s="581" t="str">
        <f>IF('Customer Inputs'!$F6="","",'Customer Inputs'!$P6)</f>
        <v/>
      </c>
      <c r="K15" s="140" t="str">
        <f>'Customer Inputs'!X6</f>
        <v/>
      </c>
      <c r="L15" s="564">
        <f>IFERROR(IFERROR(IFERROR(VLOOKUP($J$5&amp;$I15,'5zip'!$A:$F,6,FALSE),VLOOKUP($J$5&amp;$H15,'4zip'!$A:$F,6,FALSE)),VLOOKUP($J$5&amp;$G15,'3zip'!$A:$F,6,FALSE)),0)</f>
        <v>0</v>
      </c>
      <c r="M15" s="564" t="str">
        <f>IFERROR(IFERROR(IFERROR(VLOOKUP($J$5&amp;$I15,'5zip'!$A:$F,6,FALSE),VLOOKUP($J$5&amp;$H15,'4zip'!$A:$F,6,FALSE)),VLOOKUP($J$5&amp;$G15,'3zip'!$A:$F,6,FALSE)),"Zip Code Not Serviced")</f>
        <v>Zip Code Not Serviced</v>
      </c>
      <c r="N15" s="565">
        <f>IFERROR(52*K15*L15,0)</f>
        <v>0</v>
      </c>
      <c r="O15" s="566">
        <f>IFERROR((VLOOKUP($J$4&amp;$C15&amp;$J$6&amp;$J$7,'Variable Selling'!$B:$O,11,FALSE))*F15,0)</f>
        <v>0</v>
      </c>
      <c r="P15" s="566">
        <f>IFERROR(VLOOKUP($J$4,'Variable Div Avgs'!$D:$I,6,FALSE)*'Variable Costs (Back)'!$F15,0)</f>
        <v>0</v>
      </c>
      <c r="Q15" s="566">
        <f t="shared" ref="Q15:Q24" si="0">IFERROR(T15/E15,0)</f>
        <v>0</v>
      </c>
      <c r="R15" s="566">
        <f t="shared" ref="R15:R24" si="1">IFERROR(U15/D15,0)</f>
        <v>0</v>
      </c>
      <c r="S15" s="566">
        <f>IFERROR(V15/D15,0)</f>
        <v>0</v>
      </c>
      <c r="T15" s="566">
        <f>IFERROR(VLOOKUP($AC15,'Existing Customer Variable Exp'!$B:$E,2,FALSE),0)</f>
        <v>0</v>
      </c>
      <c r="U15" s="566">
        <f>IFERROR(VLOOKUP($AC15,'Existing Customer Variable Exp'!$B:$E,3,FALSE),0)</f>
        <v>0</v>
      </c>
      <c r="V15" s="566">
        <f>IFERROR(VLOOKUP($AC15,'Existing Customer Variable Exp'!$B:$E,4,FALSE),0)</f>
        <v>0</v>
      </c>
      <c r="W15" s="565">
        <f>IFERROR(Q15*K15*52,0)</f>
        <v>0</v>
      </c>
      <c r="X15" s="566">
        <f>R15*F15</f>
        <v>0</v>
      </c>
      <c r="Y15" s="566">
        <f>S15*F15</f>
        <v>0</v>
      </c>
      <c r="Z15" s="566" t="str">
        <f>IF('Customer Inputs'!L6&lt;&gt;'Customer Inputs'!X6,"Modelled",IF(D15=F15,"BASE","Modelled"))</f>
        <v>BASE</v>
      </c>
      <c r="AA15" s="566" t="str">
        <f>IF(AND(SUMIF('Existing Customers'!$A:$A,'Variable Costs (Back)'!$AC15,'Existing Customers'!$Q:$Q)&gt;0,'Customer Inputs'!$U6&lt;&gt;"Prospect"),IF('Customer Inputs'!$V6&lt;&gt;"Yes","Existing","New"),"New")</f>
        <v>New</v>
      </c>
      <c r="AB15" s="583" t="s">
        <v>812</v>
      </c>
      <c r="AC15" s="567" t="str">
        <f>IF('Customer Inputs'!$F6="","",'Customer Inputs'!$G6)</f>
        <v/>
      </c>
      <c r="AD15" s="1224" t="e">
        <f>IF($AA15="Existing",IF($Z15="BASE",$T15,$W15),$N15) + VLOOKUP($J$5,$BA:$BD,2,FALSE)*$F$15</f>
        <v>#N/A</v>
      </c>
      <c r="AE15" s="1224" t="e">
        <f>IF($AA15="Existing",IF($Z15="BASE",$U15,$X15),$O15) + VLOOKUP($J$5,$BA:$BD,3,FALSE)*$F$15</f>
        <v>#N/A</v>
      </c>
      <c r="AF15" s="1224" t="e">
        <f>IF($AA15="Existing",IF($Z15="BASE",$V15,$Y15),$P15) + VLOOKUP($J$5,$BA:$BD,4,FALSE)*$F$15</f>
        <v>#N/A</v>
      </c>
      <c r="AG15" s="678" t="e">
        <f>SUM(AD15:AF15)</f>
        <v>#N/A</v>
      </c>
      <c r="AH15" s="140" t="s">
        <v>36</v>
      </c>
      <c r="AI15" s="140" t="s">
        <v>1</v>
      </c>
      <c r="AJ15" s="140" t="s">
        <v>36</v>
      </c>
      <c r="AK15" s="729" t="s">
        <v>113</v>
      </c>
      <c r="BA15" s="1221"/>
      <c r="BB15" s="599"/>
      <c r="BC15" s="1223"/>
      <c r="BD15" s="599"/>
    </row>
    <row r="16" spans="1:56" ht="15" x14ac:dyDescent="0.25">
      <c r="A16" s="140" t="str">
        <f>IF('Customer Inputs'!$S7="","",IF('Variable Costs (Back)'!$M16="Zip Code Not Serviced","Zip Code Not Serviced",""))</f>
        <v/>
      </c>
      <c r="B16" s="140" t="str">
        <f>'Customer Inputs'!Y7</f>
        <v/>
      </c>
      <c r="C16" s="140" t="str">
        <f>IF('Customer Inputs'!H7="","",'Customer Inputs'!H7)</f>
        <v/>
      </c>
      <c r="D16" s="563">
        <f>ROUND('Multi-Customer'!$BY$51,0)</f>
        <v>0</v>
      </c>
      <c r="E16" s="563">
        <f>ROUND('Multi-Customer'!$BY$52,0)</f>
        <v>0</v>
      </c>
      <c r="F16" s="563">
        <f>ROUND('Multi-Customer'!$BZ$35,0)</f>
        <v>0</v>
      </c>
      <c r="G16" s="563" t="str">
        <f t="shared" ref="G16:G24" si="2">LEFT($I16,3)</f>
        <v/>
      </c>
      <c r="H16" s="563" t="str">
        <f t="shared" ref="H16:H24" si="3">LEFT($I16,4)</f>
        <v/>
      </c>
      <c r="I16" s="563" t="str">
        <f>IF('Customer Inputs'!Z7="","",'Customer Inputs'!Z7)</f>
        <v/>
      </c>
      <c r="J16" s="581" t="str">
        <f>IF('Customer Inputs'!$F7="","",'Customer Inputs'!$P7)</f>
        <v/>
      </c>
      <c r="K16" s="140" t="str">
        <f>'Customer Inputs'!X7</f>
        <v/>
      </c>
      <c r="L16" s="564">
        <f>IFERROR(IFERROR(IFERROR(VLOOKUP($J$5&amp;$I16,'5zip'!$A:$F,6,FALSE),VLOOKUP($J$5&amp;$H16,'4zip'!$A:$F,6,FALSE)),VLOOKUP($J$5&amp;$G16,'3zip'!$A:$F,6,FALSE)),0)</f>
        <v>0</v>
      </c>
      <c r="M16" s="564" t="str">
        <f>IFERROR(IFERROR(IFERROR(VLOOKUP($J$5&amp;$I16,'5zip'!$A:$F,6,FALSE),VLOOKUP($J$5&amp;$H16,'4zip'!$A:$F,6,FALSE)),VLOOKUP($J$5&amp;$G16,'3zip'!$A:$F,6,FALSE)),"Zip Code Not Serviced")</f>
        <v>Zip Code Not Serviced</v>
      </c>
      <c r="N16" s="565">
        <f t="shared" ref="N16:N24" si="4">IFERROR(52*K16*L16,0)</f>
        <v>0</v>
      </c>
      <c r="O16" s="566">
        <f>IFERROR((VLOOKUP($J$4&amp;$C16&amp;$J$6&amp;$J$7,'Variable Selling'!$B:$O,11,FALSE))*F16,0)</f>
        <v>0</v>
      </c>
      <c r="P16" s="566">
        <f>IFERROR(VLOOKUP($J$4,'Variable Div Avgs'!$D:$I,6,FALSE)*'Variable Costs (Back)'!$F16,0)</f>
        <v>0</v>
      </c>
      <c r="Q16" s="566">
        <f t="shared" si="0"/>
        <v>0</v>
      </c>
      <c r="R16" s="566">
        <f t="shared" si="1"/>
        <v>0</v>
      </c>
      <c r="S16" s="566">
        <f t="shared" ref="S16:S24" si="5">IFERROR(V16/D16,0)</f>
        <v>0</v>
      </c>
      <c r="T16" s="566">
        <f>IFERROR(VLOOKUP($AC16,'Existing Customer Variable Exp'!$B:$E,2,FALSE),0)</f>
        <v>0</v>
      </c>
      <c r="U16" s="566">
        <f>IFERROR(VLOOKUP($AC16,'Existing Customer Variable Exp'!$B:$E,3,FALSE),0)</f>
        <v>0</v>
      </c>
      <c r="V16" s="566">
        <f>IFERROR(VLOOKUP($AC16,'Existing Customer Variable Exp'!$B:$E,4,FALSE),0)</f>
        <v>0</v>
      </c>
      <c r="W16" s="565">
        <f t="shared" ref="W16:W24" si="6">IFERROR(Q16*K16*52,0)</f>
        <v>0</v>
      </c>
      <c r="X16" s="566">
        <f t="shared" ref="X16:X24" si="7">R16*F16</f>
        <v>0</v>
      </c>
      <c r="Y16" s="566">
        <f t="shared" ref="Y16:Y24" si="8">S16*F16</f>
        <v>0</v>
      </c>
      <c r="Z16" s="566" t="str">
        <f>IF('Customer Inputs'!L7&lt;&gt;'Customer Inputs'!X7,"Modelled",IF(D16=F16,"BASE","Modelled"))</f>
        <v>BASE</v>
      </c>
      <c r="AA16" s="566" t="str">
        <f>IF(AND(SUMIF('Existing Customers'!$A:$A,'Variable Costs (Back)'!$AC16,'Existing Customers'!$Q:$Q)&gt;0,'Customer Inputs'!$U7&lt;&gt;"Prospect"),IF('Customer Inputs'!$V7&lt;&gt;"Yes","Existing","New"),"New")</f>
        <v>New</v>
      </c>
      <c r="AB16" s="583" t="s">
        <v>813</v>
      </c>
      <c r="AC16" s="567" t="str">
        <f>IF('Customer Inputs'!$F7="","",'Customer Inputs'!$G7)</f>
        <v/>
      </c>
      <c r="AD16" s="1224" t="e">
        <f>IF($AA16="Existing",IF($Z16="BASE",$T16,$W16),$N16) + VLOOKUP($J$5,$BA:$BD,2,FALSE)*$F$16</f>
        <v>#N/A</v>
      </c>
      <c r="AE16" s="1224" t="e">
        <f>IF($AA16="Existing",IF($Z16="BASE",$U16,$X16),$O16) + VLOOKUP($J$5,$BA:$BD,3,FALSE)*$F$16</f>
        <v>#N/A</v>
      </c>
      <c r="AF16" s="1224" t="e">
        <f>IF($AA16="Existing",IF($Z16="BASE",$V16,$Y16),$P16) + VLOOKUP($J$5,$BA:$BD,4,FALSE)*$F$16</f>
        <v>#N/A</v>
      </c>
      <c r="AG16" s="678" t="e">
        <f t="shared" ref="AG16:AG24" si="9">SUM(AD16:AF16)</f>
        <v>#N/A</v>
      </c>
      <c r="AH16" s="140" t="s">
        <v>71</v>
      </c>
      <c r="AI16" s="140" t="s">
        <v>1</v>
      </c>
      <c r="AJ16" s="140" t="s">
        <v>71</v>
      </c>
      <c r="AK16" s="729" t="s">
        <v>113</v>
      </c>
      <c r="BA16" s="1221"/>
      <c r="BB16" s="599"/>
      <c r="BC16" s="1223"/>
      <c r="BD16" s="599"/>
    </row>
    <row r="17" spans="1:56" ht="15" x14ac:dyDescent="0.25">
      <c r="A17" s="140" t="str">
        <f>IF('Customer Inputs'!$S8="","",IF('Variable Costs (Back)'!$M17="Zip Code Not Serviced","Zip Code Not Serviced",""))</f>
        <v/>
      </c>
      <c r="B17" s="140" t="str">
        <f>'Customer Inputs'!Y8</f>
        <v/>
      </c>
      <c r="C17" s="140" t="str">
        <f>IF('Customer Inputs'!H8="","",'Customer Inputs'!H8)</f>
        <v/>
      </c>
      <c r="D17" s="563">
        <f>ROUND('Multi-Customer'!$CV$51,0)</f>
        <v>0</v>
      </c>
      <c r="E17" s="563">
        <f>ROUND('Multi-Customer'!$CV$52,0)</f>
        <v>0</v>
      </c>
      <c r="F17" s="563">
        <f>ROUND('Multi-Customer'!$CW$35,0)</f>
        <v>0</v>
      </c>
      <c r="G17" s="563" t="str">
        <f t="shared" si="2"/>
        <v/>
      </c>
      <c r="H17" s="563" t="str">
        <f t="shared" si="3"/>
        <v/>
      </c>
      <c r="I17" s="563" t="str">
        <f>IF('Customer Inputs'!Z8="","",'Customer Inputs'!Z8)</f>
        <v/>
      </c>
      <c r="J17" s="581" t="str">
        <f>IF('Customer Inputs'!$F8="","",'Customer Inputs'!$P8)</f>
        <v/>
      </c>
      <c r="K17" s="140" t="str">
        <f>'Customer Inputs'!X8</f>
        <v/>
      </c>
      <c r="L17" s="564">
        <f>IFERROR(IFERROR(IFERROR(VLOOKUP($J$5&amp;$I17,'5zip'!$A:$F,6,FALSE),VLOOKUP($J$5&amp;$H17,'4zip'!$A:$F,6,FALSE)),VLOOKUP($J$5&amp;$G17,'3zip'!$A:$F,6,FALSE)),0)</f>
        <v>0</v>
      </c>
      <c r="M17" s="564" t="str">
        <f>IFERROR(IFERROR(IFERROR(VLOOKUP($J$5&amp;$I17,'5zip'!$A:$F,6,FALSE),VLOOKUP($J$5&amp;$H17,'4zip'!$A:$F,6,FALSE)),VLOOKUP($J$5&amp;$G17,'3zip'!$A:$F,6,FALSE)),"Zip Code Not Serviced")</f>
        <v>Zip Code Not Serviced</v>
      </c>
      <c r="N17" s="565">
        <f t="shared" si="4"/>
        <v>0</v>
      </c>
      <c r="O17" s="566">
        <f>IFERROR((VLOOKUP($J$4&amp;$C17&amp;$J$6&amp;$J$7,'Variable Selling'!$B:$O,11,FALSE))*F17,0)</f>
        <v>0</v>
      </c>
      <c r="P17" s="566">
        <f>IFERROR(VLOOKUP($J$4,'Variable Div Avgs'!$D:$I,6,FALSE)*'Variable Costs (Back)'!$F17,0)</f>
        <v>0</v>
      </c>
      <c r="Q17" s="566">
        <f t="shared" si="0"/>
        <v>0</v>
      </c>
      <c r="R17" s="566">
        <f t="shared" si="1"/>
        <v>0</v>
      </c>
      <c r="S17" s="566">
        <f t="shared" si="5"/>
        <v>0</v>
      </c>
      <c r="T17" s="566">
        <f>IFERROR(VLOOKUP($AC17,'Existing Customer Variable Exp'!$B:$E,2,FALSE),0)</f>
        <v>0</v>
      </c>
      <c r="U17" s="566">
        <f>IFERROR(VLOOKUP($AC17,'Existing Customer Variable Exp'!$B:$E,3,FALSE),0)</f>
        <v>0</v>
      </c>
      <c r="V17" s="566">
        <f>IFERROR(VLOOKUP($AC17,'Existing Customer Variable Exp'!$B:$E,4,FALSE),0)</f>
        <v>0</v>
      </c>
      <c r="W17" s="565">
        <f t="shared" si="6"/>
        <v>0</v>
      </c>
      <c r="X17" s="566">
        <f t="shared" si="7"/>
        <v>0</v>
      </c>
      <c r="Y17" s="566">
        <f t="shared" si="8"/>
        <v>0</v>
      </c>
      <c r="Z17" s="566" t="str">
        <f>IF('Customer Inputs'!L8&lt;&gt;'Customer Inputs'!X8,"Modelled",IF(D17=F17,"BASE","Modelled"))</f>
        <v>BASE</v>
      </c>
      <c r="AA17" s="566" t="str">
        <f>IF(AND(SUMIF('Existing Customers'!$A:$A,'Variable Costs (Back)'!$AC17,'Existing Customers'!$Q:$Q)&gt;0,'Customer Inputs'!$U8&lt;&gt;"Prospect"),IF('Customer Inputs'!$V8&lt;&gt;"Yes","Existing","New"),"New")</f>
        <v>New</v>
      </c>
      <c r="AB17" s="583" t="s">
        <v>814</v>
      </c>
      <c r="AC17" s="567" t="str">
        <f>IF('Customer Inputs'!$F8="","",'Customer Inputs'!$G8)</f>
        <v/>
      </c>
      <c r="AD17" s="1224" t="e">
        <f>IF($AA17="Existing",IF($Z17="BASE",$T17,$W17),$N17) + VLOOKUP($J$5,$BA:$BD,2,FALSE)*$F$17</f>
        <v>#N/A</v>
      </c>
      <c r="AE17" s="1224" t="e">
        <f>IF($AA17="Existing",IF($Z17="BASE",$U17,$X17),$O17) + VLOOKUP($J$5,$BA:$BD,3,FALSE)*$F$17</f>
        <v>#N/A</v>
      </c>
      <c r="AF17" s="1224" t="e">
        <f>IF($AA17="Existing",IF($Z17="BASE",$V17,$Y17),$P17) + VLOOKUP($J$5,$BA:$BD,4,FALSE)*$F$17</f>
        <v>#N/A</v>
      </c>
      <c r="AG17" s="678" t="e">
        <f t="shared" si="9"/>
        <v>#N/A</v>
      </c>
      <c r="AH17" s="140" t="s">
        <v>11</v>
      </c>
      <c r="AI17" s="140" t="s">
        <v>1</v>
      </c>
      <c r="AJ17" s="140" t="s">
        <v>11</v>
      </c>
      <c r="AK17" s="729" t="s">
        <v>113</v>
      </c>
      <c r="BA17" s="1221"/>
      <c r="BB17" s="599"/>
      <c r="BC17" s="1223"/>
      <c r="BD17" s="599"/>
    </row>
    <row r="18" spans="1:56" ht="15" x14ac:dyDescent="0.25">
      <c r="A18" s="140" t="str">
        <f>IF('Customer Inputs'!$S9="","",IF('Variable Costs (Back)'!$M18="Zip Code Not Serviced","Zip Code Not Serviced",""))</f>
        <v/>
      </c>
      <c r="B18" s="140" t="str">
        <f>'Customer Inputs'!Y9</f>
        <v/>
      </c>
      <c r="C18" s="140" t="str">
        <f>IF('Customer Inputs'!H9="","",'Customer Inputs'!H9)</f>
        <v/>
      </c>
      <c r="D18" s="563">
        <f>ROUND('Multi-Customer'!$DS$51,0)</f>
        <v>0</v>
      </c>
      <c r="E18" s="563">
        <f>ROUND('Multi-Customer'!$DS$52,0)</f>
        <v>0</v>
      </c>
      <c r="F18" s="563">
        <f>ROUND('Multi-Customer'!$DT$35,0)</f>
        <v>0</v>
      </c>
      <c r="G18" s="563" t="str">
        <f t="shared" si="2"/>
        <v/>
      </c>
      <c r="H18" s="563" t="str">
        <f t="shared" si="3"/>
        <v/>
      </c>
      <c r="I18" s="563" t="str">
        <f>IF('Customer Inputs'!Z9="","",'Customer Inputs'!Z9)</f>
        <v/>
      </c>
      <c r="J18" s="581" t="str">
        <f>IF('Customer Inputs'!$F9="","",'Customer Inputs'!$P9)</f>
        <v/>
      </c>
      <c r="K18" s="140" t="str">
        <f>'Customer Inputs'!X9</f>
        <v/>
      </c>
      <c r="L18" s="564">
        <f>IFERROR(IFERROR(IFERROR(VLOOKUP($J$5&amp;$I18,'5zip'!$A:$F,6,FALSE),VLOOKUP($J$5&amp;$H18,'4zip'!$A:$F,6,FALSE)),VLOOKUP($J$5&amp;$G18,'3zip'!$A:$F,6,FALSE)),0)</f>
        <v>0</v>
      </c>
      <c r="M18" s="564" t="str">
        <f>IFERROR(IFERROR(IFERROR(VLOOKUP($J$5&amp;$I18,'5zip'!$A:$F,6,FALSE),VLOOKUP($J$5&amp;$H18,'4zip'!$A:$F,6,FALSE)),VLOOKUP($J$5&amp;$G18,'3zip'!$A:$F,6,FALSE)),"Zip Code Not Serviced")</f>
        <v>Zip Code Not Serviced</v>
      </c>
      <c r="N18" s="565">
        <f t="shared" si="4"/>
        <v>0</v>
      </c>
      <c r="O18" s="566">
        <f>IFERROR((VLOOKUP($J$4&amp;$C18&amp;$J$6&amp;$J$7,'Variable Selling'!$B:$O,11,FALSE))*F18,0)</f>
        <v>0</v>
      </c>
      <c r="P18" s="566">
        <f>IFERROR(VLOOKUP($J$4,'Variable Div Avgs'!$D:$I,6,FALSE)*'Variable Costs (Back)'!$F18,0)</f>
        <v>0</v>
      </c>
      <c r="Q18" s="566">
        <f t="shared" si="0"/>
        <v>0</v>
      </c>
      <c r="R18" s="566">
        <f t="shared" si="1"/>
        <v>0</v>
      </c>
      <c r="S18" s="566">
        <f t="shared" si="5"/>
        <v>0</v>
      </c>
      <c r="T18" s="566">
        <f>IFERROR(VLOOKUP($AC18,'Existing Customer Variable Exp'!$B:$E,2,FALSE),0)</f>
        <v>0</v>
      </c>
      <c r="U18" s="566">
        <f>IFERROR(VLOOKUP($AC18,'Existing Customer Variable Exp'!$B:$E,3,FALSE),0)</f>
        <v>0</v>
      </c>
      <c r="V18" s="566">
        <f>IFERROR(VLOOKUP($AC18,'Existing Customer Variable Exp'!$B:$E,4,FALSE),0)</f>
        <v>0</v>
      </c>
      <c r="W18" s="565">
        <f t="shared" si="6"/>
        <v>0</v>
      </c>
      <c r="X18" s="566">
        <f t="shared" si="7"/>
        <v>0</v>
      </c>
      <c r="Y18" s="566">
        <f t="shared" si="8"/>
        <v>0</v>
      </c>
      <c r="Z18" s="566" t="str">
        <f>IF('Customer Inputs'!L9&lt;&gt;'Customer Inputs'!X9,"Modelled",IF(D18=F18,"BASE","Modelled"))</f>
        <v>BASE</v>
      </c>
      <c r="AA18" s="566" t="str">
        <f>IF(AND(SUMIF('Existing Customers'!$A:$A,'Variable Costs (Back)'!$AC18,'Existing Customers'!$Q:$Q)&gt;0,'Customer Inputs'!$U9&lt;&gt;"Prospect"),IF('Customer Inputs'!$V9&lt;&gt;"Yes","Existing","New"),"New")</f>
        <v>New</v>
      </c>
      <c r="AB18" s="583" t="s">
        <v>815</v>
      </c>
      <c r="AC18" s="567" t="str">
        <f>IF('Customer Inputs'!$F9="","",'Customer Inputs'!$G9)</f>
        <v/>
      </c>
      <c r="AD18" s="1224" t="e">
        <f>IF($AA18="Existing",IF($Z18="BASE",$T18,$W18),$N18) + VLOOKUP($J$5,$BA:$BD,2,FALSE)*$F$18</f>
        <v>#N/A</v>
      </c>
      <c r="AE18" s="1224" t="e">
        <f>IF($AA18="Existing",IF($Z18="BASE",$U18,$X18),$O18) + VLOOKUP($J$5,$BA:$BD,3,FALSE)*$F$18</f>
        <v>#N/A</v>
      </c>
      <c r="AF18" s="1224" t="e">
        <f>IF($AA18="Existing",IF($Z18="BASE",$V18,$Y18),$P18) + VLOOKUP($J$5,$BA:$BD,4,FALSE)*$F$18</f>
        <v>#N/A</v>
      </c>
      <c r="AG18" s="678" t="e">
        <f t="shared" si="9"/>
        <v>#N/A</v>
      </c>
      <c r="AH18" s="140" t="s">
        <v>9</v>
      </c>
      <c r="AI18" s="140" t="s">
        <v>1</v>
      </c>
      <c r="AJ18" s="140" t="s">
        <v>9</v>
      </c>
      <c r="AK18" s="729" t="s">
        <v>113</v>
      </c>
      <c r="BA18" s="1221"/>
      <c r="BB18" s="599"/>
      <c r="BC18" s="1223"/>
      <c r="BD18" s="599"/>
    </row>
    <row r="19" spans="1:56" ht="15" x14ac:dyDescent="0.25">
      <c r="A19" s="140" t="str">
        <f>IF('Customer Inputs'!$S10="","",IF('Variable Costs (Back)'!$M19="Zip Code Not Serviced","Zip Code Not Serviced",""))</f>
        <v/>
      </c>
      <c r="B19" s="140" t="str">
        <f>'Customer Inputs'!Y10</f>
        <v/>
      </c>
      <c r="C19" s="140" t="str">
        <f>IF('Customer Inputs'!H10="","",'Customer Inputs'!H10)</f>
        <v/>
      </c>
      <c r="D19" s="563">
        <f>ROUND('Multi-Customer'!$EP$51,0)</f>
        <v>0</v>
      </c>
      <c r="E19" s="563">
        <f>ROUND('Multi-Customer'!$EP$52,0)</f>
        <v>0</v>
      </c>
      <c r="F19" s="563">
        <f>ROUND('Multi-Customer'!$EQ$35,0)</f>
        <v>0</v>
      </c>
      <c r="G19" s="563" t="str">
        <f t="shared" si="2"/>
        <v/>
      </c>
      <c r="H19" s="563" t="str">
        <f t="shared" si="3"/>
        <v/>
      </c>
      <c r="I19" s="563" t="str">
        <f>IF('Customer Inputs'!Z10="","",'Customer Inputs'!Z10)</f>
        <v/>
      </c>
      <c r="J19" s="581" t="str">
        <f>IF('Customer Inputs'!$F10="","",'Customer Inputs'!$P10)</f>
        <v/>
      </c>
      <c r="K19" s="140" t="str">
        <f>'Customer Inputs'!X10</f>
        <v/>
      </c>
      <c r="L19" s="564">
        <f>IFERROR(IFERROR(IFERROR(VLOOKUP($J$5&amp;$I19,'5zip'!$A:$F,6,FALSE),VLOOKUP($J$5&amp;$H19,'4zip'!$A:$F,6,FALSE)),VLOOKUP($J$5&amp;$G19,'3zip'!$A:$F,6,FALSE)),0)</f>
        <v>0</v>
      </c>
      <c r="M19" s="564" t="str">
        <f>IFERROR(IFERROR(IFERROR(VLOOKUP($J$5&amp;$I19,'5zip'!$A:$F,6,FALSE),VLOOKUP($J$5&amp;$H19,'4zip'!$A:$F,6,FALSE)),VLOOKUP($J$5&amp;$G19,'3zip'!$A:$F,6,FALSE)),"Zip Code Not Serviced")</f>
        <v>Zip Code Not Serviced</v>
      </c>
      <c r="N19" s="565">
        <f t="shared" si="4"/>
        <v>0</v>
      </c>
      <c r="O19" s="566">
        <f>IFERROR((VLOOKUP($J$4&amp;$C19&amp;$J$6&amp;$J$7,'Variable Selling'!$B:$O,11,FALSE))*F19,0)</f>
        <v>0</v>
      </c>
      <c r="P19" s="566">
        <f>IFERROR(VLOOKUP($J$4,'Variable Div Avgs'!$D:$I,6,FALSE)*'Variable Costs (Back)'!$F19,0)</f>
        <v>0</v>
      </c>
      <c r="Q19" s="566">
        <f t="shared" si="0"/>
        <v>0</v>
      </c>
      <c r="R19" s="566">
        <f t="shared" si="1"/>
        <v>0</v>
      </c>
      <c r="S19" s="566">
        <f t="shared" si="5"/>
        <v>0</v>
      </c>
      <c r="T19" s="566">
        <f>IFERROR(VLOOKUP($AC19,'Existing Customer Variable Exp'!$B:$E,2,FALSE),0)</f>
        <v>0</v>
      </c>
      <c r="U19" s="566">
        <f>IFERROR(VLOOKUP($AC19,'Existing Customer Variable Exp'!$B:$E,3,FALSE),0)</f>
        <v>0</v>
      </c>
      <c r="V19" s="566">
        <f>IFERROR(VLOOKUP($AC19,'Existing Customer Variable Exp'!$B:$E,4,FALSE),0)</f>
        <v>0</v>
      </c>
      <c r="W19" s="565">
        <f t="shared" si="6"/>
        <v>0</v>
      </c>
      <c r="X19" s="566">
        <f t="shared" si="7"/>
        <v>0</v>
      </c>
      <c r="Y19" s="566">
        <f t="shared" si="8"/>
        <v>0</v>
      </c>
      <c r="Z19" s="566" t="str">
        <f>IF('Customer Inputs'!L10&lt;&gt;'Customer Inputs'!X10,"Modelled",IF(D19=F19,"BASE","Modelled"))</f>
        <v>BASE</v>
      </c>
      <c r="AA19" s="566" t="str">
        <f>IF(AND(SUMIF('Existing Customers'!$A:$A,'Variable Costs (Back)'!$AC19,'Existing Customers'!$Q:$Q)&gt;0,'Customer Inputs'!$U10&lt;&gt;"Prospect"),IF('Customer Inputs'!$V10&lt;&gt;"Yes","Existing","New"),"New")</f>
        <v>New</v>
      </c>
      <c r="AB19" s="583" t="s">
        <v>816</v>
      </c>
      <c r="AC19" s="567" t="str">
        <f>IF('Customer Inputs'!$F10="","",'Customer Inputs'!$G10)</f>
        <v/>
      </c>
      <c r="AD19" s="1224" t="e">
        <f>IF($AA19="Existing",IF($Z19="BASE",$T19,$W19),$N19) + VLOOKUP($J$5,$BA:$BD,2,FALSE)*$F$19</f>
        <v>#N/A</v>
      </c>
      <c r="AE19" s="1224" t="e">
        <f>IF($AA19="Existing",IF($Z19="BASE",$U19,$X19),$O19) + VLOOKUP($J$5,$BA:$BD,3,FALSE)*$F$19</f>
        <v>#N/A</v>
      </c>
      <c r="AF19" s="1224" t="e">
        <f>IF($AA19="Existing",IF($Z19="BASE",$V19,$Y19),$P19) + VLOOKUP($J$5,$BA:$BD,4,FALSE)*$F$19</f>
        <v>#N/A</v>
      </c>
      <c r="AG19" s="678" t="e">
        <f t="shared" si="9"/>
        <v>#N/A</v>
      </c>
      <c r="AH19" s="140" t="s">
        <v>38</v>
      </c>
      <c r="AI19" s="140" t="s">
        <v>1</v>
      </c>
      <c r="AJ19" s="140" t="s">
        <v>38</v>
      </c>
      <c r="AK19" s="729" t="s">
        <v>113</v>
      </c>
      <c r="BA19" s="1221"/>
      <c r="BB19" s="599"/>
      <c r="BC19" s="1223"/>
      <c r="BD19" s="599"/>
    </row>
    <row r="20" spans="1:56" ht="15" x14ac:dyDescent="0.25">
      <c r="A20" s="140" t="str">
        <f>IF('Customer Inputs'!$S11="","",IF('Variable Costs (Back)'!$M20="Zip Code Not Serviced","Zip Code Not Serviced",""))</f>
        <v/>
      </c>
      <c r="B20" s="140" t="str">
        <f>'Customer Inputs'!Y11</f>
        <v/>
      </c>
      <c r="C20" s="140" t="str">
        <f>IF('Customer Inputs'!H11="","",'Customer Inputs'!H11)</f>
        <v/>
      </c>
      <c r="D20" s="563">
        <f>ROUND('Multi-Customer'!$FM$51,0)</f>
        <v>0</v>
      </c>
      <c r="E20" s="563">
        <f>ROUND('Multi-Customer'!$FM$52,0)</f>
        <v>0</v>
      </c>
      <c r="F20" s="563">
        <f>ROUND('Multi-Customer'!$FN$35,0)</f>
        <v>0</v>
      </c>
      <c r="G20" s="563" t="str">
        <f t="shared" si="2"/>
        <v/>
      </c>
      <c r="H20" s="563" t="str">
        <f t="shared" si="3"/>
        <v/>
      </c>
      <c r="I20" s="563" t="str">
        <f>IF('Customer Inputs'!Z11="","",'Customer Inputs'!Z11)</f>
        <v/>
      </c>
      <c r="J20" s="581" t="str">
        <f>IF('Customer Inputs'!$F11="","",'Customer Inputs'!$P11)</f>
        <v/>
      </c>
      <c r="K20" s="140" t="str">
        <f>'Customer Inputs'!X11</f>
        <v/>
      </c>
      <c r="L20" s="564">
        <f>IFERROR(IFERROR(IFERROR(VLOOKUP($J$5&amp;$I20,'5zip'!$A:$F,6,FALSE),VLOOKUP($J$5&amp;$H20,'4zip'!$A:$F,6,FALSE)),VLOOKUP($J$5&amp;$G20,'3zip'!$A:$F,6,FALSE)),0)</f>
        <v>0</v>
      </c>
      <c r="M20" s="564" t="str">
        <f>IFERROR(IFERROR(IFERROR(VLOOKUP($J$5&amp;$I20,'5zip'!$A:$F,6,FALSE),VLOOKUP($J$5&amp;$H20,'4zip'!$A:$F,6,FALSE)),VLOOKUP($J$5&amp;$G20,'3zip'!$A:$F,6,FALSE)),"Zip Code Not Serviced")</f>
        <v>Zip Code Not Serviced</v>
      </c>
      <c r="N20" s="565">
        <f t="shared" si="4"/>
        <v>0</v>
      </c>
      <c r="O20" s="566">
        <f>IFERROR((VLOOKUP($J$4&amp;$C20&amp;$J$6&amp;$J$7,'Variable Selling'!$B:$O,11,FALSE))*F20,0)</f>
        <v>0</v>
      </c>
      <c r="P20" s="566">
        <f>IFERROR(VLOOKUP($J$4,'Variable Div Avgs'!$D:$I,6,FALSE)*'Variable Costs (Back)'!$F20,0)</f>
        <v>0</v>
      </c>
      <c r="Q20" s="566">
        <f t="shared" si="0"/>
        <v>0</v>
      </c>
      <c r="R20" s="566">
        <f t="shared" si="1"/>
        <v>0</v>
      </c>
      <c r="S20" s="566">
        <f t="shared" si="5"/>
        <v>0</v>
      </c>
      <c r="T20" s="566">
        <f>IFERROR(VLOOKUP($AC20,'Existing Customer Variable Exp'!$B:$E,2,FALSE),0)</f>
        <v>0</v>
      </c>
      <c r="U20" s="566">
        <f>IFERROR(VLOOKUP($AC20,'Existing Customer Variable Exp'!$B:$E,3,FALSE),0)</f>
        <v>0</v>
      </c>
      <c r="V20" s="566">
        <f>IFERROR(VLOOKUP($AC20,'Existing Customer Variable Exp'!$B:$E,4,FALSE),0)</f>
        <v>0</v>
      </c>
      <c r="W20" s="565">
        <f t="shared" si="6"/>
        <v>0</v>
      </c>
      <c r="X20" s="566">
        <f t="shared" si="7"/>
        <v>0</v>
      </c>
      <c r="Y20" s="566">
        <f t="shared" si="8"/>
        <v>0</v>
      </c>
      <c r="Z20" s="566" t="str">
        <f>IF('Customer Inputs'!L11&lt;&gt;'Customer Inputs'!X11,"Modelled",IF(D20=F20,"BASE","Modelled"))</f>
        <v>BASE</v>
      </c>
      <c r="AA20" s="566" t="str">
        <f>IF(AND(SUMIF('Existing Customers'!$A:$A,'Variable Costs (Back)'!$AC20,'Existing Customers'!$Q:$Q)&gt;0,'Customer Inputs'!$U11&lt;&gt;"Prospect"),IF('Customer Inputs'!$V11&lt;&gt;"Yes","Existing","New"),"New")</f>
        <v>New</v>
      </c>
      <c r="AB20" s="583" t="s">
        <v>817</v>
      </c>
      <c r="AC20" s="567" t="str">
        <f>IF('Customer Inputs'!$F11="","",'Customer Inputs'!$G11)</f>
        <v/>
      </c>
      <c r="AD20" s="1224" t="e">
        <f>IF($AA20="Existing",IF($Z20="BASE",$T20,$W20),$N20) + VLOOKUP($J$5,$BA:$BD,2,FALSE)*$F$20</f>
        <v>#N/A</v>
      </c>
      <c r="AE20" s="1224" t="e">
        <f>IF($AA20="Existing",IF($Z20="BASE",$U20,$X20),$O20) + VLOOKUP($J$5,$BA:$BD,3,FALSE)*$F$20</f>
        <v>#N/A</v>
      </c>
      <c r="AF20" s="1224" t="e">
        <f>IF($AA20="Existing",IF($Z20="BASE",$V20,$Y20),$P20) + VLOOKUP($J$5,$BA:$BD,4,FALSE)*$F$20</f>
        <v>#N/A</v>
      </c>
      <c r="AG20" s="678" t="e">
        <f t="shared" si="9"/>
        <v>#N/A</v>
      </c>
      <c r="AH20" s="140" t="s">
        <v>261</v>
      </c>
      <c r="AI20" s="140" t="s">
        <v>1</v>
      </c>
      <c r="AJ20" s="140" t="s">
        <v>261</v>
      </c>
      <c r="AK20" s="729" t="s">
        <v>113</v>
      </c>
      <c r="BA20" s="1221"/>
      <c r="BB20" s="599"/>
      <c r="BC20" s="1223"/>
      <c r="BD20" s="599"/>
    </row>
    <row r="21" spans="1:56" ht="15" x14ac:dyDescent="0.25">
      <c r="A21" s="140" t="str">
        <f>IF('Customer Inputs'!$S12="","",IF('Variable Costs (Back)'!$M21="Zip Code Not Serviced","Zip Code Not Serviced",""))</f>
        <v/>
      </c>
      <c r="B21" s="140" t="str">
        <f>'Customer Inputs'!Y12</f>
        <v/>
      </c>
      <c r="C21" s="140" t="str">
        <f>IF('Customer Inputs'!H12="","",'Customer Inputs'!H12)</f>
        <v/>
      </c>
      <c r="D21" s="563">
        <f>ROUND('Multi-Customer'!$GJ$51,0)</f>
        <v>0</v>
      </c>
      <c r="E21" s="563">
        <f>ROUND('Multi-Customer'!$GJ$52,0)</f>
        <v>0</v>
      </c>
      <c r="F21" s="563">
        <f>ROUND('Multi-Customer'!$GK$35,0)</f>
        <v>0</v>
      </c>
      <c r="G21" s="563" t="str">
        <f t="shared" si="2"/>
        <v/>
      </c>
      <c r="H21" s="563" t="str">
        <f t="shared" si="3"/>
        <v/>
      </c>
      <c r="I21" s="563" t="str">
        <f>IF('Customer Inputs'!Z12="","",'Customer Inputs'!Z12)</f>
        <v/>
      </c>
      <c r="J21" s="581" t="str">
        <f>IF('Customer Inputs'!$F12="","",'Customer Inputs'!$P12)</f>
        <v/>
      </c>
      <c r="K21" s="140" t="str">
        <f>'Customer Inputs'!X12</f>
        <v/>
      </c>
      <c r="L21" s="564">
        <f>IFERROR(IFERROR(IFERROR(VLOOKUP($J$5&amp;$I21,'5zip'!$A:$F,6,FALSE),VLOOKUP($J$5&amp;$H21,'4zip'!$A:$F,6,FALSE)),VLOOKUP($J$5&amp;$G21,'3zip'!$A:$F,6,FALSE)),0)</f>
        <v>0</v>
      </c>
      <c r="M21" s="564" t="str">
        <f>IFERROR(IFERROR(IFERROR(VLOOKUP($J$5&amp;$I21,'5zip'!$A:$F,6,FALSE),VLOOKUP($J$5&amp;$H21,'4zip'!$A:$F,6,FALSE)),VLOOKUP($J$5&amp;$G21,'3zip'!$A:$F,6,FALSE)),"Zip Code Not Serviced")</f>
        <v>Zip Code Not Serviced</v>
      </c>
      <c r="N21" s="565">
        <f t="shared" si="4"/>
        <v>0</v>
      </c>
      <c r="O21" s="566">
        <f>IFERROR((VLOOKUP($J$4&amp;$C21&amp;$J$6&amp;$J$7,'Variable Selling'!$B:$O,11,FALSE))*F21,0)</f>
        <v>0</v>
      </c>
      <c r="P21" s="566">
        <f>IFERROR(VLOOKUP($J$4,'Variable Div Avgs'!$D:$I,6,FALSE)*'Variable Costs (Back)'!$F21,0)</f>
        <v>0</v>
      </c>
      <c r="Q21" s="566">
        <f t="shared" si="0"/>
        <v>0</v>
      </c>
      <c r="R21" s="566">
        <f t="shared" si="1"/>
        <v>0</v>
      </c>
      <c r="S21" s="566">
        <f t="shared" si="5"/>
        <v>0</v>
      </c>
      <c r="T21" s="566">
        <f>IFERROR(VLOOKUP($AC21,'Existing Customer Variable Exp'!$B:$E,2,FALSE),0)</f>
        <v>0</v>
      </c>
      <c r="U21" s="566">
        <f>IFERROR(VLOOKUP($AC21,'Existing Customer Variable Exp'!$B:$E,3,FALSE),0)</f>
        <v>0</v>
      </c>
      <c r="V21" s="566">
        <f>IFERROR(VLOOKUP($AC21,'Existing Customer Variable Exp'!$B:$E,4,FALSE),0)</f>
        <v>0</v>
      </c>
      <c r="W21" s="565">
        <f t="shared" si="6"/>
        <v>0</v>
      </c>
      <c r="X21" s="566">
        <f t="shared" si="7"/>
        <v>0</v>
      </c>
      <c r="Y21" s="566">
        <f t="shared" si="8"/>
        <v>0</v>
      </c>
      <c r="Z21" s="566" t="str">
        <f>IF('Customer Inputs'!L12&lt;&gt;'Customer Inputs'!X12,"Modelled",IF(D21=F21,"BASE","Modelled"))</f>
        <v>BASE</v>
      </c>
      <c r="AA21" s="566" t="str">
        <f>IF(AND(SUMIF('Existing Customers'!$A:$A,'Variable Costs (Back)'!$AC21,'Existing Customers'!$Q:$Q)&gt;0,'Customer Inputs'!$U12&lt;&gt;"Prospect"),IF('Customer Inputs'!$V12&lt;&gt;"Yes","Existing","New"),"New")</f>
        <v>New</v>
      </c>
      <c r="AB21" s="583" t="s">
        <v>818</v>
      </c>
      <c r="AC21" s="567" t="str">
        <f>IF('Customer Inputs'!$F12="","",'Customer Inputs'!$G12)</f>
        <v/>
      </c>
      <c r="AD21" s="1224" t="e">
        <f>IF($AA21="Existing",IF($Z21="BASE",$T21,$W21),$N21) + VLOOKUP($J$5,$BA:$BD,2,FALSE)*$F$21</f>
        <v>#N/A</v>
      </c>
      <c r="AE21" s="1224" t="e">
        <f>IF($AA21="Existing",IF($Z21="BASE",$U21,$X21),$O21) + VLOOKUP($J$5,$BA:$BD,3,FALSE)*$F$21</f>
        <v>#N/A</v>
      </c>
      <c r="AF21" s="1224" t="e">
        <f>IF($AA21="Existing",IF($Z21="BASE",$V21,$Y21),$P21) + VLOOKUP($J$5,$BA:$BD,4,FALSE)*$F$21</f>
        <v>#N/A</v>
      </c>
      <c r="AG21" s="678" t="e">
        <f t="shared" si="9"/>
        <v>#N/A</v>
      </c>
      <c r="AH21" s="140" t="s">
        <v>257</v>
      </c>
      <c r="AI21" s="140" t="s">
        <v>114</v>
      </c>
      <c r="AJ21" s="140" t="s">
        <v>257</v>
      </c>
      <c r="AK21" s="140" t="s">
        <v>114</v>
      </c>
      <c r="BA21" s="1221"/>
      <c r="BB21" s="599"/>
      <c r="BC21" s="1223"/>
      <c r="BD21" s="599"/>
    </row>
    <row r="22" spans="1:56" ht="15" x14ac:dyDescent="0.25">
      <c r="A22" s="140" t="str">
        <f>IF('Customer Inputs'!$S13="","",IF('Variable Costs (Back)'!$M22="Zip Code Not Serviced","Zip Code Not Serviced",""))</f>
        <v/>
      </c>
      <c r="B22" s="140" t="str">
        <f>'Customer Inputs'!Y13</f>
        <v/>
      </c>
      <c r="C22" s="140" t="str">
        <f>IF('Customer Inputs'!H13="","",'Customer Inputs'!H13)</f>
        <v/>
      </c>
      <c r="D22" s="563">
        <f>ROUND('Multi-Customer'!$HG$51,0)</f>
        <v>0</v>
      </c>
      <c r="E22" s="563">
        <f>ROUND('Multi-Customer'!$HG$52,0)</f>
        <v>0</v>
      </c>
      <c r="F22" s="563">
        <f>ROUND('Multi-Customer'!$HH$35,0)</f>
        <v>0</v>
      </c>
      <c r="G22" s="563" t="str">
        <f t="shared" si="2"/>
        <v/>
      </c>
      <c r="H22" s="563" t="str">
        <f t="shared" si="3"/>
        <v/>
      </c>
      <c r="I22" s="563" t="str">
        <f>IF('Customer Inputs'!Z13="","",'Customer Inputs'!Z13)</f>
        <v/>
      </c>
      <c r="J22" s="581" t="str">
        <f>IF('Customer Inputs'!$F13="","",'Customer Inputs'!$P13)</f>
        <v/>
      </c>
      <c r="K22" s="140" t="str">
        <f>'Customer Inputs'!X13</f>
        <v/>
      </c>
      <c r="L22" s="564">
        <f>IFERROR(IFERROR(IFERROR(VLOOKUP($J$5&amp;$I22,'5zip'!$A:$F,6,FALSE),VLOOKUP($J$5&amp;$H22,'4zip'!$A:$F,6,FALSE)),VLOOKUP($J$5&amp;$G22,'3zip'!$A:$F,6,FALSE)),0)</f>
        <v>0</v>
      </c>
      <c r="M22" s="564" t="str">
        <f>IFERROR(IFERROR(IFERROR(VLOOKUP($J$5&amp;$I22,'5zip'!$A:$F,6,FALSE),VLOOKUP($J$5&amp;$H22,'4zip'!$A:$F,6,FALSE)),VLOOKUP($J$5&amp;$G22,'3zip'!$A:$F,6,FALSE)),"Zip Code Not Serviced")</f>
        <v>Zip Code Not Serviced</v>
      </c>
      <c r="N22" s="565">
        <f t="shared" si="4"/>
        <v>0</v>
      </c>
      <c r="O22" s="566">
        <f>IFERROR((VLOOKUP($J$4&amp;$C22&amp;$J$6&amp;$J$7,'Variable Selling'!$B:$O,11,FALSE))*F22,0)</f>
        <v>0</v>
      </c>
      <c r="P22" s="566">
        <f>IFERROR(VLOOKUP($J$4,'Variable Div Avgs'!$D:$I,6,FALSE)*'Variable Costs (Back)'!$F22,0)</f>
        <v>0</v>
      </c>
      <c r="Q22" s="566">
        <f t="shared" si="0"/>
        <v>0</v>
      </c>
      <c r="R22" s="566">
        <f t="shared" si="1"/>
        <v>0</v>
      </c>
      <c r="S22" s="566">
        <f t="shared" si="5"/>
        <v>0</v>
      </c>
      <c r="T22" s="566">
        <f>IFERROR(VLOOKUP($AC22,'Existing Customer Variable Exp'!$B:$E,2,FALSE),0)</f>
        <v>0</v>
      </c>
      <c r="U22" s="566">
        <f>IFERROR(VLOOKUP($AC22,'Existing Customer Variable Exp'!$B:$E,3,FALSE),0)</f>
        <v>0</v>
      </c>
      <c r="V22" s="566">
        <f>IFERROR(VLOOKUP($AC22,'Existing Customer Variable Exp'!$B:$E,4,FALSE),0)</f>
        <v>0</v>
      </c>
      <c r="W22" s="565">
        <f t="shared" si="6"/>
        <v>0</v>
      </c>
      <c r="X22" s="566">
        <f t="shared" si="7"/>
        <v>0</v>
      </c>
      <c r="Y22" s="566">
        <f t="shared" si="8"/>
        <v>0</v>
      </c>
      <c r="Z22" s="566" t="str">
        <f>IF('Customer Inputs'!L13&lt;&gt;'Customer Inputs'!X13,"Modelled",IF(D22=F22,"BASE","Modelled"))</f>
        <v>BASE</v>
      </c>
      <c r="AA22" s="566" t="str">
        <f>IF(AND(SUMIF('Existing Customers'!$A:$A,'Variable Costs (Back)'!$AC22,'Existing Customers'!$Q:$Q)&gt;0,'Customer Inputs'!$U13&lt;&gt;"Prospect"),IF('Customer Inputs'!$V13&lt;&gt;"Yes","Existing","New"),"New")</f>
        <v>New</v>
      </c>
      <c r="AB22" s="583" t="s">
        <v>819</v>
      </c>
      <c r="AC22" s="567" t="str">
        <f>IF('Customer Inputs'!$F13="","",'Customer Inputs'!$G13)</f>
        <v/>
      </c>
      <c r="AD22" s="1224" t="e">
        <f>IF($AA22="Existing",IF($Z22="BASE",$T22,$W22),$N22) + VLOOKUP($J$5,$BA:$BD,2,FALSE)*$F$22</f>
        <v>#N/A</v>
      </c>
      <c r="AE22" s="1224" t="e">
        <f>IF($AA22="Existing",IF($Z22="BASE",$U22,$X22),$O22) + VLOOKUP($J$5,$BA:$BD,3,FALSE)*$F$22</f>
        <v>#N/A</v>
      </c>
      <c r="AF22" s="1224" t="e">
        <f>IF($AA22="Existing",IF($Z22="BASE",$V22,$Y22),$P22) + VLOOKUP($J$5,$BA:$BD,4,FALSE)*$F$22</f>
        <v>#N/A</v>
      </c>
      <c r="AG22" s="678" t="e">
        <f t="shared" si="9"/>
        <v>#N/A</v>
      </c>
      <c r="AH22" s="140" t="s">
        <v>258</v>
      </c>
      <c r="AI22" s="140" t="s">
        <v>116</v>
      </c>
      <c r="AJ22" s="140" t="s">
        <v>258</v>
      </c>
      <c r="AK22" s="140" t="s">
        <v>116</v>
      </c>
      <c r="BA22" s="1221"/>
      <c r="BB22" s="599"/>
      <c r="BC22" s="1223"/>
      <c r="BD22" s="599"/>
    </row>
    <row r="23" spans="1:56" ht="15" x14ac:dyDescent="0.25">
      <c r="A23" s="140" t="str">
        <f>IF('Customer Inputs'!$S14="","",IF('Variable Costs (Back)'!$M23="Zip Code Not Serviced","Zip Code Not Serviced",""))</f>
        <v/>
      </c>
      <c r="B23" s="140" t="str">
        <f>'Customer Inputs'!Y14</f>
        <v/>
      </c>
      <c r="C23" s="140" t="str">
        <f>IF('Customer Inputs'!H14="","",'Customer Inputs'!H14)</f>
        <v/>
      </c>
      <c r="D23" s="563">
        <f>ROUND('Multi-Customer'!$ID$51,0)</f>
        <v>0</v>
      </c>
      <c r="E23" s="563">
        <f>ROUND('Multi-Customer'!$ID$52,0)</f>
        <v>0</v>
      </c>
      <c r="F23" s="563">
        <f>ROUND('Multi-Customer'!$IE$35,0)</f>
        <v>0</v>
      </c>
      <c r="G23" s="563" t="str">
        <f t="shared" si="2"/>
        <v/>
      </c>
      <c r="H23" s="563" t="str">
        <f t="shared" si="3"/>
        <v/>
      </c>
      <c r="I23" s="563" t="str">
        <f>IF('Customer Inputs'!Z14="","",'Customer Inputs'!Z14)</f>
        <v/>
      </c>
      <c r="J23" s="581" t="str">
        <f>IF('Customer Inputs'!$F14="","",'Customer Inputs'!$P14)</f>
        <v/>
      </c>
      <c r="K23" s="140" t="str">
        <f>'Customer Inputs'!X14</f>
        <v/>
      </c>
      <c r="L23" s="564">
        <f>IFERROR(IFERROR(IFERROR(VLOOKUP($J$5&amp;$I23,'5zip'!$A:$F,6,FALSE),VLOOKUP($J$5&amp;$H23,'4zip'!$A:$F,6,FALSE)),VLOOKUP($J$5&amp;$G23,'3zip'!$A:$F,6,FALSE)),0)</f>
        <v>0</v>
      </c>
      <c r="M23" s="564" t="str">
        <f>IFERROR(IFERROR(IFERROR(VLOOKUP($J$5&amp;$I23,'5zip'!$A:$F,6,FALSE),VLOOKUP($J$5&amp;$H23,'4zip'!$A:$F,6,FALSE)),VLOOKUP($J$5&amp;$G23,'3zip'!$A:$F,6,FALSE)),"Zip Code Not Serviced")</f>
        <v>Zip Code Not Serviced</v>
      </c>
      <c r="N23" s="565">
        <f t="shared" si="4"/>
        <v>0</v>
      </c>
      <c r="O23" s="566">
        <f>IFERROR((VLOOKUP($J$4&amp;$C23&amp;$J$6&amp;$J$7,'Variable Selling'!$B:$O,11,FALSE))*F23,0)</f>
        <v>0</v>
      </c>
      <c r="P23" s="566">
        <f>IFERROR(VLOOKUP($J$4,'Variable Div Avgs'!$D:$I,6,FALSE)*'Variable Costs (Back)'!$F23,0)</f>
        <v>0</v>
      </c>
      <c r="Q23" s="566">
        <f t="shared" si="0"/>
        <v>0</v>
      </c>
      <c r="R23" s="566">
        <f t="shared" si="1"/>
        <v>0</v>
      </c>
      <c r="S23" s="566">
        <f t="shared" si="5"/>
        <v>0</v>
      </c>
      <c r="T23" s="566">
        <f>IFERROR(VLOOKUP($AC23,'Existing Customer Variable Exp'!$B:$E,2,FALSE),0)</f>
        <v>0</v>
      </c>
      <c r="U23" s="566">
        <f>IFERROR(VLOOKUP($AC23,'Existing Customer Variable Exp'!$B:$E,3,FALSE),0)</f>
        <v>0</v>
      </c>
      <c r="V23" s="566">
        <f>IFERROR(VLOOKUP($AC23,'Existing Customer Variable Exp'!$B:$E,4,FALSE),0)</f>
        <v>0</v>
      </c>
      <c r="W23" s="565">
        <f t="shared" si="6"/>
        <v>0</v>
      </c>
      <c r="X23" s="566">
        <f t="shared" si="7"/>
        <v>0</v>
      </c>
      <c r="Y23" s="566">
        <f t="shared" si="8"/>
        <v>0</v>
      </c>
      <c r="Z23" s="566" t="str">
        <f>IF('Customer Inputs'!L14&lt;&gt;'Customer Inputs'!X14,"Modelled",IF(D23=F23,"BASE","Modelled"))</f>
        <v>BASE</v>
      </c>
      <c r="AA23" s="566" t="str">
        <f>IF(AND(SUMIF('Existing Customers'!$A:$A,'Variable Costs (Back)'!$AC23,'Existing Customers'!$Q:$Q)&gt;0,'Customer Inputs'!$U14&lt;&gt;"Prospect"),IF('Customer Inputs'!$V14&lt;&gt;"Yes","Existing","New"),"New")</f>
        <v>New</v>
      </c>
      <c r="AB23" s="583" t="s">
        <v>820</v>
      </c>
      <c r="AC23" s="567" t="str">
        <f>IF('Customer Inputs'!$F14="","",'Customer Inputs'!$G14)</f>
        <v/>
      </c>
      <c r="AD23" s="1224" t="e">
        <f>IF($AA23="Existing",IF($Z23="BASE",$T23,$W23),$N23) + VLOOKUP($J$5,$BA:$BD,2,FALSE)*$F$23</f>
        <v>#N/A</v>
      </c>
      <c r="AE23" s="1224" t="e">
        <f>IF($AA23="Existing",IF($Z23="BASE",$U23,$X23),$O23) + VLOOKUP($J$5,$BA:$BD,3,FALSE)*$F$23</f>
        <v>#N/A</v>
      </c>
      <c r="AF23" s="1224" t="e">
        <f>IF($AA23="Existing",IF($Z23="BASE",$V23,$Y23),$P23) + VLOOKUP($J$5,$BA:$BD,4,FALSE)*$F$23</f>
        <v>#N/A</v>
      </c>
      <c r="AG23" s="678" t="e">
        <f t="shared" si="9"/>
        <v>#N/A</v>
      </c>
      <c r="AH23" s="140" t="s">
        <v>259</v>
      </c>
      <c r="AI23" s="140" t="s">
        <v>112</v>
      </c>
      <c r="AJ23" s="140" t="s">
        <v>259</v>
      </c>
      <c r="AK23" s="140" t="s">
        <v>112</v>
      </c>
      <c r="BA23" s="1221"/>
      <c r="BB23" s="599"/>
      <c r="BC23" s="1223"/>
      <c r="BD23" s="599"/>
    </row>
    <row r="24" spans="1:56" ht="15.75" thickBot="1" x14ac:dyDescent="0.3">
      <c r="A24" s="140" t="str">
        <f>IF('Customer Inputs'!$S15="","",IF('Variable Costs (Back)'!$M24="Zip Code Not Serviced","Zip Code Not Serviced",""))</f>
        <v/>
      </c>
      <c r="B24" s="140" t="str">
        <f>'Customer Inputs'!Y15</f>
        <v/>
      </c>
      <c r="C24" s="140" t="str">
        <f>IF('Customer Inputs'!H15="","",'Customer Inputs'!H15)</f>
        <v/>
      </c>
      <c r="D24" s="563">
        <f>ROUND('Multi-Customer'!$JA$51,0)</f>
        <v>0</v>
      </c>
      <c r="E24" s="563">
        <f>ROUND('Multi-Customer'!$JA$52,0)</f>
        <v>0</v>
      </c>
      <c r="F24" s="563">
        <f>ROUND('Multi-Customer'!$JB$35,0)</f>
        <v>0</v>
      </c>
      <c r="G24" s="563" t="str">
        <f t="shared" si="2"/>
        <v/>
      </c>
      <c r="H24" s="563" t="str">
        <f t="shared" si="3"/>
        <v/>
      </c>
      <c r="I24" s="563" t="str">
        <f>IF('Customer Inputs'!Z15="","",'Customer Inputs'!Z15)</f>
        <v/>
      </c>
      <c r="J24" s="581" t="str">
        <f>IF('Customer Inputs'!$F15="","",'Customer Inputs'!$P15)</f>
        <v/>
      </c>
      <c r="K24" s="140" t="str">
        <f>'Customer Inputs'!X15</f>
        <v/>
      </c>
      <c r="L24" s="564">
        <f>IFERROR(IFERROR(IFERROR(VLOOKUP($J$5&amp;$I24,'5zip'!$A:$F,6,FALSE),VLOOKUP($J$5&amp;$H24,'4zip'!$A:$F,6,FALSE)),VLOOKUP($J$5&amp;$G24,'3zip'!$A:$F,6,FALSE)),0)</f>
        <v>0</v>
      </c>
      <c r="M24" s="564" t="str">
        <f>IFERROR(IFERROR(IFERROR(VLOOKUP($J$5&amp;$I24,'5zip'!$A:$F,6,FALSE),VLOOKUP($J$5&amp;$H24,'4zip'!$A:$F,6,FALSE)),VLOOKUP($J$5&amp;$G24,'3zip'!$A:$F,6,FALSE)),"Zip Code Not Serviced")</f>
        <v>Zip Code Not Serviced</v>
      </c>
      <c r="N24" s="565">
        <f t="shared" si="4"/>
        <v>0</v>
      </c>
      <c r="O24" s="566">
        <f>IFERROR((VLOOKUP($J$4&amp;$C24&amp;$J$6&amp;$J$7,'Variable Selling'!$B:$O,11,FALSE))*F24,0)</f>
        <v>0</v>
      </c>
      <c r="P24" s="566">
        <f>IFERROR(VLOOKUP($J$4,'Variable Div Avgs'!$D:$I,6,FALSE)*'Variable Costs (Back)'!$F24,0)</f>
        <v>0</v>
      </c>
      <c r="Q24" s="566">
        <f t="shared" si="0"/>
        <v>0</v>
      </c>
      <c r="R24" s="566">
        <f t="shared" si="1"/>
        <v>0</v>
      </c>
      <c r="S24" s="566">
        <f t="shared" si="5"/>
        <v>0</v>
      </c>
      <c r="T24" s="566">
        <f>IFERROR(VLOOKUP($AC24,'Existing Customer Variable Exp'!$B:$E,2,FALSE),0)</f>
        <v>0</v>
      </c>
      <c r="U24" s="566">
        <f>IFERROR(VLOOKUP($AC24,'Existing Customer Variable Exp'!$B:$E,3,FALSE),0)</f>
        <v>0</v>
      </c>
      <c r="V24" s="566">
        <f>IFERROR(VLOOKUP($AC24,'Existing Customer Variable Exp'!$B:$E,4,FALSE),0)</f>
        <v>0</v>
      </c>
      <c r="W24" s="565">
        <f t="shared" si="6"/>
        <v>0</v>
      </c>
      <c r="X24" s="566">
        <f t="shared" si="7"/>
        <v>0</v>
      </c>
      <c r="Y24" s="566">
        <f t="shared" si="8"/>
        <v>0</v>
      </c>
      <c r="Z24" s="566" t="str">
        <f>IF('Customer Inputs'!L15&lt;&gt;'Customer Inputs'!X15,"Modelled",IF(D24=F24,"BASE","Modelled"))</f>
        <v>BASE</v>
      </c>
      <c r="AA24" s="566" t="str">
        <f>IF(AND(SUMIF('Existing Customers'!$A:$A,'Variable Costs (Back)'!$AC24,'Existing Customers'!$Q:$Q)&gt;0,'Customer Inputs'!$U15&lt;&gt;"Prospect"),IF('Customer Inputs'!$V15&lt;&gt;"Yes","Existing","New"),"New")</f>
        <v>New</v>
      </c>
      <c r="AB24" s="583" t="s">
        <v>821</v>
      </c>
      <c r="AC24" s="588" t="str">
        <f>IF('Customer Inputs'!$F15="","",'Customer Inputs'!$G15)</f>
        <v/>
      </c>
      <c r="AD24" s="1225" t="e">
        <f>IF($AA24="Existing",IF($Z24="BASE",$T24,$W24),$N24) + VLOOKUP($J$5,$BA:$BD,2,FALSE)*$F$24</f>
        <v>#N/A</v>
      </c>
      <c r="AE24" s="1225" t="e">
        <f>IF($AA24="Existing",IF($Z24="BASE",$U24,$X24),$O24) + VLOOKUP($J$5,$BA:$BD,3,FALSE)*$F$24</f>
        <v>#N/A</v>
      </c>
      <c r="AF24" s="1225" t="e">
        <f>IF($AA24="Existing",IF($Z24="BASE",$V24,$Y24),$P24) + VLOOKUP($J$5,$BA:$BD,4,FALSE)*$F$24</f>
        <v>#N/A</v>
      </c>
      <c r="AG24" s="679" t="e">
        <f t="shared" si="9"/>
        <v>#N/A</v>
      </c>
      <c r="AH24" s="140" t="s">
        <v>260</v>
      </c>
      <c r="AI24" s="140" t="s">
        <v>113</v>
      </c>
      <c r="AJ24" s="140" t="s">
        <v>260</v>
      </c>
      <c r="AK24" s="140" t="s">
        <v>113</v>
      </c>
      <c r="BA24" s="1221"/>
      <c r="BB24" s="599"/>
      <c r="BC24" s="1223"/>
      <c r="BD24" s="599"/>
    </row>
    <row r="25" spans="1:56" ht="15.75" thickTop="1" x14ac:dyDescent="0.25">
      <c r="K25" s="568">
        <f>SUM(K15:K24)</f>
        <v>0</v>
      </c>
      <c r="W25" s="566"/>
      <c r="Y25" s="566"/>
      <c r="Z25" s="566"/>
      <c r="AA25" s="566"/>
      <c r="AC25" s="587" t="s">
        <v>949</v>
      </c>
      <c r="AD25" s="586" t="e">
        <f>SUM(AD15:AD24)</f>
        <v>#N/A</v>
      </c>
      <c r="AE25" s="586" t="e">
        <f>SUM(AE15:AE24)</f>
        <v>#N/A</v>
      </c>
      <c r="AF25" s="586" t="e">
        <f>SUM(AF15:AF24)</f>
        <v>#N/A</v>
      </c>
      <c r="AG25" s="586" t="e">
        <f>SUM(AD25:AF25)</f>
        <v>#N/A</v>
      </c>
      <c r="AH25" s="140" t="s">
        <v>262</v>
      </c>
      <c r="AI25" s="140" t="s">
        <v>111</v>
      </c>
      <c r="AJ25" s="140" t="s">
        <v>262</v>
      </c>
      <c r="AK25" s="140" t="s">
        <v>111</v>
      </c>
      <c r="BA25" s="1221"/>
      <c r="BB25" s="599"/>
      <c r="BC25" s="1223"/>
      <c r="BD25" s="599"/>
    </row>
    <row r="26" spans="1:56" ht="15" x14ac:dyDescent="0.25">
      <c r="J26" s="569" t="s">
        <v>912</v>
      </c>
      <c r="K26" s="568">
        <f>IFERROR(SUM($K$15:$K$24)/COUNTIF($K$15:$K$24,"&gt;0"),0)</f>
        <v>0</v>
      </c>
      <c r="AB26" s="569"/>
      <c r="AH26" s="140" t="s">
        <v>263</v>
      </c>
      <c r="AI26" s="140" t="s">
        <v>118</v>
      </c>
      <c r="AJ26" s="140" t="s">
        <v>263</v>
      </c>
      <c r="AK26" s="140" t="s">
        <v>118</v>
      </c>
      <c r="BA26" s="1221"/>
      <c r="BB26" s="599"/>
      <c r="BC26" s="1223"/>
      <c r="BD26" s="599"/>
    </row>
    <row r="27" spans="1:56" ht="15" x14ac:dyDescent="0.25">
      <c r="AB27" s="569"/>
      <c r="AH27" s="140" t="s">
        <v>264</v>
      </c>
      <c r="AI27" s="140" t="s">
        <v>115</v>
      </c>
      <c r="AJ27" s="140" t="s">
        <v>264</v>
      </c>
      <c r="AK27" s="140" t="s">
        <v>115</v>
      </c>
      <c r="BA27" s="1221"/>
      <c r="BB27" s="599"/>
      <c r="BC27" s="1223"/>
      <c r="BD27" s="599"/>
    </row>
    <row r="28" spans="1:56" ht="15" x14ac:dyDescent="0.25">
      <c r="AH28" s="140" t="s">
        <v>265</v>
      </c>
      <c r="AI28" s="140" t="s">
        <v>117</v>
      </c>
      <c r="AJ28" s="140" t="s">
        <v>265</v>
      </c>
      <c r="AK28" s="140" t="s">
        <v>117</v>
      </c>
      <c r="BA28" s="1221"/>
      <c r="BB28" s="599"/>
      <c r="BC28" s="1223"/>
      <c r="BD28" s="599"/>
    </row>
    <row r="29" spans="1:56" ht="15" x14ac:dyDescent="0.25">
      <c r="BA29" s="1221"/>
      <c r="BB29" s="599"/>
      <c r="BC29" s="1223"/>
      <c r="BD29" s="599"/>
    </row>
    <row r="30" spans="1:56" ht="15" x14ac:dyDescent="0.25">
      <c r="BA30" s="1221"/>
      <c r="BB30" s="599"/>
      <c r="BC30" s="1223"/>
      <c r="BD30" s="599"/>
    </row>
    <row r="31" spans="1:56" ht="15" x14ac:dyDescent="0.25">
      <c r="BA31" s="1221"/>
      <c r="BB31" s="599"/>
      <c r="BC31" s="1223"/>
      <c r="BD31" s="599"/>
    </row>
    <row r="32" spans="1:56" ht="15" x14ac:dyDescent="0.25">
      <c r="BA32" s="1221"/>
      <c r="BB32" s="599"/>
      <c r="BC32" s="1223"/>
      <c r="BD32" s="599"/>
    </row>
    <row r="33" spans="53:56" ht="14.45" customHeight="1" x14ac:dyDescent="0.25">
      <c r="BA33" s="1221"/>
      <c r="BB33" s="599"/>
      <c r="BC33" s="1223"/>
      <c r="BD33" s="599"/>
    </row>
    <row r="34" spans="53:56" ht="15" x14ac:dyDescent="0.25">
      <c r="BA34" s="1221"/>
      <c r="BB34" s="599"/>
      <c r="BC34" s="1223"/>
      <c r="BD34" s="599"/>
    </row>
    <row r="35" spans="53:56" ht="15" x14ac:dyDescent="0.25">
      <c r="BA35" s="1221"/>
      <c r="BB35" s="599"/>
      <c r="BC35" s="1223"/>
      <c r="BD35" s="599"/>
    </row>
    <row r="36" spans="53:56" ht="15" x14ac:dyDescent="0.25">
      <c r="BA36" s="1221"/>
      <c r="BB36" s="599"/>
      <c r="BC36" s="1223"/>
      <c r="BD36" s="599"/>
    </row>
    <row r="37" spans="53:56" ht="15" x14ac:dyDescent="0.25">
      <c r="BA37" s="1221"/>
      <c r="BB37" s="599"/>
      <c r="BC37" s="1223"/>
      <c r="BD37" s="599"/>
    </row>
    <row r="38" spans="53:56" ht="15" x14ac:dyDescent="0.25">
      <c r="BA38" s="1221"/>
      <c r="BB38" s="599"/>
      <c r="BC38" s="1223"/>
      <c r="BD38" s="599"/>
    </row>
    <row r="39" spans="53:56" ht="15" x14ac:dyDescent="0.25">
      <c r="BA39" s="1221"/>
      <c r="BB39" s="599"/>
      <c r="BC39" s="1223"/>
      <c r="BD39" s="599"/>
    </row>
    <row r="40" spans="53:56" ht="15" x14ac:dyDescent="0.25">
      <c r="BA40" s="1221"/>
      <c r="BB40" s="599"/>
      <c r="BC40" s="1223"/>
      <c r="BD40" s="599"/>
    </row>
    <row r="41" spans="53:56" ht="15" x14ac:dyDescent="0.25">
      <c r="BA41" s="1221"/>
      <c r="BB41" s="599"/>
      <c r="BC41" s="1223"/>
      <c r="BD41" s="599"/>
    </row>
    <row r="42" spans="53:56" ht="15" x14ac:dyDescent="0.25">
      <c r="BA42" s="1221"/>
      <c r="BB42" s="599"/>
      <c r="BC42" s="1223"/>
      <c r="BD42" s="599"/>
    </row>
    <row r="43" spans="53:56" ht="15" x14ac:dyDescent="0.25">
      <c r="BA43" s="1221"/>
      <c r="BB43" s="599"/>
      <c r="BC43" s="1223"/>
      <c r="BD43" s="599"/>
    </row>
    <row r="44" spans="53:56" ht="15" x14ac:dyDescent="0.25">
      <c r="BA44" s="1221"/>
      <c r="BB44" s="599"/>
      <c r="BC44" s="1223"/>
      <c r="BD44" s="599"/>
    </row>
    <row r="45" spans="53:56" ht="15" x14ac:dyDescent="0.25">
      <c r="BA45" s="1221"/>
      <c r="BB45" s="599"/>
      <c r="BC45" s="1223"/>
      <c r="BD45" s="599"/>
    </row>
    <row r="46" spans="53:56" ht="15" x14ac:dyDescent="0.25">
      <c r="BA46" s="1221"/>
      <c r="BB46" s="599"/>
      <c r="BC46" s="1223"/>
      <c r="BD46" s="599"/>
    </row>
    <row r="47" spans="53:56" ht="15" x14ac:dyDescent="0.25">
      <c r="BA47" s="1221"/>
      <c r="BB47" s="599"/>
      <c r="BC47" s="1223"/>
      <c r="BD47" s="599"/>
    </row>
    <row r="48" spans="53:56" ht="15" x14ac:dyDescent="0.25">
      <c r="BA48" s="1221"/>
      <c r="BB48" s="599"/>
      <c r="BC48" s="1223"/>
      <c r="BD48" s="599"/>
    </row>
    <row r="49" spans="53:56" ht="15" x14ac:dyDescent="0.25">
      <c r="BA49" s="1221"/>
      <c r="BB49" s="599"/>
      <c r="BC49" s="1223"/>
      <c r="BD49" s="599"/>
    </row>
    <row r="50" spans="53:56" ht="15" x14ac:dyDescent="0.25">
      <c r="BA50" s="1221"/>
      <c r="BB50" s="599"/>
      <c r="BC50" s="1223"/>
      <c r="BD50" s="599"/>
    </row>
    <row r="51" spans="53:56" ht="15" x14ac:dyDescent="0.25">
      <c r="BA51" s="1221"/>
      <c r="BB51" s="599"/>
      <c r="BC51" s="1223"/>
      <c r="BD51" s="599"/>
    </row>
    <row r="52" spans="53:56" ht="15" x14ac:dyDescent="0.25">
      <c r="BA52" s="1221"/>
      <c r="BB52" s="599"/>
      <c r="BC52" s="1223"/>
      <c r="BD52" s="599"/>
    </row>
    <row r="53" spans="53:56" ht="15" x14ac:dyDescent="0.25">
      <c r="BA53" s="1221"/>
      <c r="BB53" s="599"/>
      <c r="BC53" s="1223"/>
      <c r="BD53" s="599"/>
    </row>
    <row r="54" spans="53:56" ht="15" x14ac:dyDescent="0.25">
      <c r="BA54" s="1221"/>
      <c r="BB54" s="599"/>
      <c r="BC54" s="1223"/>
      <c r="BD54" s="599"/>
    </row>
    <row r="55" spans="53:56" ht="15" x14ac:dyDescent="0.25">
      <c r="BA55" s="1221"/>
      <c r="BB55" s="599"/>
      <c r="BC55" s="1223"/>
      <c r="BD55" s="599"/>
    </row>
    <row r="56" spans="53:56" ht="15" x14ac:dyDescent="0.25">
      <c r="BA56" s="1221"/>
      <c r="BB56" s="599"/>
      <c r="BC56" s="1223"/>
      <c r="BD56" s="599"/>
    </row>
    <row r="57" spans="53:56" ht="15" x14ac:dyDescent="0.25">
      <c r="BA57" s="1221"/>
      <c r="BB57" s="599"/>
      <c r="BC57" s="1223"/>
      <c r="BD57" s="599"/>
    </row>
    <row r="58" spans="53:56" ht="15" x14ac:dyDescent="0.25">
      <c r="BA58" s="1221"/>
      <c r="BB58" s="599"/>
      <c r="BC58" s="1223"/>
      <c r="BD58" s="599"/>
    </row>
    <row r="59" spans="53:56" ht="15" x14ac:dyDescent="0.25">
      <c r="BA59" s="1221"/>
      <c r="BB59" s="599"/>
      <c r="BC59" s="1223"/>
      <c r="BD59" s="599"/>
    </row>
    <row r="60" spans="53:56" ht="15" x14ac:dyDescent="0.25">
      <c r="BA60" s="1221"/>
      <c r="BB60" s="599"/>
      <c r="BC60" s="1223"/>
      <c r="BD60" s="599"/>
    </row>
    <row r="61" spans="53:56" ht="15" x14ac:dyDescent="0.25">
      <c r="BA61" s="1221"/>
      <c r="BB61" s="599"/>
      <c r="BC61" s="1223"/>
      <c r="BD61" s="599"/>
    </row>
    <row r="62" spans="53:56" ht="15" x14ac:dyDescent="0.25">
      <c r="BA62" s="1221"/>
      <c r="BB62" s="599"/>
      <c r="BC62" s="1223"/>
      <c r="BD62" s="599"/>
    </row>
    <row r="63" spans="53:56" ht="15" x14ac:dyDescent="0.25">
      <c r="BA63" s="1221"/>
      <c r="BB63" s="599"/>
      <c r="BC63" s="1223"/>
      <c r="BD63" s="599"/>
    </row>
    <row r="64" spans="53:56" ht="15" x14ac:dyDescent="0.25">
      <c r="BA64" s="1221"/>
      <c r="BB64" s="599"/>
      <c r="BC64" s="1223"/>
      <c r="BD64" s="599"/>
    </row>
    <row r="65" spans="53:56" ht="15" x14ac:dyDescent="0.25">
      <c r="BA65" s="1221"/>
      <c r="BB65" s="599"/>
      <c r="BC65" s="1223"/>
      <c r="BD65" s="599"/>
    </row>
    <row r="66" spans="53:56" ht="15" x14ac:dyDescent="0.25">
      <c r="BA66" s="1221"/>
      <c r="BB66" s="599"/>
      <c r="BC66" s="1223"/>
      <c r="BD66" s="599"/>
    </row>
    <row r="67" spans="53:56" ht="15" x14ac:dyDescent="0.25">
      <c r="BA67" s="1221"/>
      <c r="BB67" s="599"/>
      <c r="BC67" s="1223"/>
      <c r="BD67" s="599"/>
    </row>
    <row r="68" spans="53:56" ht="15" x14ac:dyDescent="0.25">
      <c r="BA68" s="1221"/>
      <c r="BB68" s="599"/>
      <c r="BC68" s="1223"/>
      <c r="BD68" s="599"/>
    </row>
    <row r="69" spans="53:56" ht="15" x14ac:dyDescent="0.25">
      <c r="BA69" s="1221"/>
      <c r="BB69" s="599"/>
      <c r="BC69" s="1223"/>
      <c r="BD69" s="599"/>
    </row>
    <row r="70" spans="53:56" ht="15" x14ac:dyDescent="0.25">
      <c r="BA70" s="1221"/>
      <c r="BB70" s="599"/>
      <c r="BC70" s="1223"/>
      <c r="BD70" s="599"/>
    </row>
    <row r="71" spans="53:56" ht="15" x14ac:dyDescent="0.25">
      <c r="BA71" s="1221"/>
      <c r="BB71" s="599"/>
      <c r="BC71" s="1223"/>
      <c r="BD71" s="599"/>
    </row>
    <row r="72" spans="53:56" ht="15" x14ac:dyDescent="0.25">
      <c r="BA72" s="1221"/>
      <c r="BB72" s="599"/>
      <c r="BC72" s="1223"/>
      <c r="BD72" s="599"/>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628" t="s">
        <v>1020</v>
      </c>
      <c r="F1" s="1629"/>
      <c r="G1" s="1629"/>
      <c r="H1" s="1629"/>
      <c r="I1" s="1629"/>
      <c r="J1" s="1630"/>
      <c r="L1" s="1628" t="s">
        <v>1019</v>
      </c>
      <c r="M1" s="1630"/>
      <c r="Q1" s="1" t="s">
        <v>533</v>
      </c>
      <c r="R1" s="1" t="s">
        <v>532</v>
      </c>
    </row>
    <row r="2" spans="1:18" x14ac:dyDescent="0.25">
      <c r="E2" s="1">
        <v>0.1</v>
      </c>
      <c r="F2" s="50">
        <v>1.0999999999999999E-2</v>
      </c>
      <c r="G2" s="50">
        <v>2.7E-2</v>
      </c>
      <c r="H2" s="50">
        <v>3.2000000000000001E-2</v>
      </c>
      <c r="I2" s="50">
        <v>4.9000000000000002E-2</v>
      </c>
      <c r="J2" s="50">
        <v>6.4000000000000001E-2</v>
      </c>
      <c r="L2" s="773" t="s">
        <v>1137</v>
      </c>
      <c r="M2" s="45">
        <v>5.0000000000000001E-4</v>
      </c>
      <c r="O2" s="1" t="s">
        <v>534</v>
      </c>
      <c r="P2" s="1" t="s">
        <v>212</v>
      </c>
      <c r="Q2" s="1" t="s">
        <v>14</v>
      </c>
      <c r="R2" s="50">
        <v>6.0999999999999999E-2</v>
      </c>
    </row>
    <row r="3" spans="1:18" x14ac:dyDescent="0.25">
      <c r="E3" s="1">
        <v>0.15</v>
      </c>
      <c r="F3" s="50">
        <v>5.0000000000000001E-3</v>
      </c>
      <c r="G3" s="50">
        <v>3.9E-2</v>
      </c>
      <c r="H3" s="50">
        <v>0.05</v>
      </c>
      <c r="I3" s="50">
        <v>6.5000000000000002E-2</v>
      </c>
      <c r="J3" s="50">
        <v>8.5999999999999993E-2</v>
      </c>
      <c r="L3" s="773" t="s">
        <v>1138</v>
      </c>
      <c r="M3" s="45">
        <v>1E-3</v>
      </c>
      <c r="O3" s="1" t="s">
        <v>535</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773" t="s">
        <v>1139</v>
      </c>
      <c r="M4" s="45">
        <v>1.5E-3</v>
      </c>
      <c r="O4" s="1" t="s">
        <v>536</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773" t="s">
        <v>1140</v>
      </c>
      <c r="M5" s="45">
        <v>2E-3</v>
      </c>
      <c r="O5" s="1" t="s">
        <v>537</v>
      </c>
      <c r="P5" s="1" t="s">
        <v>267</v>
      </c>
      <c r="Q5" s="1" t="s">
        <v>14</v>
      </c>
      <c r="R5" s="50">
        <v>0.14499999999999999</v>
      </c>
    </row>
    <row r="6" spans="1:18" x14ac:dyDescent="0.25">
      <c r="A6" s="82" t="s">
        <v>937</v>
      </c>
      <c r="B6" t="str">
        <f>IF(B7&lt;0.25,"Q1",IF(B7&lt;0.5,"Q2",IF(B7&lt;0.75,"Q3","Q4")))</f>
        <v>Q1</v>
      </c>
      <c r="E6" s="1">
        <v>0.3</v>
      </c>
      <c r="F6" s="50">
        <v>3.2000000000000001E-2</v>
      </c>
      <c r="G6" s="50">
        <v>6.5000000000000002E-2</v>
      </c>
      <c r="H6" s="50">
        <v>7.6999999999999999E-2</v>
      </c>
      <c r="I6" s="50">
        <v>9.5000000000000001E-2</v>
      </c>
      <c r="J6" s="50">
        <v>0.12</v>
      </c>
      <c r="L6" s="773" t="s">
        <v>1141</v>
      </c>
      <c r="M6" s="45">
        <v>2.5000000000000001E-3</v>
      </c>
      <c r="O6" s="1" t="s">
        <v>538</v>
      </c>
      <c r="P6" s="1" t="s">
        <v>212</v>
      </c>
      <c r="Q6" s="1" t="s">
        <v>62</v>
      </c>
      <c r="R6" s="50">
        <v>4.5999999999999999E-2</v>
      </c>
    </row>
    <row r="7" spans="1:18" x14ac:dyDescent="0.25">
      <c r="A7" s="82" t="s">
        <v>467</v>
      </c>
      <c r="B7">
        <f>'PIM Ranges'!$AU$3</f>
        <v>0</v>
      </c>
      <c r="E7" s="1">
        <v>0.35</v>
      </c>
      <c r="F7" s="50">
        <v>4.8000000000000001E-2</v>
      </c>
      <c r="G7" s="50">
        <v>7.9000000000000001E-2</v>
      </c>
      <c r="H7" s="50">
        <v>9.4E-2</v>
      </c>
      <c r="I7" s="50">
        <v>0.11</v>
      </c>
      <c r="J7" s="50">
        <v>0.14499999999999999</v>
      </c>
      <c r="L7" s="773" t="s">
        <v>1142</v>
      </c>
      <c r="M7" s="45">
        <v>3.0000000000000001E-3</v>
      </c>
      <c r="O7" s="1" t="s">
        <v>539</v>
      </c>
      <c r="P7" s="1" t="s">
        <v>213</v>
      </c>
      <c r="Q7" s="1" t="s">
        <v>62</v>
      </c>
      <c r="R7" s="50">
        <v>8.5000000000000006E-2</v>
      </c>
    </row>
    <row r="8" spans="1:18" x14ac:dyDescent="0.25">
      <c r="A8" s="82" t="s">
        <v>469</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773" t="s">
        <v>1143</v>
      </c>
      <c r="M8" s="45">
        <v>3.5000000000000001E-3</v>
      </c>
      <c r="O8" s="1" t="s">
        <v>540</v>
      </c>
      <c r="P8" s="1" t="s">
        <v>214</v>
      </c>
      <c r="Q8" s="1" t="s">
        <v>62</v>
      </c>
      <c r="R8" s="50">
        <v>0.106</v>
      </c>
    </row>
    <row r="9" spans="1:18" x14ac:dyDescent="0.25">
      <c r="A9" s="82" t="s">
        <v>938</v>
      </c>
      <c r="B9" t="str">
        <f>IF($B$4="Multiple Menu Types",B6&amp;B5,B6&amp;B4)</f>
        <v>Q1Enter Customer(s)</v>
      </c>
      <c r="E9" s="1">
        <v>0.45</v>
      </c>
      <c r="F9" s="50">
        <v>5.6000000000000001E-2</v>
      </c>
      <c r="G9" s="50">
        <v>8.6999999999999994E-2</v>
      </c>
      <c r="H9" s="50">
        <v>0.10100000000000001</v>
      </c>
      <c r="I9" s="50">
        <v>0.12</v>
      </c>
      <c r="J9" s="50">
        <v>0.16700000000000001</v>
      </c>
      <c r="L9" s="773" t="s">
        <v>1144</v>
      </c>
      <c r="M9" s="45">
        <v>4.0000000000000001E-3</v>
      </c>
      <c r="O9" s="1" t="s">
        <v>541</v>
      </c>
      <c r="P9" s="1" t="s">
        <v>267</v>
      </c>
      <c r="Q9" s="1" t="s">
        <v>62</v>
      </c>
      <c r="R9" s="50">
        <v>0.106</v>
      </c>
    </row>
    <row r="10" spans="1:18" x14ac:dyDescent="0.25">
      <c r="A10" s="82"/>
      <c r="E10" s="1">
        <v>0.5</v>
      </c>
      <c r="F10" s="50">
        <v>0.05</v>
      </c>
      <c r="G10" s="50">
        <v>9.1999999999999998E-2</v>
      </c>
      <c r="H10" s="50">
        <v>0.108</v>
      </c>
      <c r="I10" s="50">
        <v>0.124</v>
      </c>
      <c r="J10" s="50">
        <v>0.16600000000000001</v>
      </c>
      <c r="L10" s="773" t="s">
        <v>1145</v>
      </c>
      <c r="M10" s="45">
        <v>4.4999999999999997E-3</v>
      </c>
      <c r="O10" s="1" t="s">
        <v>542</v>
      </c>
      <c r="P10" s="1" t="s">
        <v>212</v>
      </c>
      <c r="Q10" s="1" t="s">
        <v>74</v>
      </c>
      <c r="R10" s="50">
        <v>7.1999999999999995E-2</v>
      </c>
    </row>
    <row r="11" spans="1:18" x14ac:dyDescent="0.25">
      <c r="A11" s="82" t="s">
        <v>939</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773" t="s">
        <v>1146</v>
      </c>
      <c r="M11" s="45">
        <v>5.0000000000000001E-3</v>
      </c>
      <c r="O11" s="1" t="s">
        <v>543</v>
      </c>
      <c r="P11" s="1" t="s">
        <v>213</v>
      </c>
      <c r="Q11" s="1" t="s">
        <v>74</v>
      </c>
      <c r="R11" s="50">
        <v>0.109</v>
      </c>
    </row>
    <row r="12" spans="1:18" x14ac:dyDescent="0.25">
      <c r="A12" s="82" t="s">
        <v>940</v>
      </c>
      <c r="B12">
        <f>IFERROR(VLOOKUP($B$9,$O:$R,4,FALSE),0)</f>
        <v>0</v>
      </c>
      <c r="E12" s="1">
        <v>0.6</v>
      </c>
      <c r="F12" s="50">
        <v>6.6000000000000003E-2</v>
      </c>
      <c r="G12" s="50">
        <v>0.10299999999999999</v>
      </c>
      <c r="H12" s="50">
        <v>0.11899999999999999</v>
      </c>
      <c r="I12" s="50">
        <v>0.13700000000000001</v>
      </c>
      <c r="J12" s="50">
        <v>0.184</v>
      </c>
      <c r="L12" s="773" t="s">
        <v>1147</v>
      </c>
      <c r="M12" s="45">
        <v>5.4999999999999997E-3</v>
      </c>
      <c r="O12" s="1" t="s">
        <v>544</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773" t="s">
        <v>1148</v>
      </c>
      <c r="M13" s="45">
        <v>6.0000000000000001E-3</v>
      </c>
      <c r="O13" s="1" t="s">
        <v>545</v>
      </c>
      <c r="P13" s="1" t="s">
        <v>267</v>
      </c>
      <c r="Q13" s="1" t="s">
        <v>74</v>
      </c>
      <c r="R13" s="50">
        <v>0.14299999999999999</v>
      </c>
    </row>
    <row r="14" spans="1:18" x14ac:dyDescent="0.25">
      <c r="A14" s="82" t="s">
        <v>901</v>
      </c>
      <c r="B14" s="38">
        <f>'PIM Model'!$G$31</f>
        <v>0</v>
      </c>
      <c r="E14" s="1">
        <v>0.7</v>
      </c>
      <c r="F14" s="50">
        <v>0.08</v>
      </c>
      <c r="G14" s="50">
        <v>0.113</v>
      </c>
      <c r="H14" s="50">
        <v>0.126</v>
      </c>
      <c r="I14" s="50">
        <v>0.15</v>
      </c>
      <c r="J14" s="50">
        <v>0.20200000000000001</v>
      </c>
      <c r="L14" s="773" t="s">
        <v>1149</v>
      </c>
      <c r="M14" s="45">
        <v>6.4999999999999997E-3</v>
      </c>
      <c r="O14" s="1" t="s">
        <v>546</v>
      </c>
      <c r="P14" s="1" t="s">
        <v>212</v>
      </c>
      <c r="Q14" s="1" t="s">
        <v>34</v>
      </c>
      <c r="R14" s="50">
        <v>6.2E-2</v>
      </c>
    </row>
    <row r="15" spans="1:18" x14ac:dyDescent="0.25">
      <c r="A15" s="82" t="s">
        <v>941</v>
      </c>
      <c r="B15" s="38">
        <f>B12*B14</f>
        <v>0</v>
      </c>
      <c r="E15" s="1">
        <v>0.75</v>
      </c>
      <c r="F15" s="50">
        <v>7.8E-2</v>
      </c>
      <c r="G15" s="50">
        <v>0.108</v>
      </c>
      <c r="H15" s="50">
        <v>0.128</v>
      </c>
      <c r="I15" s="50">
        <v>0.154</v>
      </c>
      <c r="J15" s="50">
        <v>0.21</v>
      </c>
      <c r="L15" s="773" t="s">
        <v>1150</v>
      </c>
      <c r="M15" s="45">
        <v>7.0000000000000001E-3</v>
      </c>
      <c r="O15" s="1" t="s">
        <v>547</v>
      </c>
      <c r="P15" s="1" t="s">
        <v>213</v>
      </c>
      <c r="Q15" s="1" t="s">
        <v>34</v>
      </c>
      <c r="R15" s="50">
        <v>0.10199999999999999</v>
      </c>
    </row>
    <row r="16" spans="1:18" x14ac:dyDescent="0.25">
      <c r="A16" s="82" t="s">
        <v>939</v>
      </c>
      <c r="B16">
        <f>B14*B11</f>
        <v>0</v>
      </c>
      <c r="E16" s="1">
        <v>0.8</v>
      </c>
      <c r="F16" s="50">
        <v>9.7000000000000003E-2</v>
      </c>
      <c r="G16" s="50">
        <v>0.13200000000000001</v>
      </c>
      <c r="H16" s="50">
        <v>0.129</v>
      </c>
      <c r="I16" s="50">
        <v>0.156</v>
      </c>
      <c r="J16" s="50">
        <v>0.17</v>
      </c>
      <c r="L16" s="773" t="s">
        <v>1151</v>
      </c>
      <c r="M16" s="45">
        <v>7.4999999999999997E-3</v>
      </c>
      <c r="O16" s="1" t="s">
        <v>548</v>
      </c>
      <c r="P16" s="1" t="s">
        <v>214</v>
      </c>
      <c r="Q16" s="1" t="s">
        <v>34</v>
      </c>
      <c r="R16" s="50">
        <v>0.11700000000000001</v>
      </c>
    </row>
    <row r="17" spans="2:18" x14ac:dyDescent="0.25">
      <c r="E17" s="1" t="s">
        <v>468</v>
      </c>
      <c r="F17" s="50">
        <v>9.9000000000000005E-2</v>
      </c>
      <c r="G17" s="50">
        <v>0.10800000000000001</v>
      </c>
      <c r="H17" s="50">
        <v>0.129</v>
      </c>
      <c r="I17" s="50">
        <v>0.151</v>
      </c>
      <c r="J17" s="50">
        <v>0.155</v>
      </c>
      <c r="L17" s="774" t="s">
        <v>1152</v>
      </c>
      <c r="M17" s="45">
        <v>8.0000000000000002E-3</v>
      </c>
      <c r="O17" s="1" t="s">
        <v>549</v>
      </c>
      <c r="P17" s="1" t="s">
        <v>267</v>
      </c>
      <c r="Q17" s="1" t="s">
        <v>34</v>
      </c>
      <c r="R17" s="50">
        <v>0.11700000000000001</v>
      </c>
    </row>
    <row r="18" spans="2:18" x14ac:dyDescent="0.25">
      <c r="L18" s="773" t="s">
        <v>1153</v>
      </c>
      <c r="M18" s="45">
        <v>8.5000000000000006E-3</v>
      </c>
      <c r="O18" s="1" t="s">
        <v>550</v>
      </c>
      <c r="P18" s="1" t="s">
        <v>212</v>
      </c>
      <c r="Q18" s="1" t="s">
        <v>0</v>
      </c>
      <c r="R18" s="50">
        <v>5.3999999999999999E-2</v>
      </c>
    </row>
    <row r="19" spans="2:18" x14ac:dyDescent="0.25">
      <c r="B19" t="s">
        <v>1026</v>
      </c>
      <c r="C19">
        <f>IF(Welcome!$D$14="Select # of Locations",0,Welcome!$D$14)</f>
        <v>0</v>
      </c>
      <c r="L19" s="773" t="s">
        <v>1154</v>
      </c>
      <c r="M19" s="45">
        <v>8.9999999999999993E-3</v>
      </c>
      <c r="O19" s="1" t="s">
        <v>551</v>
      </c>
      <c r="P19" s="1" t="s">
        <v>213</v>
      </c>
      <c r="Q19" s="1" t="s">
        <v>0</v>
      </c>
      <c r="R19" s="50">
        <v>8.7999999999999995E-2</v>
      </c>
    </row>
    <row r="20" spans="2:18" x14ac:dyDescent="0.25">
      <c r="B20">
        <f>'PIM Model'!$E$3</f>
        <v>0</v>
      </c>
      <c r="E20" s="1628" t="s">
        <v>1021</v>
      </c>
      <c r="F20" s="1629"/>
      <c r="G20" s="1630"/>
      <c r="L20" s="1"/>
      <c r="M20" s="45">
        <v>9.4999999999999998E-3</v>
      </c>
      <c r="O20" s="1" t="s">
        <v>552</v>
      </c>
      <c r="P20" s="1" t="s">
        <v>214</v>
      </c>
      <c r="Q20" s="1" t="s">
        <v>0</v>
      </c>
      <c r="R20" s="50">
        <v>0.112</v>
      </c>
    </row>
    <row r="21" spans="2:18" x14ac:dyDescent="0.25">
      <c r="B21" t="s">
        <v>488</v>
      </c>
      <c r="C21" s="38">
        <f>'PIM Model'!$G$31</f>
        <v>0</v>
      </c>
      <c r="E21" s="84" t="s">
        <v>1028</v>
      </c>
      <c r="F21" s="651">
        <v>2600</v>
      </c>
      <c r="G21" s="50">
        <v>5.6000000000000001E-2</v>
      </c>
      <c r="H21" s="24"/>
      <c r="O21" s="1" t="s">
        <v>553</v>
      </c>
      <c r="P21" s="1" t="s">
        <v>267</v>
      </c>
      <c r="Q21" s="1" t="s">
        <v>0</v>
      </c>
      <c r="R21" s="50">
        <v>0.112</v>
      </c>
    </row>
    <row r="22" spans="2:18" x14ac:dyDescent="0.25">
      <c r="B22" t="s">
        <v>489</v>
      </c>
      <c r="C22" s="38">
        <f>$C$21/52</f>
        <v>0</v>
      </c>
      <c r="D22" t="s">
        <v>1043</v>
      </c>
      <c r="E22" s="84" t="s">
        <v>1029</v>
      </c>
      <c r="F22" s="651">
        <v>4600</v>
      </c>
      <c r="G22" s="50">
        <v>6.3E-2</v>
      </c>
      <c r="H22" s="24"/>
      <c r="L22" s="1627" t="s">
        <v>113</v>
      </c>
      <c r="M22" s="1627"/>
      <c r="O22" s="1" t="s">
        <v>554</v>
      </c>
      <c r="P22" s="1" t="s">
        <v>212</v>
      </c>
      <c r="Q22" s="1" t="s">
        <v>69</v>
      </c>
      <c r="R22" s="50">
        <v>7.6999999999999999E-2</v>
      </c>
    </row>
    <row r="23" spans="2:18" x14ac:dyDescent="0.25">
      <c r="B23" t="s">
        <v>1027</v>
      </c>
      <c r="C23" s="38">
        <f>IFERROR($C$22/C19,0)</f>
        <v>0</v>
      </c>
      <c r="E23" s="84" t="s">
        <v>1030</v>
      </c>
      <c r="F23" s="651">
        <v>8300</v>
      </c>
      <c r="G23" s="50">
        <v>5.2999999999999999E-2</v>
      </c>
      <c r="H23" s="24"/>
      <c r="L23" s="1628" t="s">
        <v>1019</v>
      </c>
      <c r="M23" s="1630"/>
      <c r="O23" s="1" t="s">
        <v>555</v>
      </c>
      <c r="P23" s="1" t="s">
        <v>213</v>
      </c>
      <c r="Q23" s="1" t="s">
        <v>69</v>
      </c>
      <c r="R23" s="50">
        <v>0.122</v>
      </c>
    </row>
    <row r="24" spans="2:18" x14ac:dyDescent="0.25">
      <c r="B24" t="s">
        <v>1023</v>
      </c>
      <c r="C24" s="24">
        <v>0.08</v>
      </c>
      <c r="D24" s="24">
        <f>IF($C$23&lt;$F$21,$G$21,IF($C$23&lt;$F$22,$G$22,IF($C$23&lt;$F$23,$G$23,IF($C$23&lt;$F$24,$G$24,$G$25))))</f>
        <v>5.6000000000000001E-2</v>
      </c>
      <c r="E24" s="84" t="s">
        <v>1031</v>
      </c>
      <c r="F24" s="651">
        <v>17000</v>
      </c>
      <c r="G24" s="50">
        <v>7.2999999999999995E-2</v>
      </c>
      <c r="H24" s="24"/>
      <c r="L24" s="389" t="s">
        <v>1137</v>
      </c>
      <c r="M24" s="45">
        <f t="shared" ref="M24:M29" si="0">M25-0.0005</f>
        <v>4.9999999999999975E-3</v>
      </c>
      <c r="O24" s="1" t="s">
        <v>556</v>
      </c>
      <c r="P24" s="1" t="s">
        <v>214</v>
      </c>
      <c r="Q24" s="1" t="s">
        <v>69</v>
      </c>
      <c r="R24" s="50">
        <v>0.151</v>
      </c>
    </row>
    <row r="25" spans="2:18" x14ac:dyDescent="0.25">
      <c r="B25" t="s">
        <v>1024</v>
      </c>
      <c r="C25" s="24">
        <v>0.08</v>
      </c>
      <c r="D25" s="24">
        <f>IF($C$23&lt;$F$29,$G$29,IF($C$23&lt;$F$30,$G$30,IF($C$23&lt;$F$31,$G$31,IF($C$23&lt;$F$32,$G$32,$G$33))))</f>
        <v>8.3000000000000004E-2</v>
      </c>
      <c r="E25" s="84" t="s">
        <v>1032</v>
      </c>
      <c r="F25" s="651"/>
      <c r="G25" s="50">
        <v>6.0999999999999999E-2</v>
      </c>
      <c r="H25" s="24"/>
      <c r="K25" s="741"/>
      <c r="L25" s="389" t="s">
        <v>1138</v>
      </c>
      <c r="M25" s="45">
        <f t="shared" si="0"/>
        <v>5.4999999999999979E-3</v>
      </c>
      <c r="O25" s="1" t="s">
        <v>557</v>
      </c>
      <c r="P25" s="1" t="s">
        <v>267</v>
      </c>
      <c r="Q25" s="1" t="s">
        <v>69</v>
      </c>
      <c r="R25" s="50">
        <v>0.151</v>
      </c>
    </row>
    <row r="26" spans="2:18" x14ac:dyDescent="0.25">
      <c r="B26" t="s">
        <v>1025</v>
      </c>
      <c r="C26" s="24">
        <f>IF($B$20="MDA",$C$24,$C$25)</f>
        <v>0.08</v>
      </c>
      <c r="E26" s="82"/>
      <c r="G26" s="24"/>
      <c r="H26" s="24"/>
      <c r="K26" s="741"/>
      <c r="L26" s="389" t="s">
        <v>1139</v>
      </c>
      <c r="M26" s="45">
        <f t="shared" si="0"/>
        <v>5.9999999999999984E-3</v>
      </c>
      <c r="O26" s="1" t="s">
        <v>558</v>
      </c>
      <c r="P26" s="1" t="s">
        <v>212</v>
      </c>
      <c r="Q26" s="1" t="s">
        <v>4</v>
      </c>
      <c r="R26" s="50">
        <v>6.5000000000000002E-2</v>
      </c>
    </row>
    <row r="27" spans="2:18" x14ac:dyDescent="0.25">
      <c r="B27" t="s">
        <v>487</v>
      </c>
      <c r="C27" s="24">
        <f>'Tracking &amp; Profitability'!$I$39</f>
        <v>0</v>
      </c>
      <c r="E27" s="82"/>
      <c r="K27" s="741"/>
      <c r="L27" s="389" t="s">
        <v>1140</v>
      </c>
      <c r="M27" s="45">
        <f t="shared" si="0"/>
        <v>6.4999999999999988E-3</v>
      </c>
      <c r="O27" s="1" t="s">
        <v>559</v>
      </c>
      <c r="P27" s="1" t="s">
        <v>213</v>
      </c>
      <c r="Q27" s="1" t="s">
        <v>4</v>
      </c>
      <c r="R27" s="50">
        <v>9.2999999999999999E-2</v>
      </c>
    </row>
    <row r="28" spans="2:18" x14ac:dyDescent="0.25">
      <c r="C28" s="24">
        <f>IFERROR(IF($C$27&gt;$C$26,"Approved",C26-C27),0)</f>
        <v>0.08</v>
      </c>
      <c r="E28" s="1627" t="s">
        <v>1022</v>
      </c>
      <c r="F28" s="1627"/>
      <c r="G28" s="1627"/>
      <c r="K28" s="741"/>
      <c r="L28" s="389" t="s">
        <v>1141</v>
      </c>
      <c r="M28" s="45">
        <f t="shared" si="0"/>
        <v>6.9999999999999993E-3</v>
      </c>
      <c r="O28" s="1" t="s">
        <v>560</v>
      </c>
      <c r="P28" s="1" t="s">
        <v>214</v>
      </c>
      <c r="Q28" s="1" t="s">
        <v>4</v>
      </c>
      <c r="R28" s="50">
        <v>0.11600000000000001</v>
      </c>
    </row>
    <row r="29" spans="2:18" x14ac:dyDescent="0.25">
      <c r="E29" s="84" t="s">
        <v>1033</v>
      </c>
      <c r="F29" s="651">
        <v>1500</v>
      </c>
      <c r="G29" s="50">
        <v>8.3000000000000004E-2</v>
      </c>
      <c r="H29" s="24"/>
      <c r="K29" s="741"/>
      <c r="L29" s="389" t="s">
        <v>1142</v>
      </c>
      <c r="M29" s="45">
        <f t="shared" si="0"/>
        <v>7.4999999999999997E-3</v>
      </c>
      <c r="O29" s="1" t="s">
        <v>561</v>
      </c>
      <c r="P29" s="1" t="s">
        <v>267</v>
      </c>
      <c r="Q29" s="1" t="s">
        <v>4</v>
      </c>
      <c r="R29" s="50">
        <v>0.11600000000000001</v>
      </c>
    </row>
    <row r="30" spans="2:18" x14ac:dyDescent="0.25">
      <c r="E30" s="84" t="s">
        <v>1034</v>
      </c>
      <c r="F30" s="651">
        <v>2400</v>
      </c>
      <c r="G30" s="50">
        <v>8.3000000000000004E-2</v>
      </c>
      <c r="H30" s="24"/>
      <c r="K30" s="741"/>
      <c r="L30" s="755" t="s">
        <v>1143</v>
      </c>
      <c r="M30" s="756">
        <v>8.0000000000000002E-3</v>
      </c>
      <c r="O30" s="1" t="s">
        <v>562</v>
      </c>
      <c r="P30" s="1" t="s">
        <v>212</v>
      </c>
      <c r="Q30" s="1" t="s">
        <v>35</v>
      </c>
      <c r="R30" s="50">
        <v>8.6999999999999994E-2</v>
      </c>
    </row>
    <row r="31" spans="2:18" x14ac:dyDescent="0.25">
      <c r="E31" s="84" t="s">
        <v>1035</v>
      </c>
      <c r="F31" s="651">
        <v>4100</v>
      </c>
      <c r="G31" s="50">
        <v>8.3000000000000004E-2</v>
      </c>
      <c r="H31" s="24"/>
      <c r="K31" s="741"/>
      <c r="L31" s="389" t="s">
        <v>1144</v>
      </c>
      <c r="M31" s="45">
        <f>M30+0.0005</f>
        <v>8.5000000000000006E-3</v>
      </c>
      <c r="O31" s="1" t="s">
        <v>563</v>
      </c>
      <c r="P31" s="1" t="s">
        <v>213</v>
      </c>
      <c r="Q31" s="1" t="s">
        <v>35</v>
      </c>
      <c r="R31" s="50">
        <v>8.6999999999999994E-2</v>
      </c>
    </row>
    <row r="32" spans="2:18" x14ac:dyDescent="0.25">
      <c r="E32" s="84" t="s">
        <v>1036</v>
      </c>
      <c r="F32" s="651">
        <v>8000</v>
      </c>
      <c r="G32" s="50">
        <v>8.2000000000000003E-2</v>
      </c>
      <c r="H32" s="24"/>
      <c r="K32" s="741"/>
      <c r="L32" s="389" t="s">
        <v>1145</v>
      </c>
      <c r="M32" s="45">
        <f>M31+0.0005</f>
        <v>9.0000000000000011E-3</v>
      </c>
      <c r="O32" s="1" t="s">
        <v>564</v>
      </c>
      <c r="P32" s="1" t="s">
        <v>214</v>
      </c>
      <c r="Q32" s="1" t="s">
        <v>35</v>
      </c>
      <c r="R32" s="50">
        <v>0.11700000000000001</v>
      </c>
    </row>
    <row r="33" spans="1:18" x14ac:dyDescent="0.25">
      <c r="E33" s="84" t="s">
        <v>1037</v>
      </c>
      <c r="F33" s="651"/>
      <c r="G33" s="50">
        <v>7.9000000000000001E-2</v>
      </c>
      <c r="H33" s="24"/>
      <c r="K33" s="741"/>
      <c r="L33" s="389" t="s">
        <v>1146</v>
      </c>
      <c r="M33" s="45">
        <f t="shared" ref="J33:M42" si="1">M32+0.0005</f>
        <v>9.5000000000000015E-3</v>
      </c>
      <c r="O33" s="1" t="s">
        <v>565</v>
      </c>
      <c r="P33" s="1" t="s">
        <v>267</v>
      </c>
      <c r="Q33" s="1" t="s">
        <v>35</v>
      </c>
      <c r="R33" s="50">
        <v>0.11700000000000001</v>
      </c>
    </row>
    <row r="34" spans="1:18" ht="15.75" thickBot="1" x14ac:dyDescent="0.3">
      <c r="G34" s="24"/>
      <c r="H34" s="24"/>
      <c r="K34" s="741"/>
      <c r="L34" s="389" t="s">
        <v>1147</v>
      </c>
      <c r="M34" s="45">
        <f t="shared" si="1"/>
        <v>1.0000000000000002E-2</v>
      </c>
      <c r="O34" s="1" t="s">
        <v>566</v>
      </c>
      <c r="P34" s="1" t="s">
        <v>212</v>
      </c>
      <c r="Q34" s="1" t="s">
        <v>6</v>
      </c>
      <c r="R34" s="50">
        <v>0.06</v>
      </c>
    </row>
    <row r="35" spans="1:18" ht="15.75" thickBot="1" x14ac:dyDescent="0.3">
      <c r="A35" s="416" t="s">
        <v>944</v>
      </c>
      <c r="K35" s="741"/>
      <c r="L35" s="389" t="s">
        <v>1148</v>
      </c>
      <c r="M35" s="45">
        <f t="shared" si="1"/>
        <v>1.0500000000000002E-2</v>
      </c>
      <c r="O35" s="1" t="s">
        <v>567</v>
      </c>
      <c r="P35" s="1" t="s">
        <v>213</v>
      </c>
      <c r="Q35" s="1" t="s">
        <v>6</v>
      </c>
      <c r="R35" s="50">
        <v>0.106</v>
      </c>
    </row>
    <row r="36" spans="1:18" ht="15.75" thickBot="1" x14ac:dyDescent="0.3">
      <c r="A36" s="412" t="s">
        <v>934</v>
      </c>
      <c r="B36" s="409" t="s">
        <v>900</v>
      </c>
      <c r="C36" s="406" t="s">
        <v>460</v>
      </c>
      <c r="D36" s="406" t="s">
        <v>936</v>
      </c>
      <c r="E36" s="407" t="s">
        <v>942</v>
      </c>
      <c r="F36" s="408" t="s">
        <v>935</v>
      </c>
      <c r="G36" s="407" t="s">
        <v>943</v>
      </c>
      <c r="H36" s="741"/>
      <c r="I36" s="389" t="s">
        <v>1149</v>
      </c>
      <c r="J36" s="45">
        <f>M35+0.0005</f>
        <v>1.1000000000000003E-2</v>
      </c>
      <c r="L36" s="1" t="s">
        <v>568</v>
      </c>
      <c r="M36" s="1" t="s">
        <v>214</v>
      </c>
      <c r="N36" s="1" t="s">
        <v>6</v>
      </c>
      <c r="O36" s="50">
        <v>0.12</v>
      </c>
    </row>
    <row r="37" spans="1:18" x14ac:dyDescent="0.25">
      <c r="A37" s="413">
        <v>1</v>
      </c>
      <c r="B37" s="410" t="str">
        <f>'Customer Inputs'!Y6</f>
        <v/>
      </c>
      <c r="C37" s="30">
        <f>'Customer Inputs'!P6</f>
        <v>0</v>
      </c>
      <c r="D37" s="403">
        <f>'Multi-Customer'!$BB$9</f>
        <v>0</v>
      </c>
      <c r="E37" s="1019">
        <f>'Multi-Customer'!$BB$10</f>
        <v>0</v>
      </c>
      <c r="F37" s="404">
        <f t="shared" ref="F37:F46" si="2">D37*C37</f>
        <v>0</v>
      </c>
      <c r="G37" s="405">
        <f t="shared" ref="G37:G46" si="3">E37*C37</f>
        <v>0</v>
      </c>
      <c r="H37" s="741"/>
      <c r="I37" s="389" t="s">
        <v>1150</v>
      </c>
      <c r="J37" s="45">
        <f t="shared" si="1"/>
        <v>1.1500000000000003E-2</v>
      </c>
      <c r="L37" s="1" t="s">
        <v>569</v>
      </c>
      <c r="M37" s="1" t="s">
        <v>267</v>
      </c>
      <c r="N37" s="1" t="s">
        <v>6</v>
      </c>
      <c r="O37" s="50">
        <v>0.17</v>
      </c>
    </row>
    <row r="38" spans="1:18" x14ac:dyDescent="0.25">
      <c r="A38" s="414">
        <v>2</v>
      </c>
      <c r="B38" s="282" t="str">
        <f>'Customer Inputs'!Y7</f>
        <v/>
      </c>
      <c r="C38" s="1">
        <f>'Customer Inputs'!P7</f>
        <v>0</v>
      </c>
      <c r="D38" s="398">
        <f>'Multi-Customer'!$BY$9</f>
        <v>0</v>
      </c>
      <c r="E38" s="398">
        <f>'Multi-Customer'!$BY$10</f>
        <v>0</v>
      </c>
      <c r="F38" s="399">
        <f t="shared" si="2"/>
        <v>0</v>
      </c>
      <c r="G38" s="400">
        <f t="shared" si="3"/>
        <v>0</v>
      </c>
      <c r="H38" s="741"/>
      <c r="I38" s="389" t="s">
        <v>1151</v>
      </c>
      <c r="J38" s="45">
        <f t="shared" si="1"/>
        <v>1.2000000000000004E-2</v>
      </c>
      <c r="L38" s="1" t="s">
        <v>570</v>
      </c>
      <c r="M38" s="1" t="s">
        <v>212</v>
      </c>
      <c r="N38" s="1" t="s">
        <v>257</v>
      </c>
      <c r="O38" s="50">
        <v>5.9000000000000004E-2</v>
      </c>
    </row>
    <row r="39" spans="1:18" x14ac:dyDescent="0.25">
      <c r="A39" s="414">
        <v>3</v>
      </c>
      <c r="B39" s="282" t="str">
        <f>'Customer Inputs'!Y8</f>
        <v/>
      </c>
      <c r="C39" s="1">
        <f>'Customer Inputs'!P8</f>
        <v>0</v>
      </c>
      <c r="D39" s="398">
        <f>'Multi-Customer'!$CV$9</f>
        <v>0</v>
      </c>
      <c r="E39" s="1019">
        <f>'Multi-Customer'!$CV$10</f>
        <v>0</v>
      </c>
      <c r="F39" s="399">
        <f t="shared" si="2"/>
        <v>0</v>
      </c>
      <c r="G39" s="400">
        <f t="shared" si="3"/>
        <v>0</v>
      </c>
      <c r="H39" s="741"/>
      <c r="I39" s="390" t="s">
        <v>1152</v>
      </c>
      <c r="J39" s="45">
        <f t="shared" si="1"/>
        <v>1.2500000000000004E-2</v>
      </c>
      <c r="L39" s="1" t="s">
        <v>571</v>
      </c>
      <c r="M39" s="1" t="s">
        <v>213</v>
      </c>
      <c r="N39" s="1" t="s">
        <v>257</v>
      </c>
      <c r="O39" s="50">
        <v>9.9000000000000005E-2</v>
      </c>
    </row>
    <row r="40" spans="1:18" x14ac:dyDescent="0.25">
      <c r="A40" s="414">
        <v>4</v>
      </c>
      <c r="B40" s="282" t="str">
        <f>'Customer Inputs'!Y9</f>
        <v/>
      </c>
      <c r="C40" s="1">
        <f>'Customer Inputs'!P9</f>
        <v>0</v>
      </c>
      <c r="D40" s="398">
        <f>'Multi-Customer'!$DS$9</f>
        <v>0</v>
      </c>
      <c r="E40" s="1019">
        <f>'Multi-Customer'!$DS$10</f>
        <v>0</v>
      </c>
      <c r="F40" s="399">
        <f t="shared" si="2"/>
        <v>0</v>
      </c>
      <c r="G40" s="400">
        <f t="shared" si="3"/>
        <v>0</v>
      </c>
      <c r="H40" s="741"/>
      <c r="I40" s="389" t="s">
        <v>1153</v>
      </c>
      <c r="J40" s="45">
        <f t="shared" si="1"/>
        <v>1.3000000000000005E-2</v>
      </c>
      <c r="L40" s="1" t="s">
        <v>572</v>
      </c>
      <c r="M40" s="1" t="s">
        <v>214</v>
      </c>
      <c r="N40" s="1" t="s">
        <v>257</v>
      </c>
      <c r="O40" s="50">
        <v>0.11900000000000001</v>
      </c>
    </row>
    <row r="41" spans="1:18" x14ac:dyDescent="0.25">
      <c r="A41" s="414">
        <v>5</v>
      </c>
      <c r="B41" s="282" t="str">
        <f>'Customer Inputs'!Y10</f>
        <v/>
      </c>
      <c r="C41" s="1">
        <f>'Customer Inputs'!P10</f>
        <v>0</v>
      </c>
      <c r="D41" s="398">
        <f>'Multi-Customer'!$EP$9</f>
        <v>0</v>
      </c>
      <c r="E41" s="1019">
        <f>'Multi-Customer'!$EP$10</f>
        <v>0</v>
      </c>
      <c r="F41" s="399">
        <f t="shared" si="2"/>
        <v>0</v>
      </c>
      <c r="G41" s="400">
        <f t="shared" si="3"/>
        <v>0</v>
      </c>
      <c r="H41" s="741"/>
      <c r="I41" s="389" t="s">
        <v>1154</v>
      </c>
      <c r="J41" s="45">
        <f t="shared" si="1"/>
        <v>1.3500000000000005E-2</v>
      </c>
      <c r="L41" s="1" t="s">
        <v>573</v>
      </c>
      <c r="M41" s="1" t="s">
        <v>267</v>
      </c>
      <c r="N41" s="1" t="s">
        <v>257</v>
      </c>
      <c r="O41" s="50">
        <v>0.15</v>
      </c>
    </row>
    <row r="42" spans="1:18" x14ac:dyDescent="0.25">
      <c r="A42" s="414">
        <v>6</v>
      </c>
      <c r="B42" s="282" t="str">
        <f>'Customer Inputs'!Y11</f>
        <v/>
      </c>
      <c r="C42" s="1">
        <f>'Customer Inputs'!P11</f>
        <v>0</v>
      </c>
      <c r="D42" s="398">
        <f>'Multi-Customer'!$FM$9</f>
        <v>0</v>
      </c>
      <c r="E42" s="1019">
        <f>'Multi-Customer'!$FM$10</f>
        <v>0</v>
      </c>
      <c r="F42" s="399">
        <f t="shared" si="2"/>
        <v>0</v>
      </c>
      <c r="G42" s="400">
        <f t="shared" si="3"/>
        <v>0</v>
      </c>
      <c r="H42" s="741"/>
      <c r="I42" s="742" t="s">
        <v>1155</v>
      </c>
      <c r="J42" s="45">
        <f t="shared" si="1"/>
        <v>1.4000000000000005E-2</v>
      </c>
      <c r="L42" s="1" t="s">
        <v>574</v>
      </c>
      <c r="M42" s="1" t="s">
        <v>212</v>
      </c>
      <c r="N42" s="1" t="s">
        <v>15</v>
      </c>
      <c r="O42" s="50">
        <v>4.5999999999999999E-2</v>
      </c>
    </row>
    <row r="43" spans="1:18" x14ac:dyDescent="0.25">
      <c r="A43" s="414">
        <v>7</v>
      </c>
      <c r="B43" s="282" t="str">
        <f>'Customer Inputs'!Y12</f>
        <v/>
      </c>
      <c r="C43" s="1">
        <f>'Customer Inputs'!P12</f>
        <v>0</v>
      </c>
      <c r="D43" s="398">
        <f>'Multi-Customer'!$GJ$9</f>
        <v>0</v>
      </c>
      <c r="E43" s="1019">
        <f>'Multi-Customer'!$GJ$10</f>
        <v>0</v>
      </c>
      <c r="F43" s="399">
        <f t="shared" si="2"/>
        <v>0</v>
      </c>
      <c r="G43" s="400">
        <f t="shared" si="3"/>
        <v>0</v>
      </c>
      <c r="L43" s="1" t="s">
        <v>575</v>
      </c>
      <c r="M43" s="1" t="s">
        <v>213</v>
      </c>
      <c r="N43" s="1" t="s">
        <v>15</v>
      </c>
      <c r="O43" s="50">
        <v>0.109</v>
      </c>
    </row>
    <row r="44" spans="1:18" x14ac:dyDescent="0.25">
      <c r="A44" s="414">
        <v>8</v>
      </c>
      <c r="B44" s="282" t="str">
        <f>'Customer Inputs'!Y13</f>
        <v/>
      </c>
      <c r="C44" s="1">
        <f>'Customer Inputs'!P13</f>
        <v>0</v>
      </c>
      <c r="D44" s="398">
        <f>'Multi-Customer'!$HG$9</f>
        <v>0</v>
      </c>
      <c r="E44" s="1019">
        <f>'Multi-Customer'!$HG$10</f>
        <v>0</v>
      </c>
      <c r="F44" s="399">
        <f t="shared" si="2"/>
        <v>0</v>
      </c>
      <c r="G44" s="400">
        <f t="shared" si="3"/>
        <v>0</v>
      </c>
      <c r="L44" s="1" t="s">
        <v>576</v>
      </c>
      <c r="M44" s="1" t="s">
        <v>214</v>
      </c>
      <c r="N44" s="1" t="s">
        <v>15</v>
      </c>
      <c r="O44" s="50">
        <v>0.11600000000000001</v>
      </c>
    </row>
    <row r="45" spans="1:18" x14ac:dyDescent="0.25">
      <c r="A45" s="414">
        <v>9</v>
      </c>
      <c r="B45" s="282" t="str">
        <f>'Customer Inputs'!Y14</f>
        <v/>
      </c>
      <c r="C45" s="1">
        <f>'Customer Inputs'!P14</f>
        <v>0</v>
      </c>
      <c r="D45" s="398">
        <f>'Multi-Customer'!$ID$9</f>
        <v>0</v>
      </c>
      <c r="E45" s="1019">
        <f>'Multi-Customer'!$ID$10</f>
        <v>0</v>
      </c>
      <c r="F45" s="399">
        <f t="shared" si="2"/>
        <v>0</v>
      </c>
      <c r="G45" s="400">
        <f t="shared" si="3"/>
        <v>0</v>
      </c>
      <c r="L45" s="1" t="s">
        <v>577</v>
      </c>
      <c r="M45" s="1" t="s">
        <v>267</v>
      </c>
      <c r="N45" s="1" t="s">
        <v>15</v>
      </c>
      <c r="O45" s="50">
        <v>0.11600000000000001</v>
      </c>
    </row>
    <row r="46" spans="1:18" ht="15.75" thickBot="1" x14ac:dyDescent="0.3">
      <c r="A46" s="415">
        <v>10</v>
      </c>
      <c r="B46" s="411" t="str">
        <f>'Customer Inputs'!Y15</f>
        <v/>
      </c>
      <c r="C46" s="33">
        <f>'Customer Inputs'!P15</f>
        <v>0</v>
      </c>
      <c r="D46" s="320">
        <f>'Multi-Customer'!$JA$9</f>
        <v>0</v>
      </c>
      <c r="E46" s="1019">
        <f>'Multi-Customer'!$JA$10</f>
        <v>0</v>
      </c>
      <c r="F46" s="401">
        <f t="shared" si="2"/>
        <v>0</v>
      </c>
      <c r="G46" s="402">
        <f t="shared" si="3"/>
        <v>0</v>
      </c>
      <c r="L46" s="1" t="s">
        <v>578</v>
      </c>
      <c r="M46" s="1" t="s">
        <v>212</v>
      </c>
      <c r="N46" s="1" t="s">
        <v>45</v>
      </c>
      <c r="O46" s="50">
        <v>5.1999999999999998E-2</v>
      </c>
    </row>
    <row r="47" spans="1:18" ht="15.75" thickBot="1" x14ac:dyDescent="0.3">
      <c r="F47" s="417">
        <f>SUM(F37:F46)</f>
        <v>0</v>
      </c>
      <c r="G47" s="418">
        <f>SUM(G37:G46)</f>
        <v>0</v>
      </c>
      <c r="O47" s="1" t="s">
        <v>579</v>
      </c>
      <c r="P47" s="1" t="s">
        <v>213</v>
      </c>
      <c r="Q47" s="1" t="s">
        <v>45</v>
      </c>
      <c r="R47" s="50">
        <v>6.3E-2</v>
      </c>
    </row>
    <row r="48" spans="1:18" x14ac:dyDescent="0.25">
      <c r="O48" s="1" t="s">
        <v>580</v>
      </c>
      <c r="P48" s="1" t="s">
        <v>214</v>
      </c>
      <c r="Q48" s="1" t="s">
        <v>45</v>
      </c>
      <c r="R48" s="50">
        <v>0.115</v>
      </c>
    </row>
    <row r="49" spans="4:18" x14ac:dyDescent="0.25">
      <c r="O49" s="1" t="s">
        <v>581</v>
      </c>
      <c r="P49" s="1" t="s">
        <v>267</v>
      </c>
      <c r="Q49" s="1" t="s">
        <v>45</v>
      </c>
      <c r="R49" s="50">
        <v>0.115</v>
      </c>
    </row>
    <row r="50" spans="4:18" x14ac:dyDescent="0.25">
      <c r="O50" s="1" t="s">
        <v>582</v>
      </c>
      <c r="P50" s="1" t="s">
        <v>212</v>
      </c>
      <c r="Q50" s="1" t="s">
        <v>258</v>
      </c>
      <c r="R50" s="50">
        <v>5.9000000000000004E-2</v>
      </c>
    </row>
    <row r="51" spans="4:18" x14ac:dyDescent="0.25">
      <c r="O51" s="1" t="s">
        <v>583</v>
      </c>
      <c r="P51" s="1" t="s">
        <v>213</v>
      </c>
      <c r="Q51" s="1" t="s">
        <v>258</v>
      </c>
      <c r="R51" s="50">
        <v>9.9000000000000005E-2</v>
      </c>
    </row>
    <row r="52" spans="4:18" x14ac:dyDescent="0.25">
      <c r="O52" s="1" t="s">
        <v>584</v>
      </c>
      <c r="P52" s="1" t="s">
        <v>214</v>
      </c>
      <c r="Q52" s="1" t="s">
        <v>258</v>
      </c>
      <c r="R52" s="50">
        <v>0.11900000000000001</v>
      </c>
    </row>
    <row r="53" spans="4:18" x14ac:dyDescent="0.25">
      <c r="O53" s="1" t="s">
        <v>585</v>
      </c>
      <c r="P53" s="1" t="s">
        <v>267</v>
      </c>
      <c r="Q53" s="1" t="s">
        <v>258</v>
      </c>
      <c r="R53" s="50">
        <v>0.15</v>
      </c>
    </row>
    <row r="54" spans="4:18" x14ac:dyDescent="0.25">
      <c r="D54" s="58"/>
      <c r="H54" s="754"/>
      <c r="O54" s="1" t="s">
        <v>586</v>
      </c>
      <c r="P54" s="1" t="s">
        <v>212</v>
      </c>
      <c r="Q54" s="1" t="s">
        <v>48</v>
      </c>
      <c r="R54" s="50">
        <v>5.8999999999999997E-2</v>
      </c>
    </row>
    <row r="55" spans="4:18" x14ac:dyDescent="0.25">
      <c r="E55" s="39"/>
      <c r="G55" s="58"/>
      <c r="O55" s="1" t="s">
        <v>587</v>
      </c>
      <c r="P55" s="1" t="s">
        <v>213</v>
      </c>
      <c r="Q55" s="1" t="s">
        <v>48</v>
      </c>
      <c r="R55" s="50">
        <v>9.9000000000000005E-2</v>
      </c>
    </row>
    <row r="56" spans="4:18" x14ac:dyDescent="0.25">
      <c r="D56" s="39"/>
      <c r="O56" s="1" t="s">
        <v>588</v>
      </c>
      <c r="P56" s="1" t="s">
        <v>214</v>
      </c>
      <c r="Q56" s="1" t="s">
        <v>48</v>
      </c>
      <c r="R56" s="50">
        <v>0.13900000000000001</v>
      </c>
    </row>
    <row r="57" spans="4:18" x14ac:dyDescent="0.25">
      <c r="O57" s="1" t="s">
        <v>589</v>
      </c>
      <c r="P57" s="1" t="s">
        <v>267</v>
      </c>
      <c r="Q57" s="1" t="s">
        <v>48</v>
      </c>
      <c r="R57" s="50">
        <v>0.13900000000000001</v>
      </c>
    </row>
    <row r="58" spans="4:18" x14ac:dyDescent="0.25">
      <c r="O58" s="1" t="s">
        <v>590</v>
      </c>
      <c r="P58" s="1" t="s">
        <v>212</v>
      </c>
      <c r="Q58" s="1" t="s">
        <v>259</v>
      </c>
      <c r="R58" s="50">
        <v>5.9000000000000004E-2</v>
      </c>
    </row>
    <row r="59" spans="4:18" x14ac:dyDescent="0.25">
      <c r="O59" s="1" t="s">
        <v>591</v>
      </c>
      <c r="P59" s="1" t="s">
        <v>213</v>
      </c>
      <c r="Q59" s="1" t="s">
        <v>259</v>
      </c>
      <c r="R59" s="50">
        <v>9.9000000000000005E-2</v>
      </c>
    </row>
    <row r="60" spans="4:18" x14ac:dyDescent="0.25">
      <c r="O60" s="1" t="s">
        <v>592</v>
      </c>
      <c r="P60" s="1" t="s">
        <v>214</v>
      </c>
      <c r="Q60" s="1" t="s">
        <v>259</v>
      </c>
      <c r="R60" s="50">
        <v>0.11900000000000001</v>
      </c>
    </row>
    <row r="61" spans="4:18" x14ac:dyDescent="0.25">
      <c r="O61" s="1" t="s">
        <v>593</v>
      </c>
      <c r="P61" s="1" t="s">
        <v>267</v>
      </c>
      <c r="Q61" s="1" t="s">
        <v>259</v>
      </c>
      <c r="R61" s="50">
        <v>0.15</v>
      </c>
    </row>
    <row r="62" spans="4:18" x14ac:dyDescent="0.25">
      <c r="O62" s="1" t="s">
        <v>594</v>
      </c>
      <c r="P62" s="1" t="s">
        <v>212</v>
      </c>
      <c r="Q62" s="1" t="s">
        <v>260</v>
      </c>
      <c r="R62" s="50">
        <v>5.9000000000000004E-2</v>
      </c>
    </row>
    <row r="63" spans="4:18" x14ac:dyDescent="0.25">
      <c r="O63" s="1" t="s">
        <v>595</v>
      </c>
      <c r="P63" s="1" t="s">
        <v>213</v>
      </c>
      <c r="Q63" s="1" t="s">
        <v>260</v>
      </c>
      <c r="R63" s="50">
        <v>9.9000000000000005E-2</v>
      </c>
    </row>
    <row r="64" spans="4:18" x14ac:dyDescent="0.25">
      <c r="O64" s="1" t="s">
        <v>596</v>
      </c>
      <c r="P64" s="1" t="s">
        <v>214</v>
      </c>
      <c r="Q64" s="1" t="s">
        <v>260</v>
      </c>
      <c r="R64" s="50">
        <v>0.11900000000000001</v>
      </c>
    </row>
    <row r="65" spans="15:18" x14ac:dyDescent="0.25">
      <c r="O65" s="1" t="s">
        <v>597</v>
      </c>
      <c r="P65" s="1" t="s">
        <v>267</v>
      </c>
      <c r="Q65" s="1" t="s">
        <v>260</v>
      </c>
      <c r="R65" s="50">
        <v>0.15</v>
      </c>
    </row>
    <row r="66" spans="15:18" x14ac:dyDescent="0.25">
      <c r="O66" s="1" t="s">
        <v>598</v>
      </c>
      <c r="P66" s="1" t="s">
        <v>212</v>
      </c>
      <c r="Q66" s="1" t="s">
        <v>261</v>
      </c>
      <c r="R66" s="50">
        <v>5.0999999999999997E-2</v>
      </c>
    </row>
    <row r="67" spans="15:18" x14ac:dyDescent="0.25">
      <c r="O67" s="1" t="s">
        <v>599</v>
      </c>
      <c r="P67" s="1" t="s">
        <v>213</v>
      </c>
      <c r="Q67" s="1" t="s">
        <v>261</v>
      </c>
      <c r="R67" s="50">
        <v>0.108</v>
      </c>
    </row>
    <row r="68" spans="15:18" x14ac:dyDescent="0.25">
      <c r="O68" s="1" t="s">
        <v>600</v>
      </c>
      <c r="P68" s="1" t="s">
        <v>214</v>
      </c>
      <c r="Q68" s="1" t="s">
        <v>261</v>
      </c>
      <c r="R68" s="50">
        <v>0.121</v>
      </c>
    </row>
    <row r="69" spans="15:18" x14ac:dyDescent="0.25">
      <c r="O69" s="1" t="s">
        <v>601</v>
      </c>
      <c r="P69" s="1" t="s">
        <v>267</v>
      </c>
      <c r="Q69" s="1" t="s">
        <v>261</v>
      </c>
      <c r="R69" s="50">
        <v>0.155</v>
      </c>
    </row>
    <row r="70" spans="15:18" x14ac:dyDescent="0.25">
      <c r="O70" s="1" t="s">
        <v>602</v>
      </c>
      <c r="P70" s="1" t="s">
        <v>212</v>
      </c>
      <c r="Q70" s="1" t="s">
        <v>60</v>
      </c>
      <c r="R70" s="50">
        <v>5.0999999999999997E-2</v>
      </c>
    </row>
    <row r="71" spans="15:18" x14ac:dyDescent="0.25">
      <c r="O71" s="1" t="s">
        <v>603</v>
      </c>
      <c r="P71" s="1" t="s">
        <v>213</v>
      </c>
      <c r="Q71" s="1" t="s">
        <v>60</v>
      </c>
      <c r="R71" s="50">
        <v>0.108</v>
      </c>
    </row>
    <row r="72" spans="15:18" x14ac:dyDescent="0.25">
      <c r="O72" s="1" t="s">
        <v>604</v>
      </c>
      <c r="P72" s="1" t="s">
        <v>214</v>
      </c>
      <c r="Q72" s="1" t="s">
        <v>60</v>
      </c>
      <c r="R72" s="50">
        <v>0.121</v>
      </c>
    </row>
    <row r="73" spans="15:18" x14ac:dyDescent="0.25">
      <c r="O73" s="1" t="s">
        <v>605</v>
      </c>
      <c r="P73" s="1" t="s">
        <v>267</v>
      </c>
      <c r="Q73" s="1" t="s">
        <v>60</v>
      </c>
      <c r="R73" s="50">
        <v>0.155</v>
      </c>
    </row>
    <row r="74" spans="15:18" x14ac:dyDescent="0.25">
      <c r="O74" s="1" t="s">
        <v>606</v>
      </c>
      <c r="P74" s="1" t="s">
        <v>212</v>
      </c>
      <c r="Q74" s="1" t="s">
        <v>20</v>
      </c>
      <c r="R74" s="50">
        <v>7.0999999999999994E-2</v>
      </c>
    </row>
    <row r="75" spans="15:18" x14ac:dyDescent="0.25">
      <c r="O75" s="1" t="s">
        <v>607</v>
      </c>
      <c r="P75" s="1" t="s">
        <v>213</v>
      </c>
      <c r="Q75" s="1" t="s">
        <v>20</v>
      </c>
      <c r="R75" s="50">
        <v>8.7999999999999995E-2</v>
      </c>
    </row>
    <row r="76" spans="15:18" x14ac:dyDescent="0.25">
      <c r="O76" s="1" t="s">
        <v>608</v>
      </c>
      <c r="P76" s="1" t="s">
        <v>214</v>
      </c>
      <c r="Q76" s="1" t="s">
        <v>20</v>
      </c>
      <c r="R76" s="50">
        <v>0.107</v>
      </c>
    </row>
    <row r="77" spans="15:18" x14ac:dyDescent="0.25">
      <c r="O77" s="1" t="s">
        <v>609</v>
      </c>
      <c r="P77" s="1" t="s">
        <v>267</v>
      </c>
      <c r="Q77" s="1" t="s">
        <v>20</v>
      </c>
      <c r="R77" s="50">
        <v>0.107</v>
      </c>
    </row>
    <row r="78" spans="15:18" x14ac:dyDescent="0.25">
      <c r="O78" s="1" t="s">
        <v>610</v>
      </c>
      <c r="P78" s="1" t="s">
        <v>212</v>
      </c>
      <c r="Q78" s="1" t="s">
        <v>262</v>
      </c>
      <c r="R78" s="50">
        <v>5.9000000000000004E-2</v>
      </c>
    </row>
    <row r="79" spans="15:18" x14ac:dyDescent="0.25">
      <c r="O79" s="1" t="s">
        <v>611</v>
      </c>
      <c r="P79" s="1" t="s">
        <v>213</v>
      </c>
      <c r="Q79" s="1" t="s">
        <v>262</v>
      </c>
      <c r="R79" s="50">
        <v>9.9000000000000005E-2</v>
      </c>
    </row>
    <row r="80" spans="15:18" x14ac:dyDescent="0.25">
      <c r="O80" s="1" t="s">
        <v>612</v>
      </c>
      <c r="P80" s="1" t="s">
        <v>214</v>
      </c>
      <c r="Q80" s="1" t="s">
        <v>262</v>
      </c>
      <c r="R80" s="50">
        <v>0.11900000000000001</v>
      </c>
    </row>
    <row r="81" spans="15:18" x14ac:dyDescent="0.25">
      <c r="O81" s="1" t="s">
        <v>613</v>
      </c>
      <c r="P81" s="1" t="s">
        <v>267</v>
      </c>
      <c r="Q81" s="1" t="s">
        <v>262</v>
      </c>
      <c r="R81" s="50">
        <v>0.15</v>
      </c>
    </row>
    <row r="82" spans="15:18" x14ac:dyDescent="0.25">
      <c r="O82" s="1" t="s">
        <v>614</v>
      </c>
      <c r="P82" s="1" t="s">
        <v>212</v>
      </c>
      <c r="Q82" s="1" t="s">
        <v>263</v>
      </c>
      <c r="R82" s="50">
        <v>5.9000000000000004E-2</v>
      </c>
    </row>
    <row r="83" spans="15:18" x14ac:dyDescent="0.25">
      <c r="O83" s="1" t="s">
        <v>615</v>
      </c>
      <c r="P83" s="1" t="s">
        <v>213</v>
      </c>
      <c r="Q83" s="1" t="s">
        <v>263</v>
      </c>
      <c r="R83" s="50">
        <v>9.9000000000000005E-2</v>
      </c>
    </row>
    <row r="84" spans="15:18" x14ac:dyDescent="0.25">
      <c r="O84" s="1" t="s">
        <v>616</v>
      </c>
      <c r="P84" s="1" t="s">
        <v>214</v>
      </c>
      <c r="Q84" s="1" t="s">
        <v>263</v>
      </c>
      <c r="R84" s="50">
        <v>0.11900000000000001</v>
      </c>
    </row>
    <row r="85" spans="15:18" x14ac:dyDescent="0.25">
      <c r="O85" s="1" t="s">
        <v>617</v>
      </c>
      <c r="P85" s="1" t="s">
        <v>267</v>
      </c>
      <c r="Q85" s="1" t="s">
        <v>263</v>
      </c>
      <c r="R85" s="50">
        <v>0.15</v>
      </c>
    </row>
    <row r="86" spans="15:18" x14ac:dyDescent="0.25">
      <c r="O86" s="1" t="s">
        <v>618</v>
      </c>
      <c r="P86" s="1" t="s">
        <v>212</v>
      </c>
      <c r="Q86" s="1" t="s">
        <v>36</v>
      </c>
      <c r="R86" s="50">
        <v>4.3999999999999997E-2</v>
      </c>
    </row>
    <row r="87" spans="15:18" x14ac:dyDescent="0.25">
      <c r="O87" s="1" t="s">
        <v>619</v>
      </c>
      <c r="P87" s="1" t="s">
        <v>213</v>
      </c>
      <c r="Q87" s="1" t="s">
        <v>36</v>
      </c>
      <c r="R87" s="50">
        <v>8.6999999999999994E-2</v>
      </c>
    </row>
    <row r="88" spans="15:18" x14ac:dyDescent="0.25">
      <c r="O88" s="1" t="s">
        <v>620</v>
      </c>
      <c r="P88" s="1" t="s">
        <v>214</v>
      </c>
      <c r="Q88" s="1" t="s">
        <v>36</v>
      </c>
      <c r="R88" s="50">
        <v>9.2999999999999999E-2</v>
      </c>
    </row>
    <row r="89" spans="15:18" x14ac:dyDescent="0.25">
      <c r="O89" s="1" t="s">
        <v>621</v>
      </c>
      <c r="P89" s="1" t="s">
        <v>267</v>
      </c>
      <c r="Q89" s="1" t="s">
        <v>36</v>
      </c>
      <c r="R89" s="50">
        <v>0.14899999999999999</v>
      </c>
    </row>
    <row r="90" spans="15:18" x14ac:dyDescent="0.25">
      <c r="O90" s="1" t="s">
        <v>622</v>
      </c>
      <c r="P90" s="1" t="s">
        <v>212</v>
      </c>
      <c r="Q90" s="1" t="s">
        <v>71</v>
      </c>
      <c r="R90" s="50">
        <v>5.9000000000000004E-2</v>
      </c>
    </row>
    <row r="91" spans="15:18" x14ac:dyDescent="0.25">
      <c r="O91" s="1" t="s">
        <v>623</v>
      </c>
      <c r="P91" s="1" t="s">
        <v>213</v>
      </c>
      <c r="Q91" s="1" t="s">
        <v>71</v>
      </c>
      <c r="R91" s="50">
        <v>9.9000000000000005E-2</v>
      </c>
    </row>
    <row r="92" spans="15:18" x14ac:dyDescent="0.25">
      <c r="O92" s="1" t="s">
        <v>624</v>
      </c>
      <c r="P92" s="1" t="s">
        <v>214</v>
      </c>
      <c r="Q92" s="1" t="s">
        <v>71</v>
      </c>
      <c r="R92" s="50">
        <v>0.11900000000000001</v>
      </c>
    </row>
    <row r="93" spans="15:18" x14ac:dyDescent="0.25">
      <c r="O93" s="1" t="s">
        <v>625</v>
      </c>
      <c r="P93" s="1" t="s">
        <v>267</v>
      </c>
      <c r="Q93" s="1" t="s">
        <v>71</v>
      </c>
      <c r="R93" s="50">
        <v>0.15</v>
      </c>
    </row>
    <row r="94" spans="15:18" x14ac:dyDescent="0.25">
      <c r="O94" s="1" t="s">
        <v>626</v>
      </c>
      <c r="P94" s="1" t="s">
        <v>212</v>
      </c>
      <c r="Q94" s="1" t="s">
        <v>11</v>
      </c>
      <c r="R94" s="50">
        <v>6.2E-2</v>
      </c>
    </row>
    <row r="95" spans="15:18" x14ac:dyDescent="0.25">
      <c r="O95" s="1" t="s">
        <v>627</v>
      </c>
      <c r="P95" s="1" t="s">
        <v>213</v>
      </c>
      <c r="Q95" s="1" t="s">
        <v>11</v>
      </c>
      <c r="R95" s="50">
        <v>9.4E-2</v>
      </c>
    </row>
    <row r="96" spans="15:18" x14ac:dyDescent="0.25">
      <c r="O96" s="1" t="s">
        <v>628</v>
      </c>
      <c r="P96" s="1" t="s">
        <v>214</v>
      </c>
      <c r="Q96" s="1" t="s">
        <v>11</v>
      </c>
      <c r="R96" s="50">
        <v>0.112</v>
      </c>
    </row>
    <row r="97" spans="15:18" x14ac:dyDescent="0.25">
      <c r="O97" s="1" t="s">
        <v>629</v>
      </c>
      <c r="P97" s="1" t="s">
        <v>267</v>
      </c>
      <c r="Q97" s="1" t="s">
        <v>11</v>
      </c>
      <c r="R97" s="50">
        <v>0.112</v>
      </c>
    </row>
    <row r="98" spans="15:18" x14ac:dyDescent="0.25">
      <c r="O98" s="1" t="s">
        <v>630</v>
      </c>
      <c r="P98" s="1" t="s">
        <v>212</v>
      </c>
      <c r="Q98" s="1" t="s">
        <v>264</v>
      </c>
      <c r="R98" s="50">
        <v>5.9000000000000004E-2</v>
      </c>
    </row>
    <row r="99" spans="15:18" x14ac:dyDescent="0.25">
      <c r="O99" s="1" t="s">
        <v>631</v>
      </c>
      <c r="P99" s="1" t="s">
        <v>213</v>
      </c>
      <c r="Q99" s="1" t="s">
        <v>264</v>
      </c>
      <c r="R99" s="50">
        <v>9.9000000000000005E-2</v>
      </c>
    </row>
    <row r="100" spans="15:18" x14ac:dyDescent="0.25">
      <c r="O100" s="1" t="s">
        <v>632</v>
      </c>
      <c r="P100" s="1" t="s">
        <v>214</v>
      </c>
      <c r="Q100" s="1" t="s">
        <v>264</v>
      </c>
      <c r="R100" s="50">
        <v>0.11900000000000001</v>
      </c>
    </row>
    <row r="101" spans="15:18" x14ac:dyDescent="0.25">
      <c r="O101" s="1" t="s">
        <v>633</v>
      </c>
      <c r="P101" s="1" t="s">
        <v>267</v>
      </c>
      <c r="Q101" s="1" t="s">
        <v>264</v>
      </c>
      <c r="R101" s="50">
        <v>0.15</v>
      </c>
    </row>
    <row r="102" spans="15:18" x14ac:dyDescent="0.25">
      <c r="O102" s="1" t="s">
        <v>634</v>
      </c>
      <c r="P102" s="1" t="s">
        <v>212</v>
      </c>
      <c r="Q102" s="1" t="s">
        <v>265</v>
      </c>
      <c r="R102" s="50">
        <v>5.9000000000000004E-2</v>
      </c>
    </row>
    <row r="103" spans="15:18" x14ac:dyDescent="0.25">
      <c r="O103" s="1" t="s">
        <v>635</v>
      </c>
      <c r="P103" s="1" t="s">
        <v>213</v>
      </c>
      <c r="Q103" s="1" t="s">
        <v>265</v>
      </c>
      <c r="R103" s="50">
        <v>9.9000000000000005E-2</v>
      </c>
    </row>
    <row r="104" spans="15:18" x14ac:dyDescent="0.25">
      <c r="O104" s="1" t="s">
        <v>636</v>
      </c>
      <c r="P104" s="1" t="s">
        <v>214</v>
      </c>
      <c r="Q104" s="1" t="s">
        <v>265</v>
      </c>
      <c r="R104" s="50">
        <v>0.11900000000000001</v>
      </c>
    </row>
    <row r="105" spans="15:18" x14ac:dyDescent="0.25">
      <c r="O105" s="1" t="s">
        <v>637</v>
      </c>
      <c r="P105" s="1" t="s">
        <v>267</v>
      </c>
      <c r="Q105" s="1" t="s">
        <v>265</v>
      </c>
      <c r="R105" s="50">
        <v>0.15</v>
      </c>
    </row>
    <row r="106" spans="15:18" x14ac:dyDescent="0.25">
      <c r="O106" s="1" t="s">
        <v>638</v>
      </c>
      <c r="P106" s="1" t="s">
        <v>212</v>
      </c>
      <c r="Q106" s="1" t="s">
        <v>9</v>
      </c>
      <c r="R106" s="50">
        <v>5.0999999999999997E-2</v>
      </c>
    </row>
    <row r="107" spans="15:18" x14ac:dyDescent="0.25">
      <c r="O107" s="1" t="s">
        <v>639</v>
      </c>
      <c r="P107" s="1" t="s">
        <v>213</v>
      </c>
      <c r="Q107" s="1" t="s">
        <v>9</v>
      </c>
      <c r="R107" s="50">
        <v>0.10100000000000001</v>
      </c>
    </row>
    <row r="108" spans="15:18" x14ac:dyDescent="0.25">
      <c r="O108" s="1" t="s">
        <v>640</v>
      </c>
      <c r="P108" s="1" t="s">
        <v>214</v>
      </c>
      <c r="Q108" s="1" t="s">
        <v>9</v>
      </c>
      <c r="R108" s="50">
        <v>0.14199999999999999</v>
      </c>
    </row>
    <row r="109" spans="15:18" x14ac:dyDescent="0.25">
      <c r="O109" s="1" t="s">
        <v>641</v>
      </c>
      <c r="P109" s="1" t="s">
        <v>267</v>
      </c>
      <c r="Q109" s="1" t="s">
        <v>9</v>
      </c>
      <c r="R109" s="50">
        <v>0.14199999999999999</v>
      </c>
    </row>
    <row r="110" spans="15:18" x14ac:dyDescent="0.25">
      <c r="O110" s="1" t="s">
        <v>642</v>
      </c>
      <c r="P110" s="1" t="s">
        <v>212</v>
      </c>
      <c r="Q110" s="1" t="s">
        <v>38</v>
      </c>
      <c r="R110" s="50">
        <v>6.5000000000000002E-2</v>
      </c>
    </row>
    <row r="111" spans="15:18" x14ac:dyDescent="0.25">
      <c r="O111" s="1" t="s">
        <v>643</v>
      </c>
      <c r="P111" s="1" t="s">
        <v>213</v>
      </c>
      <c r="Q111" s="1" t="s">
        <v>38</v>
      </c>
      <c r="R111" s="50">
        <v>0.09</v>
      </c>
    </row>
    <row r="112" spans="15:18" x14ac:dyDescent="0.25">
      <c r="O112" s="1" t="s">
        <v>644</v>
      </c>
      <c r="P112" s="1" t="s">
        <v>214</v>
      </c>
      <c r="Q112" s="1" t="s">
        <v>38</v>
      </c>
      <c r="R112" s="50">
        <v>0.09</v>
      </c>
    </row>
    <row r="113" spans="15:18" x14ac:dyDescent="0.25">
      <c r="O113" s="1" t="s">
        <v>645</v>
      </c>
      <c r="P113" s="1" t="s">
        <v>267</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zoomScale="90" zoomScaleNormal="90" workbookViewId="0">
      <selection activeCell="IC14" sqref="IC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1005" customWidth="1"/>
    <col min="9" max="11" width="9.140625" style="1005"/>
    <col min="12" max="12" width="12.85546875" style="1005" customWidth="1"/>
    <col min="13" max="13" width="17.42578125" style="1005" customWidth="1"/>
    <col min="14" max="14" width="11.7109375" style="1005"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1033"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1005" customWidth="1"/>
    <col min="61" max="61" width="11.85546875" style="1005" customWidth="1"/>
    <col min="62" max="62" width="21" style="1005" customWidth="1"/>
    <col min="63" max="63" width="11.140625" style="1005" customWidth="1"/>
    <col min="64" max="64" width="11.28515625" style="1005" customWidth="1"/>
    <col min="65" max="65" width="12.140625" style="1005" customWidth="1"/>
    <col min="66" max="66" width="10.28515625" style="1005" customWidth="1"/>
    <col min="67" max="69" width="8.5703125" style="1005" customWidth="1"/>
    <col min="70" max="70" width="10.28515625" style="1005" customWidth="1"/>
    <col min="71" max="71" width="10.85546875" style="1005" customWidth="1"/>
    <col min="72" max="72" width="10.7109375" style="1005" customWidth="1"/>
    <col min="75" max="75" width="10.5703125" style="1033" customWidth="1"/>
    <col min="76" max="76" width="28.28515625" bestFit="1" customWidth="1"/>
    <col min="77" max="77" width="17.5703125" bestFit="1" customWidth="1"/>
    <col min="79" max="79" width="12.140625" customWidth="1"/>
    <col min="80" max="80" width="11.7109375" customWidth="1"/>
    <col min="83" max="85" width="9.140625" style="1005"/>
    <col min="86" max="86" width="11.85546875" style="1005" customWidth="1"/>
    <col min="87" max="87" width="11.7109375" style="1005" customWidth="1"/>
    <col min="88" max="88" width="10.140625" style="1005" customWidth="1"/>
    <col min="89" max="89" width="9.85546875" style="1005" customWidth="1"/>
    <col min="90" max="92" width="9.140625" style="1005"/>
    <col min="93" max="93" width="10.28515625" style="1005" customWidth="1"/>
    <col min="94" max="94" width="10.140625" style="1005" customWidth="1"/>
    <col min="95" max="95" width="10" style="1005" customWidth="1"/>
    <col min="98" max="98" width="10.42578125" style="1033" customWidth="1"/>
    <col min="99" max="99" width="28.28515625" bestFit="1" customWidth="1"/>
    <col min="100" max="100" width="17.5703125" bestFit="1" customWidth="1"/>
    <col min="102" max="102" width="11.140625" customWidth="1"/>
    <col min="103" max="103" width="10.42578125" customWidth="1"/>
    <col min="106" max="109" width="9.140625" style="1005"/>
    <col min="110" max="110" width="11" style="1005" customWidth="1"/>
    <col min="111" max="111" width="9" style="1005" customWidth="1"/>
    <col min="112" max="112" width="9.42578125" style="1005" customWidth="1"/>
    <col min="113" max="115" width="9.140625" style="1005"/>
    <col min="116" max="116" width="9.28515625" style="1005" customWidth="1"/>
    <col min="117" max="117" width="10.5703125" style="1005" customWidth="1"/>
    <col min="118" max="118" width="9.42578125" style="1005" customWidth="1"/>
    <col min="121" max="121" width="10.85546875" style="1033" customWidth="1"/>
    <col min="122" max="122" width="28.28515625" bestFit="1" customWidth="1"/>
    <col min="123" max="123" width="17.5703125" bestFit="1" customWidth="1"/>
    <col min="125" max="125" width="11.7109375" customWidth="1"/>
    <col min="126" max="126" width="10.28515625" customWidth="1"/>
    <col min="129" max="131" width="9.140625" style="1005"/>
    <col min="132" max="132" width="10.140625" style="1005" customWidth="1"/>
    <col min="133" max="133" width="10.7109375" style="1005" customWidth="1"/>
    <col min="134" max="134" width="10" style="1005" customWidth="1"/>
    <col min="135" max="135" width="10.140625" style="1005" customWidth="1"/>
    <col min="136" max="138" width="9.140625" style="1005"/>
    <col min="139" max="139" width="10" style="1005" customWidth="1"/>
    <col min="140" max="141" width="9.140625" style="1005"/>
    <col min="144" max="144" width="10.5703125" style="1033" customWidth="1"/>
    <col min="145" max="145" width="28.28515625" bestFit="1" customWidth="1"/>
    <col min="146" max="146" width="17.5703125" bestFit="1" customWidth="1"/>
    <col min="148" max="148" width="10.140625" customWidth="1"/>
    <col min="149" max="149" width="10.28515625" customWidth="1"/>
    <col min="152" max="155" width="9.140625" style="1005"/>
    <col min="156" max="156" width="11.7109375" style="1005" customWidth="1"/>
    <col min="157" max="164" width="9.140625" style="1005"/>
    <col min="167" max="167" width="10.140625" style="1033" customWidth="1"/>
    <col min="168" max="168" width="28.28515625" bestFit="1" customWidth="1"/>
    <col min="169" max="169" width="17.5703125" bestFit="1" customWidth="1"/>
    <col min="171" max="171" width="10.140625" customWidth="1"/>
    <col min="175" max="177" width="9.140625" style="1005"/>
    <col min="178" max="178" width="10.7109375" style="1005" customWidth="1"/>
    <col min="179" max="179" width="11.5703125" style="1005" customWidth="1"/>
    <col min="180" max="187" width="9.140625" style="1005"/>
    <col min="190" max="190" width="11.7109375" style="1033" customWidth="1"/>
    <col min="191" max="191" width="28.28515625" bestFit="1" customWidth="1"/>
    <col min="192" max="192" width="17.5703125" bestFit="1" customWidth="1"/>
    <col min="194" max="194" width="10.140625" customWidth="1"/>
    <col min="195" max="195" width="10.85546875" customWidth="1"/>
    <col min="198" max="201" width="9.140625" style="1005"/>
    <col min="202" max="202" width="11.5703125" style="1005" customWidth="1"/>
    <col min="203" max="210" width="9.140625" style="1005"/>
    <col min="213" max="213" width="11.5703125" style="1033" customWidth="1"/>
    <col min="214" max="214" width="28.28515625" bestFit="1" customWidth="1"/>
    <col min="215" max="215" width="17.5703125" bestFit="1" customWidth="1"/>
    <col min="217" max="217" width="11.5703125" customWidth="1"/>
    <col min="218" max="218" width="10.42578125" customWidth="1"/>
    <col min="221" max="224" width="9.140625" style="1005"/>
    <col min="225" max="225" width="11.42578125" style="1005" customWidth="1"/>
    <col min="226" max="233" width="9.140625" style="1005"/>
    <col min="236" max="236" width="10.85546875" style="1033" customWidth="1"/>
    <col min="237" max="237" width="28.28515625" bestFit="1" customWidth="1"/>
    <col min="238" max="238" width="17.5703125" bestFit="1" customWidth="1"/>
    <col min="240" max="241" width="10.42578125" customWidth="1"/>
    <col min="244" max="247" width="9.140625" style="1005"/>
    <col min="248" max="248" width="11.42578125" style="1005" customWidth="1"/>
    <col min="249" max="256" width="9.140625" style="1005"/>
    <col min="258" max="258" width="15" customWidth="1"/>
    <col min="259" max="259" width="10.5703125" style="1033"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1005" customWidth="1"/>
    <col min="268" max="268" width="9.42578125" style="1005" customWidth="1"/>
    <col min="269" max="270" width="7.7109375" style="1005" customWidth="1"/>
    <col min="271" max="271" width="12.5703125" style="1005" customWidth="1"/>
    <col min="272" max="272" width="10.85546875" style="1005" customWidth="1"/>
    <col min="273" max="273" width="10.42578125" style="1005" customWidth="1"/>
    <col min="274" max="276" width="7.7109375" style="1005" customWidth="1"/>
    <col min="277" max="277" width="8.5703125" style="1005" customWidth="1"/>
    <col min="278" max="278" width="9.28515625" style="1005" customWidth="1"/>
    <col min="279" max="279" width="11" style="1005"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631" t="s">
        <v>837</v>
      </c>
      <c r="U1" s="1631"/>
      <c r="V1">
        <f>COUNTIF($BA$1:$JA$1,"New Location")</f>
        <v>0</v>
      </c>
      <c r="AW1" s="690" t="e">
        <f>VLOOKUP('Existing Customers'!AB2,'Market Geography'!A:B,2,0)</f>
        <v>#N/A</v>
      </c>
      <c r="BA1" s="84" t="s">
        <v>802</v>
      </c>
      <c r="BB1" s="85">
        <f>'Customer Inputs'!$G$6</f>
        <v>0</v>
      </c>
      <c r="BC1" s="690"/>
      <c r="BX1" s="84" t="s">
        <v>803</v>
      </c>
      <c r="BY1" s="85">
        <f>'Customer Inputs'!$G$7</f>
        <v>0</v>
      </c>
      <c r="BZ1" s="690"/>
      <c r="CU1" s="84" t="s">
        <v>804</v>
      </c>
      <c r="CV1" s="85">
        <f>'Customer Inputs'!$G$8</f>
        <v>0</v>
      </c>
      <c r="CW1" s="690"/>
      <c r="DR1" s="84" t="s">
        <v>805</v>
      </c>
      <c r="DS1" s="357">
        <f>'Customer Inputs'!$G$9</f>
        <v>0</v>
      </c>
      <c r="DT1" s="690"/>
      <c r="EO1" s="84" t="s">
        <v>806</v>
      </c>
      <c r="EP1" s="85">
        <f>'Customer Inputs'!$G$10</f>
        <v>0</v>
      </c>
      <c r="EQ1" s="690"/>
      <c r="FL1" s="84" t="s">
        <v>807</v>
      </c>
      <c r="FM1" s="85">
        <f>'Customer Inputs'!$G$11</f>
        <v>0</v>
      </c>
      <c r="FN1" s="690"/>
      <c r="GI1" s="84" t="s">
        <v>808</v>
      </c>
      <c r="GJ1" s="85">
        <f>'Customer Inputs'!$G$12</f>
        <v>0</v>
      </c>
      <c r="GK1" s="690"/>
      <c r="HF1" s="84" t="s">
        <v>809</v>
      </c>
      <c r="HG1" s="85">
        <f>'Customer Inputs'!$G$13</f>
        <v>0</v>
      </c>
      <c r="HH1" s="690"/>
      <c r="IC1" s="84" t="s">
        <v>810</v>
      </c>
      <c r="ID1" s="85">
        <f>'Customer Inputs'!$G$14</f>
        <v>0</v>
      </c>
      <c r="IE1" s="690"/>
      <c r="IZ1" s="84" t="s">
        <v>811</v>
      </c>
      <c r="JA1" s="85">
        <f>'Customer Inputs'!$G$15</f>
        <v>0</v>
      </c>
      <c r="JB1" s="690"/>
    </row>
    <row r="2" spans="2:296" x14ac:dyDescent="0.25">
      <c r="T2" s="82"/>
      <c r="U2" s="82"/>
      <c r="BA2" s="82" t="s">
        <v>902</v>
      </c>
      <c r="BB2" s="85" t="str">
        <f>'Customer Inputs'!$K$6</f>
        <v/>
      </c>
      <c r="BC2" s="1031">
        <f>'Customer Inputs'!$U$6</f>
        <v>0</v>
      </c>
      <c r="BX2" s="82" t="s">
        <v>902</v>
      </c>
      <c r="BY2" s="85" t="str">
        <f>'Customer Inputs'!$K$7</f>
        <v/>
      </c>
      <c r="BZ2" s="1032">
        <f>'Customer Inputs'!$U$7</f>
        <v>0</v>
      </c>
      <c r="CU2" s="82" t="s">
        <v>902</v>
      </c>
      <c r="CV2" s="85" t="str">
        <f>'Customer Inputs'!$K$8</f>
        <v/>
      </c>
      <c r="CW2" s="1032">
        <f>'Customer Inputs'!$U$8</f>
        <v>0</v>
      </c>
      <c r="DR2" s="82" t="s">
        <v>902</v>
      </c>
      <c r="DS2" s="85" t="str">
        <f>'Customer Inputs'!$K$9</f>
        <v/>
      </c>
      <c r="DT2" s="1032">
        <f>'Customer Inputs'!$U$9</f>
        <v>0</v>
      </c>
      <c r="EO2" s="82" t="s">
        <v>902</v>
      </c>
      <c r="EP2" s="85" t="str">
        <f>'Customer Inputs'!$K$10</f>
        <v/>
      </c>
      <c r="EQ2" s="1032">
        <f>'Customer Inputs'!$U$10</f>
        <v>0</v>
      </c>
      <c r="FL2" s="82" t="s">
        <v>902</v>
      </c>
      <c r="FM2" s="85" t="str">
        <f>'Customer Inputs'!$K$11</f>
        <v/>
      </c>
      <c r="FN2" s="1032">
        <f>'Customer Inputs'!$U$11</f>
        <v>0</v>
      </c>
      <c r="GI2" s="82" t="s">
        <v>902</v>
      </c>
      <c r="GJ2" s="85" t="str">
        <f>'Customer Inputs'!$K$12</f>
        <v/>
      </c>
      <c r="GK2" s="1032">
        <f>'Customer Inputs'!$U$12</f>
        <v>0</v>
      </c>
      <c r="HF2" s="82" t="s">
        <v>902</v>
      </c>
      <c r="HG2" s="85" t="str">
        <f>'Customer Inputs'!$K$13</f>
        <v/>
      </c>
      <c r="HH2" s="1032">
        <f>'Customer Inputs'!$U$13</f>
        <v>0</v>
      </c>
      <c r="IC2" s="82" t="s">
        <v>902</v>
      </c>
      <c r="ID2" s="85" t="str">
        <f>'Customer Inputs'!$K$14</f>
        <v/>
      </c>
      <c r="IE2" s="1032">
        <f>'Customer Inputs'!$U$14</f>
        <v>0</v>
      </c>
      <c r="IZ2" s="82" t="s">
        <v>902</v>
      </c>
      <c r="JA2" s="85" t="str">
        <f>'Customer Inputs'!$K$15</f>
        <v/>
      </c>
      <c r="JB2" s="1031">
        <f>'Customer Inputs'!$U$15</f>
        <v>0</v>
      </c>
    </row>
    <row r="3" spans="2:296" x14ac:dyDescent="0.25">
      <c r="T3" s="82"/>
      <c r="U3" s="82"/>
      <c r="BA3" s="82" t="s">
        <v>903</v>
      </c>
      <c r="BB3" s="85">
        <f>'Customer Inputs'!$P$6</f>
        <v>0</v>
      </c>
      <c r="BX3" s="82" t="s">
        <v>903</v>
      </c>
      <c r="BY3" s="85">
        <f>'Customer Inputs'!$P$7</f>
        <v>0</v>
      </c>
      <c r="CU3" s="82" t="s">
        <v>903</v>
      </c>
      <c r="CV3" s="85">
        <f>'Customer Inputs'!$P$8</f>
        <v>0</v>
      </c>
      <c r="DR3" s="82" t="s">
        <v>903</v>
      </c>
      <c r="DS3" s="85">
        <f>'Customer Inputs'!$P$9</f>
        <v>0</v>
      </c>
      <c r="EO3" s="82" t="s">
        <v>903</v>
      </c>
      <c r="EP3" s="85">
        <f>'Customer Inputs'!$P$10</f>
        <v>0</v>
      </c>
      <c r="FL3" s="82" t="s">
        <v>903</v>
      </c>
      <c r="FM3" s="85">
        <f>'Customer Inputs'!$P$11</f>
        <v>0</v>
      </c>
      <c r="GI3" s="82" t="s">
        <v>903</v>
      </c>
      <c r="GJ3" s="85">
        <f>'Customer Inputs'!$P$12</f>
        <v>0</v>
      </c>
      <c r="HF3" s="82" t="s">
        <v>903</v>
      </c>
      <c r="HG3" s="85">
        <f>'Customer Inputs'!$P$13</f>
        <v>0</v>
      </c>
      <c r="IC3" s="82" t="s">
        <v>903</v>
      </c>
      <c r="ID3" s="85">
        <f>'Customer Inputs'!$P$14</f>
        <v>0</v>
      </c>
      <c r="IZ3" s="82" t="s">
        <v>903</v>
      </c>
      <c r="JA3" s="85">
        <f>'Customer Inputs'!$P$15</f>
        <v>0</v>
      </c>
    </row>
    <row r="4" spans="2:296" x14ac:dyDescent="0.25">
      <c r="T4" s="82"/>
      <c r="U4" s="82"/>
      <c r="BA4" s="82" t="s">
        <v>906</v>
      </c>
      <c r="BB4" s="358" t="e">
        <f>BB3/BB2</f>
        <v>#VALUE!</v>
      </c>
      <c r="BX4" s="82" t="s">
        <v>906</v>
      </c>
      <c r="BY4" s="358" t="e">
        <f>BY3/BY2</f>
        <v>#VALUE!</v>
      </c>
      <c r="CU4" s="82" t="s">
        <v>906</v>
      </c>
      <c r="CV4" s="358" t="e">
        <f>CV3/CV2</f>
        <v>#VALUE!</v>
      </c>
      <c r="DR4" s="82" t="s">
        <v>906</v>
      </c>
      <c r="DS4" s="358" t="e">
        <f>DS3/DS2</f>
        <v>#VALUE!</v>
      </c>
      <c r="EO4" s="82" t="s">
        <v>906</v>
      </c>
      <c r="EP4" s="358" t="e">
        <f>EP3/EP2</f>
        <v>#VALUE!</v>
      </c>
      <c r="FL4" s="82" t="s">
        <v>906</v>
      </c>
      <c r="FM4" s="358" t="e">
        <f>FM3/FM2</f>
        <v>#VALUE!</v>
      </c>
      <c r="GI4" s="82" t="s">
        <v>906</v>
      </c>
      <c r="GJ4" s="358" t="e">
        <f>GJ3/GJ2</f>
        <v>#VALUE!</v>
      </c>
      <c r="HF4" s="82" t="s">
        <v>906</v>
      </c>
      <c r="HG4" s="358" t="e">
        <f>HG3/HG2</f>
        <v>#VALUE!</v>
      </c>
      <c r="IC4" s="82" t="s">
        <v>906</v>
      </c>
      <c r="ID4" s="358" t="e">
        <f>ID3/ID2</f>
        <v>#VALUE!</v>
      </c>
      <c r="IZ4" s="82" t="s">
        <v>906</v>
      </c>
      <c r="JA4" s="358" t="e">
        <f>JA3/JA2</f>
        <v>#VALUE!</v>
      </c>
    </row>
    <row r="5" spans="2:296" x14ac:dyDescent="0.25">
      <c r="T5" s="1631" t="s">
        <v>838</v>
      </c>
      <c r="U5" s="1631"/>
      <c r="V5">
        <f>COUNT(BB1,BY1,CV1,DS1,EP1,FM1,GJ1,HG1,ID1,JA1)</f>
        <v>10</v>
      </c>
      <c r="BA5" s="82" t="s">
        <v>933</v>
      </c>
      <c r="BB5">
        <f>IFERROR(VLOOKUP(BB$1,'Existing Customers'!$A:$AD,30,FALSE),BB6)</f>
        <v>0</v>
      </c>
      <c r="BX5" s="82" t="s">
        <v>933</v>
      </c>
      <c r="BY5">
        <f>IFERROR(VLOOKUP(BY$1,'Existing Customers'!$A:$AD,30,FALSE),BY6)</f>
        <v>0</v>
      </c>
      <c r="CU5" s="82" t="s">
        <v>933</v>
      </c>
      <c r="CV5">
        <f>IFERROR(VLOOKUP(CV$1,'Existing Customers'!$A:$AD,30,FALSE),CV6)</f>
        <v>0</v>
      </c>
      <c r="DR5" s="82" t="s">
        <v>933</v>
      </c>
      <c r="DS5">
        <f>IFERROR(VLOOKUP(DS$1,'Existing Customers'!$A:$AD,30,FALSE),DS6)</f>
        <v>0</v>
      </c>
      <c r="EO5" s="82" t="s">
        <v>933</v>
      </c>
      <c r="EP5">
        <f>IFERROR(VLOOKUP(EP$1,'Existing Customers'!$A:$AD,30,FALSE),EP6)</f>
        <v>0</v>
      </c>
      <c r="FL5" s="82" t="s">
        <v>933</v>
      </c>
      <c r="FM5">
        <f>IFERROR(VLOOKUP(FM$1,'Existing Customers'!$A:$AD,30,FALSE),FM6)</f>
        <v>0</v>
      </c>
      <c r="GI5" s="82" t="s">
        <v>933</v>
      </c>
      <c r="GJ5">
        <f>IFERROR(VLOOKUP(GJ$1,'Existing Customers'!$A:$AD,30,FALSE),GJ6)</f>
        <v>0</v>
      </c>
      <c r="HF5" s="82" t="s">
        <v>933</v>
      </c>
      <c r="HG5">
        <f>IFERROR(VLOOKUP(HG$1,'Existing Customers'!$A:$AD,30,FALSE),HG6)</f>
        <v>0</v>
      </c>
      <c r="IC5" s="82" t="s">
        <v>933</v>
      </c>
      <c r="ID5">
        <f>IFERROR(VLOOKUP(ID$1,'Existing Customers'!$A:$AD,30,FALSE),ID6)</f>
        <v>0</v>
      </c>
      <c r="IZ5" s="82" t="s">
        <v>933</v>
      </c>
      <c r="JA5">
        <f>IFERROR(VLOOKUP(JA$1,'Existing Customers'!$A:$AD,30,FALSE),JA6)</f>
        <v>0</v>
      </c>
    </row>
    <row r="6" spans="2:296" x14ac:dyDescent="0.25">
      <c r="T6" s="1631"/>
      <c r="U6" s="1631"/>
      <c r="BA6" s="82" t="s">
        <v>904</v>
      </c>
      <c r="BB6" s="397">
        <f>'Customer Inputs'!$R$6</f>
        <v>0</v>
      </c>
      <c r="BX6" s="82" t="s">
        <v>904</v>
      </c>
      <c r="BY6" s="85">
        <f>'Customer Inputs'!$R$7</f>
        <v>0</v>
      </c>
      <c r="CU6" s="82" t="s">
        <v>904</v>
      </c>
      <c r="CV6" s="85">
        <f>'Customer Inputs'!$R$8</f>
        <v>0</v>
      </c>
      <c r="DR6" s="82" t="s">
        <v>904</v>
      </c>
      <c r="DS6" s="85">
        <f>'Customer Inputs'!$R$9</f>
        <v>0</v>
      </c>
      <c r="EO6" s="82" t="s">
        <v>904</v>
      </c>
      <c r="EP6" s="85">
        <f>'Customer Inputs'!$R$10</f>
        <v>0</v>
      </c>
      <c r="FL6" s="82" t="s">
        <v>904</v>
      </c>
      <c r="FM6" s="85">
        <f>'Customer Inputs'!$R$11</f>
        <v>0</v>
      </c>
      <c r="GI6" s="82" t="s">
        <v>904</v>
      </c>
      <c r="GJ6" s="85">
        <f>'Customer Inputs'!$R$12</f>
        <v>0</v>
      </c>
      <c r="HF6" s="82" t="s">
        <v>904</v>
      </c>
      <c r="HG6" s="85">
        <f>'Customer Inputs'!$R$13</f>
        <v>0</v>
      </c>
      <c r="IC6" s="82" t="s">
        <v>904</v>
      </c>
      <c r="ID6" s="85">
        <f>'Customer Inputs'!$R$14</f>
        <v>0</v>
      </c>
      <c r="IZ6" s="82" t="s">
        <v>904</v>
      </c>
      <c r="JA6" s="85">
        <f>'Customer Inputs'!$R$15</f>
        <v>0</v>
      </c>
    </row>
    <row r="7" spans="2:296" x14ac:dyDescent="0.25">
      <c r="T7" s="82"/>
      <c r="U7" s="82"/>
      <c r="BA7" s="82" t="s">
        <v>914</v>
      </c>
      <c r="BB7" s="380">
        <f>IFERROR(SUMIFS('Existing Customers'!$AC:$AC,'Existing Customers'!$A:$A,'Multi-Customer'!BB$1)/SUMIFS('Existing Customers'!$Q:$Q,'Existing Customers'!$A:$A,'Multi-Customer'!BB$1),0)</f>
        <v>0</v>
      </c>
      <c r="BX7" s="82" t="s">
        <v>914</v>
      </c>
      <c r="BY7" s="380">
        <f>IFERROR(SUMIFS('Existing Customers'!$AC:$AC,'Existing Customers'!$A:$A,'Multi-Customer'!BY$1)/SUMIFS('Existing Customers'!$Q:$Q,'Existing Customers'!$A:$A,'Multi-Customer'!BY$1),0)</f>
        <v>0</v>
      </c>
      <c r="CU7" s="82" t="s">
        <v>914</v>
      </c>
      <c r="CV7" s="380">
        <f>IFERROR(SUMIFS('Existing Customers'!$AC:$AC,'Existing Customers'!$A:$A,'Multi-Customer'!CV$1)/SUMIFS('Existing Customers'!$Q:$Q,'Existing Customers'!$A:$A,'Multi-Customer'!CV$1),0)</f>
        <v>0</v>
      </c>
      <c r="DR7" s="82" t="s">
        <v>914</v>
      </c>
      <c r="DS7" s="380">
        <f>IFERROR(SUMIFS('Existing Customers'!$AC:$AC,'Existing Customers'!$A:$A,'Multi-Customer'!DS$1)/SUMIFS('Existing Customers'!$Q:$Q,'Existing Customers'!$A:$A,'Multi-Customer'!DS$1),0)</f>
        <v>0</v>
      </c>
      <c r="EO7" s="82" t="s">
        <v>914</v>
      </c>
      <c r="EP7" s="380">
        <f>IFERROR(SUMIFS('Existing Customers'!$AC:$AC,'Existing Customers'!$A:$A,'Multi-Customer'!EP$1)/SUMIFS('Existing Customers'!$Q:$Q,'Existing Customers'!$A:$A,'Multi-Customer'!EP$1),0)</f>
        <v>0</v>
      </c>
      <c r="FL7" s="82" t="s">
        <v>914</v>
      </c>
      <c r="FM7" s="380">
        <f>IFERROR(SUMIFS('Existing Customers'!$AC:$AC,'Existing Customers'!$A:$A,'Multi-Customer'!FM$1)/SUMIFS('Existing Customers'!$Q:$Q,'Existing Customers'!$A:$A,'Multi-Customer'!FM$1),0)</f>
        <v>0</v>
      </c>
      <c r="GI7" s="82" t="s">
        <v>914</v>
      </c>
      <c r="GJ7" s="380">
        <f>IFERROR(SUMIFS('Existing Customers'!$AC:$AC,'Existing Customers'!$A:$A,'Multi-Customer'!GJ$1)/SUMIFS('Existing Customers'!$Q:$Q,'Existing Customers'!$A:$A,'Multi-Customer'!GJ$1),0)</f>
        <v>0</v>
      </c>
      <c r="HF7" s="82" t="s">
        <v>914</v>
      </c>
      <c r="HG7" s="380">
        <f>IFERROR(SUMIFS('Existing Customers'!$AC:$AC,'Existing Customers'!$A:$A,'Multi-Customer'!HG$1)/SUMIFS('Existing Customers'!$Q:$Q,'Existing Customers'!$A:$A,'Multi-Customer'!HG$1),0)</f>
        <v>0</v>
      </c>
      <c r="IC7" s="82" t="s">
        <v>914</v>
      </c>
      <c r="ID7" s="380">
        <f>IFERROR(SUMIFS('Existing Customers'!$AC:$AC,'Existing Customers'!$A:$A,'Multi-Customer'!ID$1)/SUMIFS('Existing Customers'!$Q:$Q,'Existing Customers'!$A:$A,'Multi-Customer'!ID$1),0)</f>
        <v>0</v>
      </c>
      <c r="IZ7" s="82" t="s">
        <v>914</v>
      </c>
      <c r="JA7" s="380">
        <f>IFERROR(SUMIFS('Existing Customers'!$AC:$AC,'Existing Customers'!$A:$A,'Multi-Customer'!JA$1)/SUMIFS('Existing Customers'!$Q:$Q,'Existing Customers'!$A:$A,'Multi-Customer'!JA$1),0)</f>
        <v>0</v>
      </c>
    </row>
    <row r="8" spans="2:296" x14ac:dyDescent="0.25">
      <c r="BA8" s="82" t="s">
        <v>907</v>
      </c>
      <c r="BB8" s="360">
        <f>'Customer Inputs'!$T$6</f>
        <v>0</v>
      </c>
      <c r="BX8" s="82" t="s">
        <v>907</v>
      </c>
      <c r="BY8" s="360">
        <f>'Customer Inputs'!$T$7</f>
        <v>0</v>
      </c>
      <c r="CU8" s="82" t="s">
        <v>907</v>
      </c>
      <c r="CV8" s="360">
        <f>'Customer Inputs'!$T$8</f>
        <v>0</v>
      </c>
      <c r="DR8" s="82" t="s">
        <v>907</v>
      </c>
      <c r="DS8" s="360">
        <f>'Customer Inputs'!$T$9</f>
        <v>0</v>
      </c>
      <c r="EO8" s="82" t="s">
        <v>907</v>
      </c>
      <c r="EP8" s="360">
        <f>'Customer Inputs'!$T$10</f>
        <v>0</v>
      </c>
      <c r="FL8" s="82" t="s">
        <v>907</v>
      </c>
      <c r="FM8" s="360">
        <f>'Customer Inputs'!$T$11</f>
        <v>0</v>
      </c>
      <c r="GI8" s="82" t="s">
        <v>907</v>
      </c>
      <c r="GJ8" s="360">
        <f>'Customer Inputs'!$T$12</f>
        <v>0</v>
      </c>
      <c r="HF8" s="82" t="s">
        <v>907</v>
      </c>
      <c r="HG8" s="360">
        <f>'Customer Inputs'!$T$13</f>
        <v>0</v>
      </c>
      <c r="IC8" s="82" t="s">
        <v>907</v>
      </c>
      <c r="ID8" s="360">
        <f>'Customer Inputs'!$T$14</f>
        <v>0</v>
      </c>
      <c r="IZ8" s="82" t="s">
        <v>907</v>
      </c>
      <c r="JA8" s="360">
        <f>'Customer Inputs'!$T$15</f>
        <v>0</v>
      </c>
    </row>
    <row r="9" spans="2:296" s="1005" customFormat="1" x14ac:dyDescent="0.25">
      <c r="AZ9" s="1033"/>
      <c r="BA9" s="1006" t="s">
        <v>532</v>
      </c>
      <c r="BB9" s="360">
        <f>IFERROR($BH$35/$BB$35,0)</f>
        <v>0</v>
      </c>
      <c r="BW9" s="1033"/>
      <c r="BX9" s="1006" t="s">
        <v>532</v>
      </c>
      <c r="BY9" s="360">
        <f>IFERROR($CE$35/$BY$35,0)</f>
        <v>0</v>
      </c>
      <c r="CT9" s="1033"/>
      <c r="CU9" s="1006" t="s">
        <v>532</v>
      </c>
      <c r="CV9" s="360">
        <f>IFERROR($DB$35/$CV$35,0)</f>
        <v>0</v>
      </c>
      <c r="DQ9" s="1033"/>
      <c r="DR9" s="1006" t="s">
        <v>532</v>
      </c>
      <c r="DS9" s="360">
        <f>IFERROR($DY$35/$DS$35,0)</f>
        <v>0</v>
      </c>
      <c r="EN9" s="1033"/>
      <c r="EO9" s="1006" t="s">
        <v>532</v>
      </c>
      <c r="EP9" s="360">
        <f>IFERROR($EV$35/$EP$35,0)</f>
        <v>0</v>
      </c>
      <c r="FK9" s="1033"/>
      <c r="FL9" s="1006" t="s">
        <v>532</v>
      </c>
      <c r="FM9" s="360">
        <f>IFERROR($FS$35/$FM$35,0)</f>
        <v>0</v>
      </c>
      <c r="GH9" s="1033"/>
      <c r="GI9" s="1006" t="s">
        <v>532</v>
      </c>
      <c r="GJ9" s="360">
        <f>IFERROR($GP$35/$GJ$35,0)</f>
        <v>0</v>
      </c>
      <c r="HE9" s="1033"/>
      <c r="HF9" s="1006" t="s">
        <v>532</v>
      </c>
      <c r="HG9" s="360">
        <f>IFERROR($HM$35/$HG$35,0)</f>
        <v>0</v>
      </c>
      <c r="IB9" s="1033"/>
      <c r="IC9" s="1006" t="s">
        <v>532</v>
      </c>
      <c r="ID9" s="360">
        <f>IFERROR($IJ$35/$ID$35,0)</f>
        <v>0</v>
      </c>
      <c r="IY9" s="1033"/>
      <c r="IZ9" s="1006" t="s">
        <v>532</v>
      </c>
      <c r="JA9" s="360">
        <f>IFERROR($JG$35/$JA$35,0)</f>
        <v>0</v>
      </c>
    </row>
    <row r="10" spans="2:296" s="1005" customFormat="1" x14ac:dyDescent="0.25">
      <c r="AZ10" s="1033"/>
      <c r="BA10" s="1006" t="s">
        <v>1425</v>
      </c>
      <c r="BB10" s="360">
        <f>IFERROR($BI$35/$BB$35,0)</f>
        <v>0</v>
      </c>
      <c r="BW10" s="1033"/>
      <c r="BX10" s="1006" t="s">
        <v>1425</v>
      </c>
      <c r="BY10" s="360">
        <f>IFERROR($CF$35/$BY$35,0)</f>
        <v>0</v>
      </c>
      <c r="CT10" s="1033"/>
      <c r="CU10" s="1006" t="s">
        <v>1425</v>
      </c>
      <c r="CV10" s="360">
        <f>IFERROR($DC$35/$CV$35,0)</f>
        <v>0</v>
      </c>
      <c r="DQ10" s="1033"/>
      <c r="DR10" s="1006" t="s">
        <v>1425</v>
      </c>
      <c r="DS10" s="360">
        <f>IFERROR($DZ$35/$DS$35,0)</f>
        <v>0</v>
      </c>
      <c r="EN10" s="1033"/>
      <c r="EO10" s="1006" t="s">
        <v>1425</v>
      </c>
      <c r="EP10" s="360">
        <f>IFERROR($EW$35/$EP$35,0)</f>
        <v>0</v>
      </c>
      <c r="FK10" s="1033"/>
      <c r="FL10" s="1006" t="s">
        <v>1425</v>
      </c>
      <c r="FM10" s="360">
        <f>IFERROR($FT$35/$FM$35,0)</f>
        <v>0</v>
      </c>
      <c r="GH10" s="1033"/>
      <c r="GI10" s="1006" t="s">
        <v>1425</v>
      </c>
      <c r="GJ10" s="360">
        <f>IFERROR($GQ$35/$GJ$35,0)</f>
        <v>0</v>
      </c>
      <c r="HE10" s="1033"/>
      <c r="HF10" s="1006" t="s">
        <v>1425</v>
      </c>
      <c r="HG10" s="360">
        <f>IFERROR($HN$35/$HG$35,0)</f>
        <v>0</v>
      </c>
      <c r="IB10" s="1033"/>
      <c r="IC10" s="1006" t="s">
        <v>1425</v>
      </c>
      <c r="ID10" s="360">
        <f>IFERROR($IK$35/$ID$35,0)</f>
        <v>0</v>
      </c>
      <c r="IY10" s="1033"/>
      <c r="IZ10" s="1006" t="s">
        <v>1425</v>
      </c>
      <c r="JA10" s="360">
        <f>IFERROR($JH$35/$JA$35,0)</f>
        <v>0</v>
      </c>
    </row>
    <row r="11" spans="2:296" ht="15.75" thickBot="1" x14ac:dyDescent="0.3">
      <c r="S11" s="82" t="s">
        <v>822</v>
      </c>
      <c r="U11" t="s">
        <v>947</v>
      </c>
      <c r="V11" s="24">
        <f>IFERROR(V35/U35,0)</f>
        <v>0</v>
      </c>
      <c r="AC11" t="s">
        <v>950</v>
      </c>
      <c r="AH11" t="s">
        <v>1003</v>
      </c>
      <c r="AU11" s="1632" t="s">
        <v>1004</v>
      </c>
      <c r="JU11" t="s">
        <v>1000</v>
      </c>
      <c r="KD11" t="s">
        <v>1001</v>
      </c>
    </row>
    <row r="12" spans="2:296" ht="13.9" customHeight="1" thickBot="1" x14ac:dyDescent="0.3">
      <c r="C12" t="s">
        <v>951</v>
      </c>
      <c r="S12" s="82"/>
      <c r="AB12" s="433" t="s">
        <v>909</v>
      </c>
      <c r="AC12" s="434" t="s">
        <v>910</v>
      </c>
      <c r="AD12" s="435" t="s">
        <v>911</v>
      </c>
      <c r="AE12" s="436"/>
      <c r="AF12" s="436"/>
      <c r="AI12" s="433" t="s">
        <v>1002</v>
      </c>
      <c r="AJ12" s="436"/>
      <c r="AK12" s="436"/>
      <c r="AU12" s="1632"/>
      <c r="BA12" s="82"/>
      <c r="BB12" s="1017" t="str">
        <f>IF(AND($BB$2="Enter Spend&gt;&gt;&gt;",BC2="PROSPECT"),"Spec"&amp;"Sales","Exist"&amp;"Sales")</f>
        <v>ExistSales</v>
      </c>
      <c r="BC12" s="375" t="str">
        <f>IF(AND($BB$2="Enter Spend&gt;&gt;&gt;",BC2="PROSPECT"),"Spec"&amp;"Cases","Exist"&amp;"Cases")</f>
        <v>ExistCases</v>
      </c>
      <c r="BD12" s="375" t="str">
        <f>IF(AND($BB$2="Enter Spend&gt;&gt;&gt;",BC2="PROSPECT"),"Spec"&amp;"Ebcases","Exist"&amp;"Ebcases")</f>
        <v>ExistEbcases</v>
      </c>
      <c r="BE12" s="375" t="str">
        <f>IF(AND($BB$2="Enter Spend&gt;&gt;&gt;",BC2="PROSPECT"),"Spec"&amp;"Weight","Exist"&amp;"Weight")</f>
        <v>ExistWeight</v>
      </c>
      <c r="BF12" s="375" t="str">
        <f>IF(AND($BB$2="Enter Spend&gt;&gt;&gt;",BC2="PROSPECT"),"Spec"&amp;"TAGP","Exist"&amp;"TAGP")</f>
        <v>ExistTAGP</v>
      </c>
      <c r="BG12" s="376" t="str">
        <f>IF(AND($BB$2="Enter Spend&gt;&gt;&gt;",BC2="PROSPECT"),"Spec"&amp;"TGP","Exist"&amp;"TGP")</f>
        <v>ExistTGP</v>
      </c>
      <c r="BH12" s="376" t="str">
        <f>IF(AND($BB$2="Enter Spend&gt;&gt;&gt;",BC2="PROSPECT"),"Spec"&amp;"PA $","Exist"&amp;"PA $")</f>
        <v>ExistPA $</v>
      </c>
      <c r="BI12" s="376" t="str">
        <f>IF(AND($BB$2="Enter Spend&gt;&gt;&gt;",BC2="PROSPECT"),"Spec"&amp;"SFD $","Exist"&amp;"SFD $")</f>
        <v>ExistSFD $</v>
      </c>
      <c r="BJ12" s="369"/>
      <c r="BK12" s="369"/>
      <c r="BL12" s="369"/>
      <c r="BM12" s="369"/>
      <c r="BN12" s="369"/>
      <c r="BO12" s="369"/>
      <c r="BP12" s="369"/>
      <c r="BQ12" s="369"/>
      <c r="BR12" s="369"/>
      <c r="BS12" s="369"/>
      <c r="BT12" s="369"/>
      <c r="BU12" s="369"/>
      <c r="BV12" s="369"/>
      <c r="BW12" s="369"/>
      <c r="BX12" s="369"/>
      <c r="BY12" s="375" t="str">
        <f>IF(AND($BY$2="Enter Spend&gt;&gt;&gt;",BZ2="PROSPECT"),"Spec"&amp;"Sales","Exist"&amp;"Sales")</f>
        <v>ExistSales</v>
      </c>
      <c r="BZ12" s="375" t="str">
        <f>IF(AND($BY$2="Enter Spend&gt;&gt;&gt;",BZ2="PROSPECT"),"Spec"&amp;"Cases","Exist"&amp;"Cases")</f>
        <v>ExistCases</v>
      </c>
      <c r="CA12" s="375" t="str">
        <f>IF(AND($BY$2="Enter Spend&gt;&gt;&gt;",BZ2="PROSPECT"),"Spec"&amp;"Ebcases","Exist"&amp;"Ebcases")</f>
        <v>ExistEbcases</v>
      </c>
      <c r="CB12" s="375" t="str">
        <f>IF(AND($BY$2="Enter Spend&gt;&gt;&gt;",BZ2="PROSPECT"),"Spec"&amp;"Weight","Exist"&amp;"Weight")</f>
        <v>ExistWeight</v>
      </c>
      <c r="CC12" s="375" t="str">
        <f>IF(AND($BY$2="Enter Spend&gt;&gt;&gt;",BZ2="PROSPECT"),"Spec"&amp;"TAGP","Exist"&amp;"TAGP")</f>
        <v>ExistTAGP</v>
      </c>
      <c r="CD12" s="375" t="str">
        <f>IF(AND($BY$2="Enter Spend&gt;&gt;&gt;",BZ2="PROSPECT"),"Spec"&amp;"TGP","Exist"&amp;"TGP")</f>
        <v>ExistTGP</v>
      </c>
      <c r="CE12" s="375" t="str">
        <f>IF(AND($BY$2="Enter Spend&gt;&gt;&gt;",BZ2="PROSPECT"),"Spec"&amp;"PA $","Exist"&amp;"PA $")</f>
        <v>ExistPA $</v>
      </c>
      <c r="CF12" s="375" t="str">
        <f>IF(AND($BY$2="Enter Spend&gt;&gt;&gt;",BZ2="PROSPECT"),"Spec"&amp;"SFD $","Exist"&amp;"SFD $")</f>
        <v>ExistSFD $</v>
      </c>
      <c r="CG12" s="369"/>
      <c r="CH12" s="369"/>
      <c r="CI12" s="369"/>
      <c r="CJ12" s="369"/>
      <c r="CK12" s="369"/>
      <c r="CL12" s="369"/>
      <c r="CM12" s="369"/>
      <c r="CN12" s="369"/>
      <c r="CO12" s="369"/>
      <c r="CP12" s="369"/>
      <c r="CQ12" s="369"/>
      <c r="CR12" s="369"/>
      <c r="CS12" s="369"/>
      <c r="CT12" s="369"/>
      <c r="CU12" s="369"/>
      <c r="CV12" s="374" t="str">
        <f>IF(AND($CV$2="Enter Spend&gt;&gt;&gt;",CW2="PROSPECT"),"Spec"&amp;"Sales","Exist"&amp;"Sales")</f>
        <v>ExistSales</v>
      </c>
      <c r="CW12" s="375" t="str">
        <f>IF(AND($CV$2="Enter Spend&gt;&gt;&gt;",CW2="PROSPECT"),"Spec"&amp;"Cases","Exist"&amp;"Cases")</f>
        <v>ExistCases</v>
      </c>
      <c r="CX12" s="375" t="str">
        <f>IF(AND($CV$2="Enter Spend&gt;&gt;&gt;",CW2="PROSPECT"),"Spec"&amp;"Ebcases","Exist"&amp;"Ebcases")</f>
        <v>ExistEbcases</v>
      </c>
      <c r="CY12" s="375" t="str">
        <f>IF(AND($CV$2="Enter Spend&gt;&gt;&gt;",CW2="PROSPECT"),"Spec"&amp;"Weight","Exist"&amp;"Weight")</f>
        <v>ExistWeight</v>
      </c>
      <c r="CZ12" s="375" t="str">
        <f>IF(AND($CV$2="Enter Spend&gt;&gt;&gt;",CW2="PROSPECT"),"Spec"&amp;"TAGP","Exist"&amp;"TAGP")</f>
        <v>ExistTAGP</v>
      </c>
      <c r="DA12" s="376" t="str">
        <f>IF(AND($CV$2="Enter Spend&gt;&gt;&gt;",CW2="PROSPECT"),"Spec"&amp;"TGP","Exist"&amp;"TGP")</f>
        <v>ExistTGP</v>
      </c>
      <c r="DB12" s="376" t="str">
        <f>IF(AND($CV$2="Enter Spend&gt;&gt;&gt;",CW2="PROSPECT"),"Spec"&amp;"PA $","Exist"&amp;"PA $")</f>
        <v>ExistPA $</v>
      </c>
      <c r="DC12" s="376" t="str">
        <f>IF(AND($CV$2="Enter Spend&gt;&gt;&gt;",CW2="PROSPECT"),"Spec"&amp;"SFD $","Exist"&amp;"SFD $")</f>
        <v>ExistSFD $</v>
      </c>
      <c r="DD12" s="369"/>
      <c r="DE12" s="369"/>
      <c r="DF12" s="369"/>
      <c r="DG12" s="369"/>
      <c r="DH12" s="369"/>
      <c r="DI12" s="369"/>
      <c r="DJ12" s="369"/>
      <c r="DK12" s="369"/>
      <c r="DL12" s="369"/>
      <c r="DM12" s="369"/>
      <c r="DN12" s="369"/>
      <c r="DO12" s="369"/>
      <c r="DP12" s="369"/>
      <c r="DQ12" s="369"/>
      <c r="DR12" s="369"/>
      <c r="DS12" s="374" t="str">
        <f>IF(AND($DS$2="Enter Spend&gt;&gt;&gt;",DT2="PROSPECT"),"Spec"&amp;"Sales","Exist"&amp;"Sales")</f>
        <v>ExistSales</v>
      </c>
      <c r="DT12" s="375" t="str">
        <f>IF(AND($DS$2="Enter Spend&gt;&gt;&gt;",DT2="PROSPECT"),"Spec"&amp;"Cases","Exist"&amp;"Cases")</f>
        <v>ExistCases</v>
      </c>
      <c r="DU12" s="375" t="str">
        <f>IF(AND($DS$2="Enter Spend&gt;&gt;&gt;",DT2="PROSPECT"),"Spec"&amp;"Ebcases","Exist"&amp;"Ebcases")</f>
        <v>ExistEbcases</v>
      </c>
      <c r="DV12" s="375" t="str">
        <f>IF(AND($DS$2="Enter Spend&gt;&gt;&gt;",DT2="PROSPECT"),"Spec"&amp;"Weight","Exist"&amp;"Weight")</f>
        <v>ExistWeight</v>
      </c>
      <c r="DW12" s="375" t="str">
        <f>IF(AND($DS$2="Enter Spend&gt;&gt;&gt;",DT2="PROSPECT"),"Spec"&amp;"TAGP","Exist"&amp;"TAGP")</f>
        <v>ExistTAGP</v>
      </c>
      <c r="DX12" s="376" t="str">
        <f>IF(AND($DS$2="Enter Spend&gt;&gt;&gt;",DT2="PROSPECT"),"Spec"&amp;"TGP","Exist"&amp;"TGP")</f>
        <v>ExistTGP</v>
      </c>
      <c r="DY12" s="376" t="str">
        <f>IF(AND($DS$2="Enter Spend&gt;&gt;&gt;",DT2="PROSPECT"),"Spec"&amp;"PA $","Exist"&amp;"PA $")</f>
        <v>ExistPA $</v>
      </c>
      <c r="DZ12" s="376" t="str">
        <f>IF(AND($DS$2="Enter Spend&gt;&gt;&gt;",DT2="PROSPECT"),"Spec"&amp;"SFD $","Exist"&amp;"SFD $")</f>
        <v>ExistSFD $</v>
      </c>
      <c r="EA12" s="369"/>
      <c r="EB12" s="369"/>
      <c r="EC12" s="369"/>
      <c r="ED12" s="369"/>
      <c r="EE12" s="369"/>
      <c r="EF12" s="369"/>
      <c r="EG12" s="369"/>
      <c r="EH12" s="369"/>
      <c r="EI12" s="369"/>
      <c r="EJ12" s="369"/>
      <c r="EK12" s="369"/>
      <c r="EL12" s="369"/>
      <c r="EM12" s="369"/>
      <c r="EN12" s="369"/>
      <c r="EO12" s="369"/>
      <c r="EP12" s="374" t="str">
        <f>IF(AND($EP$2="Enter Spend&gt;&gt;&gt;",EQ2="PROSPECT"),"Spec"&amp;"Sales","Exist"&amp;"Sales")</f>
        <v>ExistSales</v>
      </c>
      <c r="EQ12" s="375" t="str">
        <f>IF(AND($EP$2="Enter Spend&gt;&gt;&gt;",EQ2="PROSPECT"),"Spec"&amp;"Cases","Exist"&amp;"Cases")</f>
        <v>ExistCases</v>
      </c>
      <c r="ER12" s="375" t="str">
        <f>IF(AND($EP$2="Enter Spend&gt;&gt;&gt;",EQ2="PROSPECT"),"Spec"&amp;"Ebcases","Exist"&amp;"Ebcases")</f>
        <v>ExistEbcases</v>
      </c>
      <c r="ES12" s="375" t="str">
        <f>IF(AND($EP$2="Enter Spend&gt;&gt;&gt;",EQ2="PROSPECT"),"Spec"&amp;"Weight","Exist"&amp;"Weight")</f>
        <v>ExistWeight</v>
      </c>
      <c r="ET12" s="375" t="str">
        <f>IF(AND($EP$2="Enter Spend&gt;&gt;&gt;",EQ2="PROSPECT"),"Spec"&amp;"TAGP","Exist"&amp;"TAGP")</f>
        <v>ExistTAGP</v>
      </c>
      <c r="EU12" s="376" t="str">
        <f>IF(AND($EP$2="Enter Spend&gt;&gt;&gt;",EQ2="PROSPECT"),"Spec"&amp;"TGP","Exist"&amp;"TGP")</f>
        <v>ExistTGP</v>
      </c>
      <c r="EV12" s="376" t="str">
        <f>IF(AND($EP$2="Enter Spend&gt;&gt;&gt;",EQ2="PROSPECT"),"Spec"&amp;"PA $","Exist"&amp;"PA $")</f>
        <v>ExistPA $</v>
      </c>
      <c r="EW12" s="376" t="str">
        <f>IF(AND($EP$2="Enter Spend&gt;&gt;&gt;",EQ2="PROSPECT"),"Spec"&amp;"SFD $","Exist"&amp;"SFD $")</f>
        <v>ExistSFD $</v>
      </c>
      <c r="EX12" s="369"/>
      <c r="EY12" s="369"/>
      <c r="EZ12" s="369"/>
      <c r="FA12" s="369"/>
      <c r="FB12" s="369"/>
      <c r="FC12" s="369"/>
      <c r="FD12" s="369"/>
      <c r="FE12" s="369"/>
      <c r="FF12" s="369"/>
      <c r="FG12" s="369"/>
      <c r="FH12" s="369"/>
      <c r="FI12" s="369"/>
      <c r="FJ12" s="369"/>
      <c r="FK12" s="369"/>
      <c r="FL12" s="369"/>
      <c r="FM12" s="374" t="str">
        <f>IF(AND($FM$2="Enter Spend&gt;&gt;&gt;",FN2="PROSPECT"),"Spec"&amp;"Sales","Exist"&amp;"Sales")</f>
        <v>ExistSales</v>
      </c>
      <c r="FN12" s="375" t="str">
        <f>IF(AND($FM$2="Enter Spend&gt;&gt;&gt;",FN2="PROSPECT"),"Spec"&amp;"Cases","Exist"&amp;"Cases")</f>
        <v>ExistCases</v>
      </c>
      <c r="FO12" s="375" t="str">
        <f>IF(AND($FM$2="Enter Spend&gt;&gt;&gt;",FN2="PROSPECT"),"Spec"&amp;"Ebcases","Exist"&amp;"Ebcases")</f>
        <v>ExistEbcases</v>
      </c>
      <c r="FP12" s="375" t="str">
        <f>IF(AND($FM$2="Enter Spend&gt;&gt;&gt;",FN2="PROSPECT"),"Spec"&amp;"Weight","Exist"&amp;"Weight")</f>
        <v>ExistWeight</v>
      </c>
      <c r="FQ12" s="375" t="str">
        <f>IF(AND($FM$2="Enter Spend&gt;&gt;&gt;",FN2="PROSPECT"),"Spec"&amp;"TAGP","Exist"&amp;"TAGP")</f>
        <v>ExistTAGP</v>
      </c>
      <c r="FR12" s="376" t="str">
        <f>IF(AND($FM$2="Enter Spend&gt;&gt;&gt;",FN2="PROSPECT"),"Spec"&amp;"TGP","Exist"&amp;"TGP")</f>
        <v>ExistTGP</v>
      </c>
      <c r="FS12" s="376" t="str">
        <f>IF(AND($FM$2="Enter Spend&gt;&gt;&gt;",FN2="PROSPECT"),"Spec"&amp;"PA $","Exist"&amp;"PA $")</f>
        <v>ExistPA $</v>
      </c>
      <c r="FT12" s="376" t="str">
        <f>IF(AND($FM$2="Enter Spend&gt;&gt;&gt;",FN2="PROSPECT"),"Spec"&amp;"SFD $","Exist"&amp;"SFD $")</f>
        <v>ExistSFD $</v>
      </c>
      <c r="FU12" s="369"/>
      <c r="FV12" s="369"/>
      <c r="FW12" s="369"/>
      <c r="FX12" s="369"/>
      <c r="FY12" s="369"/>
      <c r="FZ12" s="369"/>
      <c r="GA12" s="369"/>
      <c r="GB12" s="369"/>
      <c r="GC12" s="369"/>
      <c r="GD12" s="369"/>
      <c r="GE12" s="369"/>
      <c r="GF12" s="369"/>
      <c r="GG12" s="369"/>
      <c r="GH12" s="369"/>
      <c r="GI12" s="369"/>
      <c r="GJ12" s="374" t="str">
        <f>IF(AND($GJ$2="Enter Spend&gt;&gt;&gt;",GK2="PROSPECT"),"Spec"&amp;"Sales","Exist"&amp;"Sales")</f>
        <v>ExistSales</v>
      </c>
      <c r="GK12" s="375" t="str">
        <f>IF(AND($GJ$2="Enter Spend&gt;&gt;&gt;",GK2="PROSPECT"),"Spec"&amp;"Cases","Exist"&amp;"Cases")</f>
        <v>ExistCases</v>
      </c>
      <c r="GL12" s="375" t="str">
        <f>IF(AND($GJ$2="Enter Spend&gt;&gt;&gt;",GK2="PROSPECT"),"Spec"&amp;"Ebcases","Exist"&amp;"Ebcases")</f>
        <v>ExistEbcases</v>
      </c>
      <c r="GM12" s="375" t="str">
        <f>IF(AND($GJ$2="Enter Spend&gt;&gt;&gt;",GK2="PROSPECT"),"Spec"&amp;"Weight","Exist"&amp;"Weight")</f>
        <v>ExistWeight</v>
      </c>
      <c r="GN12" s="375" t="str">
        <f>IF(AND($GJ$2="Enter Spend&gt;&gt;&gt;",GK2="PROSPECT"),"Spec"&amp;"TAGP","Exist"&amp;"TAGP")</f>
        <v>ExistTAGP</v>
      </c>
      <c r="GO12" s="376" t="str">
        <f>IF(AND($GJ$2="Enter Spend&gt;&gt;&gt;",GK2="PROSPECT"),"Spec"&amp;"TGP","Exist"&amp;"TGP")</f>
        <v>ExistTGP</v>
      </c>
      <c r="GP12" s="376" t="str">
        <f>IF(AND($GJ$2="Enter Spend&gt;&gt;&gt;",GK2="PROSPECT"),"Spec"&amp;"PA $","Exist"&amp;"PA $")</f>
        <v>ExistPA $</v>
      </c>
      <c r="GQ12" s="376" t="str">
        <f>IF(AND($GJ$2="Enter Spend&gt;&gt;&gt;",GK2="PROSPECT"),"Spec"&amp;"SFD $","Exist"&amp;"SFD $")</f>
        <v>ExistSFD $</v>
      </c>
      <c r="GR12" s="369"/>
      <c r="GS12" s="369"/>
      <c r="GT12" s="369"/>
      <c r="GU12" s="369"/>
      <c r="GV12" s="369"/>
      <c r="GW12" s="369"/>
      <c r="GX12" s="369"/>
      <c r="GY12" s="369"/>
      <c r="GZ12" s="369"/>
      <c r="HA12" s="369"/>
      <c r="HB12" s="369"/>
      <c r="HC12" s="369"/>
      <c r="HD12" s="369"/>
      <c r="HE12" s="369"/>
      <c r="HF12" s="369"/>
      <c r="HG12" s="374" t="str">
        <f>IF(AND($HG$2="Enter Spend&gt;&gt;&gt;",HH2="PROSPECT"),"Spec"&amp;"Sales","Exist"&amp;"Sales")</f>
        <v>ExistSales</v>
      </c>
      <c r="HH12" s="375" t="str">
        <f>IF(AND($HG$2="Enter Spend&gt;&gt;&gt;",HH2="PROSPECT"),"Spec"&amp;"Cases","Exist"&amp;"Cases")</f>
        <v>ExistCases</v>
      </c>
      <c r="HI12" s="375" t="str">
        <f>IF(AND($HG$2="Enter Spend&gt;&gt;&gt;",HH2="PROSPECT"),"Spec"&amp;"Ebcases","Exist"&amp;"Ebcases")</f>
        <v>ExistEbcases</v>
      </c>
      <c r="HJ12" s="375" t="str">
        <f>IF(AND($HG$2="Enter Spend&gt;&gt;&gt;",HH2="PROSPECT"),"Spec"&amp;"Weight","Exist"&amp;"Weight")</f>
        <v>ExistWeight</v>
      </c>
      <c r="HK12" s="375" t="str">
        <f>IF(AND($HG$2="Enter Spend&gt;&gt;&gt;",HH2="PROSPECT"),"Spec"&amp;"TAGP","Exist"&amp;"TAGP")</f>
        <v>ExistTAGP</v>
      </c>
      <c r="HL12" s="376" t="str">
        <f>IF(AND($HG$2="Enter Spend&gt;&gt;&gt;",HH2="PROSPECT"),"Spec"&amp;"TGP","Exist"&amp;"TGP")</f>
        <v>ExistTGP</v>
      </c>
      <c r="HM12" s="376" t="str">
        <f>IF(AND($HG$2="Enter Spend&gt;&gt;&gt;",HH2="PROSPECT"),"Spec"&amp;"PA $","Exist"&amp;"PA $")</f>
        <v>ExistPA $</v>
      </c>
      <c r="HN12" s="376" t="str">
        <f>IF(AND($HG$2="Enter Spend&gt;&gt;&gt;",HH2="PROSPECT"),"Spec"&amp;"SFD $","Exist"&amp;"SFD $")</f>
        <v>ExistSFD $</v>
      </c>
      <c r="HO12" s="369"/>
      <c r="HP12" s="369"/>
      <c r="HQ12" s="369"/>
      <c r="HR12" s="369"/>
      <c r="HS12" s="369"/>
      <c r="HT12" s="369"/>
      <c r="HU12" s="369"/>
      <c r="HV12" s="369"/>
      <c r="HW12" s="369"/>
      <c r="HX12" s="369"/>
      <c r="HY12" s="369"/>
      <c r="HZ12" s="369"/>
      <c r="IA12" s="369"/>
      <c r="IB12" s="369"/>
      <c r="IC12" s="369"/>
      <c r="ID12" s="374" t="str">
        <f>IF(AND($ID$2="Enter Spend&gt;&gt;&gt;",IE2="PROSPECT"),"Spec"&amp;"Sales","Exist"&amp;"Sales")</f>
        <v>ExistSales</v>
      </c>
      <c r="IE12" s="375" t="str">
        <f>IF(AND($ID$2="Enter Spend&gt;&gt;&gt;",IE2="PROSPECT"),"Spec"&amp;"Cases","Exist"&amp;"Cases")</f>
        <v>ExistCases</v>
      </c>
      <c r="IF12" s="375" t="str">
        <f>IF(AND($ID$2="Enter Spend&gt;&gt;&gt;",IE2="PROSPECT"),"Spec"&amp;"Ebcases","Exist"&amp;"Ebcases")</f>
        <v>ExistEbcases</v>
      </c>
      <c r="IG12" s="375" t="str">
        <f>IF(AND($ID$2="Enter Spend&gt;&gt;&gt;",IE2="PROSPECT"),"Spec"&amp;"Weight","Exist"&amp;"Weight")</f>
        <v>ExistWeight</v>
      </c>
      <c r="IH12" s="375" t="str">
        <f>IF(AND($ID$2="Enter Spend&gt;&gt;&gt;",IE2="PROSPECT"),"Spec"&amp;"TAGP","Exist"&amp;"TAGP")</f>
        <v>ExistTAGP</v>
      </c>
      <c r="II12" s="376" t="str">
        <f>IF(AND($ID$2="Enter Spend&gt;&gt;&gt;",IE2="PROSPECT"),"Spec"&amp;"TGP","Exist"&amp;"TGP")</f>
        <v>ExistTGP</v>
      </c>
      <c r="IJ12" s="376" t="str">
        <f>IF(AND($ID$2="Enter Spend&gt;&gt;&gt;",IE2="PROSPECT"),"Spec"&amp;"PA $","Exist"&amp;"PA $")</f>
        <v>ExistPA $</v>
      </c>
      <c r="IK12" s="376" t="str">
        <f>IF(AND($ID$2="Enter Spend&gt;&gt;&gt;",IE2="PROSPECT"),"Spec"&amp;"SFD $","Exist"&amp;"SFD $")</f>
        <v>ExistSFD $</v>
      </c>
      <c r="IL12" s="369"/>
      <c r="IM12" s="369"/>
      <c r="IN12" s="369"/>
      <c r="IO12" s="369"/>
      <c r="IP12" s="369"/>
      <c r="IQ12" s="369"/>
      <c r="IR12" s="369"/>
      <c r="IS12" s="369"/>
      <c r="IT12" s="369"/>
      <c r="IU12" s="369"/>
      <c r="IV12" s="369"/>
      <c r="IW12" s="369"/>
      <c r="IX12" s="369"/>
      <c r="IY12" s="369"/>
      <c r="IZ12" s="369"/>
      <c r="JA12" s="374" t="str">
        <f>IF(AND($JA$2="Enter Spend&gt;&gt;&gt;",JB2="PROSPECT"),"Spec"&amp;"Sales","Exist"&amp;"Sales")</f>
        <v>ExistSales</v>
      </c>
      <c r="JB12" s="375" t="str">
        <f>IF(AND($JA$2="Enter Spend&gt;&gt;&gt;",JB2="PROSPECT"),"Spec"&amp;"Cases","Exist"&amp;"Cases")</f>
        <v>ExistCases</v>
      </c>
      <c r="JC12" s="375" t="str">
        <f>IF(AND($JA$2="Enter Spend&gt;&gt;&gt;",JB2="PROSPECT"),"Spec"&amp;"Ebcases","Exist"&amp;"Ebcases")</f>
        <v>ExistEbcases</v>
      </c>
      <c r="JD12" s="375" t="str">
        <f>IF(AND($JA$2="Enter Spend&gt;&gt;&gt;",JB2="PROSPECT"),"Spec"&amp;"Weight","Exist"&amp;"Weight")</f>
        <v>ExistWeight</v>
      </c>
      <c r="JE12" s="375" t="str">
        <f>IF(AND($JA$2="Enter Spend&gt;&gt;&gt;",JB2="PROSPECT"),"Spec"&amp;"TAGP","Exist"&amp;"TAGP")</f>
        <v>ExistTAGP</v>
      </c>
      <c r="JF12" s="376" t="str">
        <f>IF(AND($JA$2="Enter Spend&gt;&gt;&gt;",JB2="PROSPECT"),"Spec"&amp;"TGP","Exist"&amp;"TGP")</f>
        <v>ExistTGP</v>
      </c>
      <c r="JG12" s="376" t="str">
        <f>IF(AND($JA$2="Enter Spend&gt;&gt;&gt;",JB2="PROSPECT"),"Spec"&amp;"PA $","Exist"&amp;"PA $")</f>
        <v>ExistPA $</v>
      </c>
      <c r="JH12" s="376" t="str">
        <f>IF(AND($JA$2="Enter Spend&gt;&gt;&gt;",JB2="PROSPECT"),"Spec"&amp;"SFD $","Exist"&amp;"SFD $")</f>
        <v>ExistSFD $</v>
      </c>
      <c r="JI12" s="369"/>
      <c r="JJ12" s="369"/>
      <c r="JK12" s="369"/>
      <c r="JL12" s="369"/>
      <c r="JM12" s="369"/>
      <c r="JN12" s="369"/>
      <c r="JO12" s="369"/>
      <c r="JP12" s="369"/>
      <c r="JQ12" s="369"/>
      <c r="JR12" s="369"/>
      <c r="JS12" s="369"/>
      <c r="JU12" s="369"/>
      <c r="JV12" s="374" t="str">
        <f>IF(JV2="Enter Spend&gt;&gt;&gt;","Spec"&amp;"Sales","Exist"&amp;"Sales")</f>
        <v>ExistSales</v>
      </c>
      <c r="JW12" s="375" t="str">
        <f>IF(JV2="Enter Spend&gt;&gt;&gt;","Spec"&amp;"Cases","Exist"&amp;"Cases")</f>
        <v>ExistCases</v>
      </c>
      <c r="JX12" s="375" t="str">
        <f>IF(JV2="Enter Spend&gt;&gt;&gt;","Spec"&amp;"Ebcases","Exist"&amp;"Ebcases")</f>
        <v>ExistEbcases</v>
      </c>
      <c r="JY12" s="375" t="str">
        <f>IF(JV2="Enter Spend&gt;&gt;&gt;","Spec"&amp;"Weight","Exist"&amp;"Weight")</f>
        <v>ExistWeight</v>
      </c>
      <c r="JZ12" s="375" t="str">
        <f>IF(JV2="Enter Spend&gt;&gt;&gt;","Spec"&amp;"TAGP","Exist"&amp;"TAGP")</f>
        <v>ExistTAGP</v>
      </c>
      <c r="KA12" s="376" t="str">
        <f>IF(JV2="Enter Spend&gt;&gt;&gt;","Spec"&amp;"TGP","Exist"&amp;"TGP")</f>
        <v>ExistTGP</v>
      </c>
      <c r="KB12" s="369"/>
      <c r="KC12" s="369"/>
      <c r="KD12" s="369"/>
      <c r="KE12" s="374" t="str">
        <f>IF(KE2="Enter Spend&gt;&gt;&gt;","Spec"&amp;"Sales","Exist"&amp;"Sales")</f>
        <v>ExistSales</v>
      </c>
      <c r="KF12" s="375" t="str">
        <f>IF(KE2="Enter Spend&gt;&gt;&gt;","Spec"&amp;"Cases","Exist"&amp;"Cases")</f>
        <v>ExistCases</v>
      </c>
      <c r="KG12" s="375" t="str">
        <f>IF(KE2="Enter Spend&gt;&gt;&gt;","Spec"&amp;"Ebcases","Exist"&amp;"Ebcases")</f>
        <v>ExistEbcases</v>
      </c>
      <c r="KH12" s="375" t="str">
        <f>IF(KE2="Enter Spend&gt;&gt;&gt;","Spec"&amp;"Weight","Exist"&amp;"Weight")</f>
        <v>ExistWeight</v>
      </c>
      <c r="KI12" s="375" t="str">
        <f>IF(KE2="Enter Spend&gt;&gt;&gt;","Spec"&amp;"TAGP","Exist"&amp;"TAGP")</f>
        <v>ExistTAGP</v>
      </c>
      <c r="KJ12" s="376" t="str">
        <f>IF(KE2="Enter Spend&gt;&gt;&gt;","Spec"&amp;"TGP","Exist"&amp;"TGP")</f>
        <v>ExistTGP</v>
      </c>
    </row>
    <row r="13" spans="2:296" ht="34.5" thickBot="1" x14ac:dyDescent="0.3">
      <c r="B13" s="87" t="s">
        <v>108</v>
      </c>
      <c r="C13" s="437" t="s">
        <v>82</v>
      </c>
      <c r="D13" s="438" t="s">
        <v>83</v>
      </c>
      <c r="E13" s="438" t="s">
        <v>398</v>
      </c>
      <c r="F13" s="438" t="s">
        <v>501</v>
      </c>
      <c r="G13" s="439" t="s">
        <v>399</v>
      </c>
      <c r="H13" s="439" t="s">
        <v>200</v>
      </c>
      <c r="I13" s="437" t="s">
        <v>216</v>
      </c>
      <c r="J13" s="437" t="s">
        <v>1413</v>
      </c>
      <c r="K13" s="437" t="s">
        <v>202</v>
      </c>
      <c r="L13" s="437" t="s">
        <v>1414</v>
      </c>
      <c r="M13" s="437" t="s">
        <v>1415</v>
      </c>
      <c r="N13" s="1009" t="s">
        <v>1416</v>
      </c>
      <c r="S13" s="87" t="s">
        <v>108</v>
      </c>
      <c r="T13" s="109" t="s">
        <v>82</v>
      </c>
      <c r="U13" s="89" t="s">
        <v>83</v>
      </c>
      <c r="V13" s="89" t="s">
        <v>398</v>
      </c>
      <c r="W13" s="89" t="s">
        <v>501</v>
      </c>
      <c r="X13" s="90" t="s">
        <v>399</v>
      </c>
      <c r="Y13" s="106" t="s">
        <v>523</v>
      </c>
      <c r="Z13" s="359"/>
      <c r="AA13" s="359"/>
      <c r="AB13" s="437" t="s">
        <v>397</v>
      </c>
      <c r="AC13" s="438" t="s">
        <v>399</v>
      </c>
      <c r="AD13" s="438" t="s">
        <v>200</v>
      </c>
      <c r="AE13" s="438" t="s">
        <v>523</v>
      </c>
      <c r="AF13" s="439" t="s">
        <v>908</v>
      </c>
      <c r="AG13" s="359"/>
      <c r="AH13" s="359"/>
      <c r="AI13" s="437" t="s">
        <v>397</v>
      </c>
      <c r="AJ13" s="438" t="s">
        <v>399</v>
      </c>
      <c r="AK13" s="439" t="s">
        <v>908</v>
      </c>
      <c r="AL13" s="359"/>
      <c r="AM13" s="359"/>
      <c r="AN13" s="359"/>
      <c r="AO13" s="359"/>
      <c r="AP13" s="471" t="s">
        <v>991</v>
      </c>
      <c r="AQ13" s="471"/>
      <c r="AR13" s="471" t="s">
        <v>1042</v>
      </c>
      <c r="AS13" s="359"/>
      <c r="AT13" s="359"/>
      <c r="AU13" s="1632"/>
      <c r="AV13" s="359"/>
      <c r="AW13" s="359"/>
      <c r="AX13" s="359"/>
      <c r="AY13" s="63" t="s">
        <v>905</v>
      </c>
      <c r="AZ13" s="1048" t="s">
        <v>1477</v>
      </c>
      <c r="BA13" s="87" t="s">
        <v>108</v>
      </c>
      <c r="BB13" s="88" t="s">
        <v>82</v>
      </c>
      <c r="BC13" s="89" t="s">
        <v>83</v>
      </c>
      <c r="BD13" s="89" t="s">
        <v>398</v>
      </c>
      <c r="BE13" s="89" t="s">
        <v>501</v>
      </c>
      <c r="BF13" s="366" t="s">
        <v>399</v>
      </c>
      <c r="BG13" s="90" t="s">
        <v>200</v>
      </c>
      <c r="BH13" s="90" t="s">
        <v>935</v>
      </c>
      <c r="BI13" s="1013" t="s">
        <v>1417</v>
      </c>
      <c r="BJ13" s="90" t="s">
        <v>1418</v>
      </c>
      <c r="BK13" s="90" t="s">
        <v>1419</v>
      </c>
      <c r="BL13" s="90" t="s">
        <v>1420</v>
      </c>
      <c r="BM13" s="90" t="s">
        <v>1421</v>
      </c>
      <c r="BN13" s="1018" t="s">
        <v>1422</v>
      </c>
      <c r="BO13" s="1018" t="s">
        <v>216</v>
      </c>
      <c r="BP13" s="90" t="s">
        <v>1413</v>
      </c>
      <c r="BQ13" s="90" t="s">
        <v>202</v>
      </c>
      <c r="BR13" s="1018" t="s">
        <v>1423</v>
      </c>
      <c r="BS13" s="1018" t="s">
        <v>1424</v>
      </c>
      <c r="BT13" s="1018" t="s">
        <v>1416</v>
      </c>
      <c r="BU13" s="359"/>
      <c r="BV13" s="63" t="s">
        <v>905</v>
      </c>
      <c r="BW13" s="1048" t="s">
        <v>1477</v>
      </c>
      <c r="BX13" s="87" t="s">
        <v>108</v>
      </c>
      <c r="BY13" s="88" t="s">
        <v>82</v>
      </c>
      <c r="BZ13" s="89" t="s">
        <v>83</v>
      </c>
      <c r="CA13" s="89" t="s">
        <v>398</v>
      </c>
      <c r="CB13" s="89" t="s">
        <v>501</v>
      </c>
      <c r="CC13" s="90" t="s">
        <v>399</v>
      </c>
      <c r="CD13" s="90" t="s">
        <v>200</v>
      </c>
      <c r="CE13" s="90" t="s">
        <v>935</v>
      </c>
      <c r="CF13" s="1013" t="s">
        <v>1417</v>
      </c>
      <c r="CG13" s="90" t="s">
        <v>1418</v>
      </c>
      <c r="CH13" s="90" t="s">
        <v>1419</v>
      </c>
      <c r="CI13" s="90" t="s">
        <v>1420</v>
      </c>
      <c r="CJ13" s="1018" t="s">
        <v>1421</v>
      </c>
      <c r="CK13" s="1018" t="s">
        <v>1422</v>
      </c>
      <c r="CL13" s="90" t="s">
        <v>216</v>
      </c>
      <c r="CM13" s="90" t="s">
        <v>1413</v>
      </c>
      <c r="CN13" s="90" t="s">
        <v>202</v>
      </c>
      <c r="CO13" s="1018" t="s">
        <v>1423</v>
      </c>
      <c r="CP13" s="1018" t="s">
        <v>1424</v>
      </c>
      <c r="CQ13" s="1018" t="s">
        <v>1416</v>
      </c>
      <c r="CR13" s="359"/>
      <c r="CS13" s="63" t="s">
        <v>905</v>
      </c>
      <c r="CT13" s="1048" t="s">
        <v>1477</v>
      </c>
      <c r="CU13" s="87" t="s">
        <v>108</v>
      </c>
      <c r="CV13" s="88" t="s">
        <v>82</v>
      </c>
      <c r="CW13" s="89" t="s">
        <v>83</v>
      </c>
      <c r="CX13" s="89" t="s">
        <v>398</v>
      </c>
      <c r="CY13" s="89" t="s">
        <v>501</v>
      </c>
      <c r="CZ13" s="90" t="s">
        <v>399</v>
      </c>
      <c r="DA13" s="90" t="s">
        <v>200</v>
      </c>
      <c r="DB13" s="90" t="s">
        <v>935</v>
      </c>
      <c r="DC13" s="90" t="s">
        <v>1417</v>
      </c>
      <c r="DD13" s="90" t="s">
        <v>1418</v>
      </c>
      <c r="DE13" s="90" t="s">
        <v>1419</v>
      </c>
      <c r="DF13" s="90" t="s">
        <v>1420</v>
      </c>
      <c r="DG13" s="1018" t="s">
        <v>1421</v>
      </c>
      <c r="DH13" s="1018" t="s">
        <v>1422</v>
      </c>
      <c r="DI13" s="90" t="s">
        <v>216</v>
      </c>
      <c r="DJ13" s="90" t="s">
        <v>1413</v>
      </c>
      <c r="DK13" s="90" t="s">
        <v>202</v>
      </c>
      <c r="DL13" s="1018" t="s">
        <v>1423</v>
      </c>
      <c r="DM13" s="1018" t="s">
        <v>1424</v>
      </c>
      <c r="DN13" s="1018" t="s">
        <v>1416</v>
      </c>
      <c r="DO13" s="359"/>
      <c r="DP13" s="63" t="s">
        <v>905</v>
      </c>
      <c r="DQ13" s="1048" t="s">
        <v>1477</v>
      </c>
      <c r="DR13" s="87" t="s">
        <v>108</v>
      </c>
      <c r="DS13" s="88" t="s">
        <v>82</v>
      </c>
      <c r="DT13" s="89" t="s">
        <v>83</v>
      </c>
      <c r="DU13" s="89" t="s">
        <v>398</v>
      </c>
      <c r="DV13" s="89" t="s">
        <v>501</v>
      </c>
      <c r="DW13" s="90" t="s">
        <v>399</v>
      </c>
      <c r="DX13" s="90" t="s">
        <v>200</v>
      </c>
      <c r="DY13" s="90" t="s">
        <v>935</v>
      </c>
      <c r="DZ13" s="90" t="s">
        <v>1417</v>
      </c>
      <c r="EA13" s="90" t="s">
        <v>1418</v>
      </c>
      <c r="EB13" s="90" t="s">
        <v>1419</v>
      </c>
      <c r="EC13" s="90" t="s">
        <v>1420</v>
      </c>
      <c r="ED13" s="1018" t="s">
        <v>1421</v>
      </c>
      <c r="EE13" s="1018" t="s">
        <v>1422</v>
      </c>
      <c r="EF13" s="90" t="s">
        <v>216</v>
      </c>
      <c r="EG13" s="90" t="s">
        <v>1413</v>
      </c>
      <c r="EH13" s="90" t="s">
        <v>202</v>
      </c>
      <c r="EI13" s="1018" t="s">
        <v>1423</v>
      </c>
      <c r="EJ13" s="1018" t="s">
        <v>1424</v>
      </c>
      <c r="EK13" s="1018" t="s">
        <v>1416</v>
      </c>
      <c r="EL13" s="359"/>
      <c r="EM13" s="63" t="s">
        <v>905</v>
      </c>
      <c r="EN13" s="1048" t="s">
        <v>1477</v>
      </c>
      <c r="EO13" s="87" t="s">
        <v>108</v>
      </c>
      <c r="EP13" s="88" t="s">
        <v>82</v>
      </c>
      <c r="EQ13" s="89" t="s">
        <v>83</v>
      </c>
      <c r="ER13" s="89" t="s">
        <v>398</v>
      </c>
      <c r="ES13" s="89" t="s">
        <v>501</v>
      </c>
      <c r="ET13" s="90" t="s">
        <v>399</v>
      </c>
      <c r="EU13" s="90" t="s">
        <v>200</v>
      </c>
      <c r="EV13" s="90" t="s">
        <v>935</v>
      </c>
      <c r="EW13" s="90" t="s">
        <v>1417</v>
      </c>
      <c r="EX13" s="90" t="s">
        <v>1418</v>
      </c>
      <c r="EY13" s="90" t="s">
        <v>1419</v>
      </c>
      <c r="EZ13" s="90" t="s">
        <v>1420</v>
      </c>
      <c r="FA13" s="1018" t="s">
        <v>1421</v>
      </c>
      <c r="FB13" s="1018" t="s">
        <v>1422</v>
      </c>
      <c r="FC13" s="90" t="s">
        <v>216</v>
      </c>
      <c r="FD13" s="90" t="s">
        <v>1413</v>
      </c>
      <c r="FE13" s="90" t="s">
        <v>202</v>
      </c>
      <c r="FF13" s="1018" t="s">
        <v>1423</v>
      </c>
      <c r="FG13" s="1018" t="s">
        <v>1424</v>
      </c>
      <c r="FH13" s="1018" t="s">
        <v>1416</v>
      </c>
      <c r="FI13" s="359"/>
      <c r="FJ13" s="63" t="s">
        <v>905</v>
      </c>
      <c r="FK13" s="1048" t="s">
        <v>1477</v>
      </c>
      <c r="FL13" s="87" t="s">
        <v>108</v>
      </c>
      <c r="FM13" s="88" t="s">
        <v>82</v>
      </c>
      <c r="FN13" s="89" t="s">
        <v>83</v>
      </c>
      <c r="FO13" s="89" t="s">
        <v>398</v>
      </c>
      <c r="FP13" s="89" t="s">
        <v>501</v>
      </c>
      <c r="FQ13" s="90" t="s">
        <v>399</v>
      </c>
      <c r="FR13" s="90" t="s">
        <v>200</v>
      </c>
      <c r="FS13" s="90" t="s">
        <v>935</v>
      </c>
      <c r="FT13" s="90" t="s">
        <v>1417</v>
      </c>
      <c r="FU13" s="90" t="s">
        <v>1418</v>
      </c>
      <c r="FV13" s="90" t="s">
        <v>1419</v>
      </c>
      <c r="FW13" s="90" t="s">
        <v>1420</v>
      </c>
      <c r="FX13" s="1018" t="s">
        <v>1421</v>
      </c>
      <c r="FY13" s="1018" t="s">
        <v>1422</v>
      </c>
      <c r="FZ13" s="90" t="s">
        <v>216</v>
      </c>
      <c r="GA13" s="90" t="s">
        <v>1413</v>
      </c>
      <c r="GB13" s="90" t="s">
        <v>202</v>
      </c>
      <c r="GC13" s="1018" t="s">
        <v>1423</v>
      </c>
      <c r="GD13" s="1018" t="s">
        <v>1424</v>
      </c>
      <c r="GE13" s="1018" t="s">
        <v>1416</v>
      </c>
      <c r="GF13" s="359"/>
      <c r="GG13" s="63" t="s">
        <v>905</v>
      </c>
      <c r="GH13" s="1048" t="s">
        <v>1477</v>
      </c>
      <c r="GI13" s="87" t="s">
        <v>108</v>
      </c>
      <c r="GJ13" s="88" t="s">
        <v>82</v>
      </c>
      <c r="GK13" s="89" t="s">
        <v>83</v>
      </c>
      <c r="GL13" s="89" t="s">
        <v>398</v>
      </c>
      <c r="GM13" s="89" t="s">
        <v>501</v>
      </c>
      <c r="GN13" s="90" t="s">
        <v>399</v>
      </c>
      <c r="GO13" s="90" t="s">
        <v>200</v>
      </c>
      <c r="GP13" s="90" t="s">
        <v>935</v>
      </c>
      <c r="GQ13" s="90" t="s">
        <v>1417</v>
      </c>
      <c r="GR13" s="90" t="s">
        <v>1418</v>
      </c>
      <c r="GS13" s="90" t="s">
        <v>1419</v>
      </c>
      <c r="GT13" s="90" t="s">
        <v>1420</v>
      </c>
      <c r="GU13" s="1018" t="s">
        <v>1421</v>
      </c>
      <c r="GV13" s="1018" t="s">
        <v>1422</v>
      </c>
      <c r="GW13" s="90" t="s">
        <v>216</v>
      </c>
      <c r="GX13" s="90" t="s">
        <v>1413</v>
      </c>
      <c r="GY13" s="90" t="s">
        <v>202</v>
      </c>
      <c r="GZ13" s="1018" t="s">
        <v>1423</v>
      </c>
      <c r="HA13" s="1018" t="s">
        <v>1424</v>
      </c>
      <c r="HB13" s="1018" t="s">
        <v>1416</v>
      </c>
      <c r="HC13" s="359"/>
      <c r="HD13" s="63" t="s">
        <v>905</v>
      </c>
      <c r="HE13" s="1048" t="s">
        <v>1477</v>
      </c>
      <c r="HF13" s="87" t="s">
        <v>108</v>
      </c>
      <c r="HG13" s="88" t="s">
        <v>82</v>
      </c>
      <c r="HH13" s="89" t="s">
        <v>83</v>
      </c>
      <c r="HI13" s="89" t="s">
        <v>398</v>
      </c>
      <c r="HJ13" s="89" t="s">
        <v>501</v>
      </c>
      <c r="HK13" s="90" t="s">
        <v>399</v>
      </c>
      <c r="HL13" s="90" t="s">
        <v>200</v>
      </c>
      <c r="HM13" s="90" t="s">
        <v>935</v>
      </c>
      <c r="HN13" s="90" t="s">
        <v>1417</v>
      </c>
      <c r="HO13" s="90" t="s">
        <v>1418</v>
      </c>
      <c r="HP13" s="90" t="s">
        <v>1419</v>
      </c>
      <c r="HQ13" s="90" t="s">
        <v>1420</v>
      </c>
      <c r="HR13" s="1018" t="s">
        <v>1421</v>
      </c>
      <c r="HS13" s="1018" t="s">
        <v>1422</v>
      </c>
      <c r="HT13" s="90" t="s">
        <v>216</v>
      </c>
      <c r="HU13" s="90" t="s">
        <v>1413</v>
      </c>
      <c r="HV13" s="90" t="s">
        <v>202</v>
      </c>
      <c r="HW13" s="1018" t="s">
        <v>1423</v>
      </c>
      <c r="HX13" s="1018" t="s">
        <v>1424</v>
      </c>
      <c r="HY13" s="1018" t="s">
        <v>1416</v>
      </c>
      <c r="HZ13" s="359"/>
      <c r="IA13" s="63" t="s">
        <v>905</v>
      </c>
      <c r="IB13" s="1048" t="s">
        <v>1477</v>
      </c>
      <c r="IC13" s="87" t="s">
        <v>108</v>
      </c>
      <c r="ID13" s="88" t="s">
        <v>82</v>
      </c>
      <c r="IE13" s="89" t="s">
        <v>83</v>
      </c>
      <c r="IF13" s="89" t="s">
        <v>398</v>
      </c>
      <c r="IG13" s="89" t="s">
        <v>501</v>
      </c>
      <c r="IH13" s="366" t="s">
        <v>399</v>
      </c>
      <c r="II13" s="90" t="s">
        <v>200</v>
      </c>
      <c r="IJ13" s="90" t="s">
        <v>935</v>
      </c>
      <c r="IK13" s="90" t="s">
        <v>1417</v>
      </c>
      <c r="IL13" s="90" t="s">
        <v>1418</v>
      </c>
      <c r="IM13" s="90" t="s">
        <v>1419</v>
      </c>
      <c r="IN13" s="90" t="s">
        <v>1420</v>
      </c>
      <c r="IO13" s="1018" t="s">
        <v>1421</v>
      </c>
      <c r="IP13" s="1018" t="s">
        <v>1422</v>
      </c>
      <c r="IQ13" s="90" t="s">
        <v>216</v>
      </c>
      <c r="IR13" s="90" t="s">
        <v>1413</v>
      </c>
      <c r="IS13" s="90" t="s">
        <v>202</v>
      </c>
      <c r="IT13" s="1018" t="s">
        <v>1423</v>
      </c>
      <c r="IU13" s="1018" t="s">
        <v>1424</v>
      </c>
      <c r="IV13" s="1018" t="s">
        <v>1416</v>
      </c>
      <c r="IW13" s="359"/>
      <c r="IX13" s="63" t="s">
        <v>905</v>
      </c>
      <c r="IY13" s="1048" t="s">
        <v>1477</v>
      </c>
      <c r="IZ13" s="87" t="s">
        <v>108</v>
      </c>
      <c r="JA13" s="370" t="s">
        <v>82</v>
      </c>
      <c r="JB13" s="371" t="s">
        <v>83</v>
      </c>
      <c r="JC13" s="371" t="s">
        <v>398</v>
      </c>
      <c r="JD13" s="371" t="s">
        <v>501</v>
      </c>
      <c r="JE13" s="372" t="s">
        <v>399</v>
      </c>
      <c r="JF13" s="373" t="s">
        <v>200</v>
      </c>
      <c r="JG13" s="90" t="s">
        <v>935</v>
      </c>
      <c r="JH13" s="90" t="s">
        <v>1417</v>
      </c>
      <c r="JI13" s="90" t="s">
        <v>1418</v>
      </c>
      <c r="JJ13" s="90" t="s">
        <v>1419</v>
      </c>
      <c r="JK13" s="90" t="s">
        <v>1420</v>
      </c>
      <c r="JL13" s="1018" t="s">
        <v>1421</v>
      </c>
      <c r="JM13" s="1018" t="s">
        <v>1422</v>
      </c>
      <c r="JN13" s="90" t="s">
        <v>216</v>
      </c>
      <c r="JO13" s="90" t="s">
        <v>1413</v>
      </c>
      <c r="JP13" s="90" t="s">
        <v>202</v>
      </c>
      <c r="JQ13" s="1018" t="s">
        <v>1423</v>
      </c>
      <c r="JR13" s="1018" t="s">
        <v>1424</v>
      </c>
      <c r="JS13" s="1018" t="s">
        <v>1416</v>
      </c>
      <c r="JU13" s="87" t="s">
        <v>108</v>
      </c>
      <c r="JV13" s="88" t="s">
        <v>82</v>
      </c>
      <c r="JW13" s="89" t="s">
        <v>83</v>
      </c>
      <c r="JX13" s="89" t="s">
        <v>398</v>
      </c>
      <c r="JY13" s="89" t="s">
        <v>501</v>
      </c>
      <c r="JZ13" s="366" t="s">
        <v>399</v>
      </c>
      <c r="KA13" s="90" t="s">
        <v>200</v>
      </c>
      <c r="KB13" s="359"/>
      <c r="KC13" s="63" t="s">
        <v>905</v>
      </c>
      <c r="KD13" s="87" t="s">
        <v>108</v>
      </c>
      <c r="KE13" s="370" t="s">
        <v>82</v>
      </c>
      <c r="KF13" s="371" t="s">
        <v>83</v>
      </c>
      <c r="KG13" s="371" t="s">
        <v>398</v>
      </c>
      <c r="KH13" s="371" t="s">
        <v>501</v>
      </c>
      <c r="KI13" s="372" t="s">
        <v>399</v>
      </c>
      <c r="KJ13" s="373" t="s">
        <v>200</v>
      </c>
    </row>
    <row r="14" spans="2:296" ht="15.75" thickBot="1" x14ac:dyDescent="0.3">
      <c r="B14" s="99" t="s">
        <v>99</v>
      </c>
      <c r="C14" s="440">
        <f>(BB14+BY14+CV14+DS14+EP14+FM14+GJ14+HG14+ID14+JA14)</f>
        <v>0</v>
      </c>
      <c r="D14" s="456">
        <f>($BC14+$BZ14+$CW14+$DT14+$EQ14+$FN14+$GK14+$HH14+$IE14+$JB14)</f>
        <v>0</v>
      </c>
      <c r="E14" s="456">
        <f>($BD14+$CA14+$CX14+$DU14+$ER14+$FO14+$GL14+$HI14+$IF14+$JC14)</f>
        <v>0</v>
      </c>
      <c r="F14" s="456">
        <f>($BE14+$CB14+$CY14+$DV14+$ES14+$FP14+$GM14+$HJ14+$IG14+$JD14)</f>
        <v>0</v>
      </c>
      <c r="G14" s="457">
        <f>($BF14+$CC14+$CZ14+$DW14+$ET14+$FQ14+$GN14+$HK14+$IH14+$JE14)</f>
        <v>0</v>
      </c>
      <c r="H14" s="456">
        <f>($BG14+$CD14+$DA14+$DX14+$EU14+$FR14+$GO14+$HL14+$II14+$JF14)</f>
        <v>0</v>
      </c>
      <c r="I14" s="1010">
        <f>IFERROR(ROUND(SUM($BB14*BO14+$BY14*CL14+$CV14*DI14+$DS14*EF14+$EP14*FC14+$FM14*FZ14+$GJ14*GW14+$HG14*HT14+$ID14*IQ14+$JA14*JN14)/$C14,2),0)</f>
        <v>0</v>
      </c>
      <c r="J14" s="1010">
        <f t="shared" ref="J14:J33" si="0">IFERROR(ROUND(SUM($BB14*BP14+$BY14*CM14+$CV14*DJ14+$DS14*EG14+$EP14*FD14+$FM14*GA14+$GJ14*GX14+$HG14*HU14+$ID14*IR14+$JA14*JO14)/$C14,2),0)</f>
        <v>0</v>
      </c>
      <c r="K14" s="1010">
        <f>IFERROR(ROUND(SUM($BB14*BQ14+$BY14*CN14+$CV14*DK14+$DS14*EH14+$EP14*FE14+$FM14*GB14+$GJ14*GY14+$HG14*HV14+$ID14*IS14+$JA14*JP14)/$C14,2),0)</f>
        <v>0</v>
      </c>
      <c r="L14" s="456">
        <f t="shared" ref="L14:L33" si="1">IFERROR(SUM(AY14*BB14,BV14*BY14,CS14*CV14,DP14*DS14,EM14*EP14,FJ14*FM14,GG14*GJ14,HD14*HG14,IA14*ID14,IX14*JA14)/C14,0)</f>
        <v>0</v>
      </c>
      <c r="M14" s="456">
        <f>IFERROR(L14/$L$35,0)</f>
        <v>0</v>
      </c>
      <c r="N14" s="1011">
        <f t="shared" ref="N14:N33" si="2">IFERROR(ROUND(SUM($BB14*BT14+$BY14*CQ14+$CV14*DN14+$DS14*EK14+$EP14*FH14+$FM14*GE14+$GJ14*HB14+$HG14*HY14+$ID14*IV14+$JA14*JS14)/$C14,2),0)</f>
        <v>0</v>
      </c>
      <c r="P14" t="str">
        <f>'PIM Model'!E10</f>
        <v>INCLUDE</v>
      </c>
      <c r="Q14">
        <f>IFERROR(T14/$T$35,0)</f>
        <v>0</v>
      </c>
      <c r="R14">
        <f>IF(P14="Include",Q14,0)</f>
        <v>0</v>
      </c>
      <c r="S14" s="99" t="s">
        <v>99</v>
      </c>
      <c r="T14" s="107">
        <f>($BB14+$BY14+$CV14+$DS14+$EP14+$FM14+$GJ14+$HG14+$ID14+$JA14)*(1+($V$1/$V$5))</f>
        <v>0</v>
      </c>
      <c r="U14" s="108">
        <f t="shared" ref="U14:U34" si="3">(BC14+BZ14+CW14+DT14+EQ14+FN14+GK14+HH14+IE14+JB14)*(1+($V$1/$V$5))</f>
        <v>0</v>
      </c>
      <c r="V14" s="108">
        <f t="shared" ref="V14:V34" si="4">(BD14+CA14+CX14+DU14+ER14+FO14+GL14+HI14+IF14+JC14)*(1+($V$1/$V$5))</f>
        <v>0</v>
      </c>
      <c r="W14" s="108">
        <f t="shared" ref="W14:W34" si="5">(BE14+CB14+CY14+DV14+ES14+FP14+GM14+HJ14+IG14+JD14)*(1+($V$1/$V$5))</f>
        <v>0</v>
      </c>
      <c r="X14" s="110">
        <f t="shared" ref="X14:X34" si="6">(BF14+CC14+CZ14+DW14+ET14+FQ14+GN14+HK14+IH14+JE14)*(1+($V$1/$V$5))</f>
        <v>0</v>
      </c>
      <c r="Y14" s="113">
        <f>IFERROR(X14/T14,0)</f>
        <v>0</v>
      </c>
      <c r="Z14" s="365"/>
      <c r="AA14" s="99" t="s">
        <v>99</v>
      </c>
      <c r="AB14" s="440">
        <f t="shared" ref="AB14:AD34" si="7">SUMIFS($BB14:$JF14,$BB$12:$JF$12,AB$12)</f>
        <v>0</v>
      </c>
      <c r="AC14" s="441">
        <f t="shared" si="7"/>
        <v>0</v>
      </c>
      <c r="AD14" s="441">
        <f t="shared" si="7"/>
        <v>0</v>
      </c>
      <c r="AE14" s="442">
        <f>IFERROR(AC14/AB14,0)</f>
        <v>0</v>
      </c>
      <c r="AF14" s="443">
        <f>IFERROR(AD14/AB14,0)</f>
        <v>0</v>
      </c>
      <c r="AG14" s="365"/>
      <c r="AH14" s="99" t="s">
        <v>99</v>
      </c>
      <c r="AI14" s="440">
        <f t="shared" ref="AI14:AI34" si="8">SUMIFS($BB14:$JF14,$BB$12:$JF$12,AI$12)</f>
        <v>0</v>
      </c>
      <c r="AJ14" s="441">
        <f>AN14*AI14</f>
        <v>0</v>
      </c>
      <c r="AK14" s="443"/>
      <c r="AL14" s="365"/>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65">
        <f>VLOOKUP($AH14&amp;$AM14,'IMargin Quartiles'!$A:$F,6,FALSE)</f>
        <v>0.14000000000000001</v>
      </c>
      <c r="AO14" s="365"/>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65">
        <f>$N14</f>
        <v>0</v>
      </c>
      <c r="AR14">
        <f>'PIM Model'!C10</f>
        <v>0</v>
      </c>
      <c r="AS14" s="365"/>
      <c r="AT14" s="365"/>
      <c r="AU14" s="365" t="e">
        <f>IF($AR14="AVG",IFERROR((AC14+AJ14)/(AB14+AI14),AQ14),(AC14+AJ14)/(AB14+AI14))</f>
        <v>#DIV/0!</v>
      </c>
      <c r="AV14" s="365"/>
      <c r="AW14" s="365"/>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361"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67">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1014" t="e">
        <f>_xlfn.CONCAT('Customer Inputs'!$AG$6,"_",BA14)</f>
        <v>#N/A</v>
      </c>
      <c r="BK14" s="1015">
        <f t="array" ref="BK14">IFERROR(INDEX('Margin Guidence Table'!$A$1:$AG$10000,MATCH(1,('Margin Guidence Table'!$A$1:$A$10000=$BJ14)*('Margin Guidence Table'!$I$1:$I$10000&lt;=ROUND($BB$3,0))*('Margin Guidence Table'!$J$1:$J$10000&gt;=ROUND($BB$3,0)),0),MATCH("DATA_POINTS",'Margin Guidence Table'!$A$1:$AG$1,0)),0)</f>
        <v>0</v>
      </c>
      <c r="BL14" s="1012" t="str">
        <f>IF(BK14&gt;15,"SEGMENT","DEFAULT")</f>
        <v>DEFAULT</v>
      </c>
      <c r="BM14" s="1012">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1012">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1016">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1016">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1016">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1016">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1016">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1016">
        <f t="array" ref="BT14">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361"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1012">
        <f>IFERROR(IF(AND($BY$2&lt;&gt;"Enter Spend&gt;&gt;&gt;",$BZ$2="EXISTING"),SUMIFS('Existing Customers'!$S:$S,'Existing Customers'!$H:$H,$BX14,'Existing Customers'!$A:$A,$BY$1),CO14*BY14),0)</f>
        <v>0</v>
      </c>
      <c r="CF14" s="1012">
        <f>IFERROR(IF(AND($BY$2&lt;&gt;"Enter Spend&gt;&gt;&gt;",$BZ$2="EXISTING"),SUMIFS('Existing Customers'!$U:$U,'Existing Customers'!$H:$H,$BX14,'Existing Customers'!$A:$A,$BY$1),CP14*BY14),0)</f>
        <v>0</v>
      </c>
      <c r="CG14" s="1015" t="e">
        <f>_xlfn.CONCAT('Customer Inputs'!$AG$7,"_",BX14)</f>
        <v>#N/A</v>
      </c>
      <c r="CH14" s="1015">
        <f t="array" ref="CH14">IFERROR(INDEX('Margin Guidence Table'!$A$1:$AG$10000,MATCH(1,('Margin Guidence Table'!$A$1:$A$10000=$CG14)*('Margin Guidence Table'!$I$1:$I$10000&lt;=ROUND($BY$3,0))*('Margin Guidence Table'!$J$1:$J$10000&gt;=ROUND($BY$3,0)),0),MATCH("DATA_POINTS",'Margin Guidence Table'!$A$1:$AG$1,0)),0)</f>
        <v>0</v>
      </c>
      <c r="CI14" s="1012" t="str">
        <f>IF(CH14&gt;15,"SEGMENT","DEFAULT")</f>
        <v>DEFAULT</v>
      </c>
      <c r="CJ14" s="1012">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1012">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1016">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1016">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1016">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1016">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1016">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1016">
        <f t="array" ref="CQ14">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361"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1012">
        <f>IFERROR(IF(AND($CV$2&lt;&gt;"Enter Spend&gt;&gt;&gt;",$CW$2="EXISTING"),SUMIFS('Existing Customers'!$S:$S,'Existing Customers'!$H:$H,$CU14,'Existing Customers'!$A:$A,$CV$1),DL14*CV14),0)</f>
        <v>0</v>
      </c>
      <c r="DC14" s="1012">
        <f>IFERROR(IF(AND($CV$2&lt;&gt;"Enter Spend&gt;&gt;&gt;",$CW$2="EXISTING"),SUMIFS('Existing Customers'!$U:$U,'Existing Customers'!$H:$H,$CU14,'Existing Customers'!$A:$A,$CV$1),DM14*CV14),0)</f>
        <v>0</v>
      </c>
      <c r="DD14" s="1015" t="e">
        <f>_xlfn.CONCAT('Customer Inputs'!$AG$8,"_",CU14)</f>
        <v>#N/A</v>
      </c>
      <c r="DE14" s="1015">
        <f t="array" ref="DE14">IFERROR(INDEX('Margin Guidence Table'!$A$1:$AG$10000,MATCH(1,('Margin Guidence Table'!$A$1:$A$10000=DD14)*('Margin Guidence Table'!$I$1:$I$10000&lt;=ROUND($CV$3,0))*('Margin Guidence Table'!$J$1:$J$10000&gt;=ROUND($CV$3,0)),0),MATCH("DATA_POINTS",'Margin Guidence Table'!$A$1:$AG$1,0)),0)</f>
        <v>0</v>
      </c>
      <c r="DF14" s="1012" t="str">
        <f>IF(DE14&gt;15,"SEGMENT","DEFAULT")</f>
        <v>DEFAULT</v>
      </c>
      <c r="DG14" s="1012">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1012">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1016">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1016">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1016">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1016">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1016">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1016">
        <f t="array" ref="DN14">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361"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1012">
        <f>IFERROR(IF(AND($DS$2&lt;&gt;"Enter Spend&gt;&gt;&gt;",$DT$2="EXISTING"),SUMIFS('Existing Customers'!$S:$S,'Existing Customers'!$H:$H,$DT14,'Existing Customers'!$A:$A,$DS$1),EI14*DS14),0)</f>
        <v>0</v>
      </c>
      <c r="DZ14" s="1012">
        <f>IFERROR(IF(AND($DS$2&lt;&gt;"Enter Spend&gt;&gt;&gt;",$DT$2="EXISTING"),SUMIFS('Existing Customers'!$U:$U,'Existing Customers'!$H:$H,$DR14,'Existing Customers'!$A:$A,$DS$1),EJ14*DS14),0)</f>
        <v>0</v>
      </c>
      <c r="EA14" s="1015" t="e">
        <f>_xlfn.CONCAT('Customer Inputs'!$AG$9,"_",DR14)</f>
        <v>#N/A</v>
      </c>
      <c r="EB14" s="1015">
        <f t="array" ref="EB14">IFERROR(INDEX('Margin Guidence Table'!$A$1:$AG$10000,MATCH(1,('Margin Guidence Table'!$A$1:$A$10000=EA14)*('Margin Guidence Table'!$I$1:$I$10000&lt;=ROUND($DS$3,0))*('Margin Guidence Table'!$J$1:$J$10000&gt;=ROUND($DS$3,0)),0),MATCH("DATA_POINTS",'Margin Guidence Table'!$A$1:$AG$1,0)),0)</f>
        <v>0</v>
      </c>
      <c r="EC14" s="1012" t="str">
        <f>IF(EB14&gt;15,"SEGMENT","DEFAULT")</f>
        <v>DEFAULT</v>
      </c>
      <c r="ED14" s="1012">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1012">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1016">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1016">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1016">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1016">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1016">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1016">
        <f t="array" ref="EK14">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361"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1012">
        <f>IFERROR(IF(AND($EP$2&lt;&gt;"Enter Spend&gt;&gt;&gt;",$EQ$2="EXISTING"),SUMIFS('Existing Customers'!$S:$S,'Existing Customers'!$H:$H,$EO14,'Existing Customers'!$A:$A,$EP$1),FF14*EP14),0)</f>
        <v>0</v>
      </c>
      <c r="EW14" s="1012">
        <f>IFERROR(IF(AND($EP$2&lt;&gt;"Enter Spend&gt;&gt;&gt;",$EQ$2="EXISTING"),SUMIFS('Existing Customers'!$U:$U,'Existing Customers'!$H:$H,$EO14,'Existing Customers'!$A:$A,$EP$1),FG14*EP14),0)</f>
        <v>0</v>
      </c>
      <c r="EX14" s="1015" t="e">
        <f>_xlfn.CONCAT('Customer Inputs'!$AG$10,"_",EO14)</f>
        <v>#N/A</v>
      </c>
      <c r="EY14" s="1015">
        <f t="array" ref="EY14">IFERROR(INDEX('Margin Guidence Table'!$A$1:$AG$10000,MATCH(1,('Margin Guidence Table'!$A$1:$A$10000=EX14)*('Margin Guidence Table'!$I$1:$I$10000&lt;=ROUND($EP$3,0))*('Margin Guidence Table'!$J$1:$J$10000&gt;=ROUND($EP$3,0)),0),MATCH("DATA_POINTS",'Margin Guidence Table'!$A$1:$AG$1,0)),0)</f>
        <v>0</v>
      </c>
      <c r="EZ14" s="1012" t="str">
        <f>IF(EY14&gt;15,"SEGMENT","DEFAULT")</f>
        <v>DEFAULT</v>
      </c>
      <c r="FA14" s="1012">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1012"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1016">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1016">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1016">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1016">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1016">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1016">
        <f t="array" ref="FH14">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361"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1012">
        <f>IFERROR(IF(AND($FM$2&lt;&gt;"Enter Spend&gt;&gt;&gt;",$FN$2="EXISTING"),SUMIFS('Existing Customers'!$S:$S,'Existing Customers'!$H:$H,$FL14,'Existing Customers'!$A:$A,$FM$1),GC14*FM14),0)</f>
        <v>0</v>
      </c>
      <c r="FT14" s="1012">
        <f>IFERROR(IF(AND($FM$2&lt;&gt;"Enter Spend&gt;&gt;&gt;",$FN$2="EXISTING"),SUMIFS('Existing Customers'!$U:$U,'Existing Customers'!$H:$H,$FL14,'Existing Customers'!$A:$A,$FM$1),GD14*FM14),0)</f>
        <v>0</v>
      </c>
      <c r="FU14" s="1015" t="e">
        <f>_xlfn.CONCAT('Customer Inputs'!$AG$11,"_",FL14)</f>
        <v>#N/A</v>
      </c>
      <c r="FV14" s="1015">
        <f t="array" ref="FV14">IFERROR(INDEX('Margin Guidence Table'!$A$1:$AG$10000,MATCH(1,('Margin Guidence Table'!$A$1:$A$10000=FU14)*('Margin Guidence Table'!$I$1:$I$10000&lt;=ROUND($FM$3,0))*('Margin Guidence Table'!$J$1:$J$10000&gt;=ROUND($FM$3,0)),0),MATCH("DATA_POINTS",'Margin Guidence Table'!$A$1:$AG$1,0)),0)</f>
        <v>0</v>
      </c>
      <c r="FW14" s="1012" t="str">
        <f>IF(FV14&gt;15,"SEGMENT","DEFAULT")</f>
        <v>DEFAULT</v>
      </c>
      <c r="FX14" s="1012">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1012">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1016">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1016">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1016">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1016">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1016">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1016">
        <f t="array" ref="GE14">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361"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1012">
        <f>IFERROR(IF(AND($GJ$2&lt;&gt;"Enter Spend&gt;&gt;&gt;",$GK$2="EXISTING"),SUMIFS('Existing Customers'!$S:$S,'Existing Customers'!$H:$H,$GI14,'Existing Customers'!$A:$A,$GJ$1),GZ14*GJ14),0)</f>
        <v>0</v>
      </c>
      <c r="GQ14" s="1012">
        <f>IFERROR(IF(AND($GJ$2&lt;&gt;"Enter Spend&gt;&gt;&gt;",$GK$2="EXISTING"),SUMIFS('Existing Customers'!$U:$U,'Existing Customers'!$H:$H,$GI14,'Existing Customers'!$A:$A,$GJ$1),HA14*GJ14),0)</f>
        <v>0</v>
      </c>
      <c r="GR14" s="1015" t="e">
        <f>_xlfn.CONCAT('Customer Inputs'!$AG$12,"_",GI14)</f>
        <v>#N/A</v>
      </c>
      <c r="GS14" s="1015">
        <f t="array" ref="GS14">IFERROR(INDEX('Margin Guidence Table'!$A$1:$AG$10000,MATCH(1,('Margin Guidence Table'!$A$1:$A$10000=GR14)*('Margin Guidence Table'!$I$1:$I$10000&lt;=ROUND($GJ$3,0))*('Margin Guidence Table'!$J$1:$J$10000&gt;=ROUND($GJ$3,0)),0),MATCH("DATA_POINTS",'Margin Guidence Table'!$A$1:$AG$1,0)),0)</f>
        <v>0</v>
      </c>
      <c r="GT14" s="1012" t="str">
        <f>IF(GS14&gt;15,"SEGMENT","DEFAULT")</f>
        <v>DEFAULT</v>
      </c>
      <c r="GU14" s="1012">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1012">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1016">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1016">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1016">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1016">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1016">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1016">
        <f t="array" ref="HB14">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361"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1012">
        <f>IFERROR(IF(AND($HG$2&lt;&gt;"Enter Spend&gt;&gt;&gt;",$HH$2="EXISTING"),SUMIFS('Existing Customers'!$S:$S,'Existing Customers'!$H:$H,$HF14,'Existing Customers'!$A:$A,$HG$1),HW14*HG14),0)</f>
        <v>0</v>
      </c>
      <c r="HN14" s="1012">
        <f>IFERROR(IF(AND($HG$2&lt;&gt;"Enter Spend&gt;&gt;&gt;",$HH$2="EXISTING"),SUMIFS('Existing Customers'!$U:$U,'Existing Customers'!$H:$H,$HF14,'Existing Customers'!$A:$A,$HG$1),HX14*HG14),0)</f>
        <v>0</v>
      </c>
      <c r="HO14" s="1015" t="e">
        <f>_xlfn.CONCAT('Customer Inputs'!$AG$13,"_",HF14)</f>
        <v>#N/A</v>
      </c>
      <c r="HP14" s="1015">
        <f t="array" ref="HP14">IFERROR(INDEX('Margin Guidence Table'!$A$1:$AG$10000,MATCH(1,('Margin Guidence Table'!$A$1:$A$10000=HO14)*('Margin Guidence Table'!$I$1:$I$10000&lt;=ROUND($HG$3,0))*('Margin Guidence Table'!$J$1:$J$10000&gt;=ROUND($HG$3,0)),0),MATCH("DATA_POINTS",'Margin Guidence Table'!$A$1:$AG$1,0)),0)</f>
        <v>0</v>
      </c>
      <c r="HQ14" s="1012" t="str">
        <f>IF(HP14&gt;15,"SEGMENT","DEFAULT")</f>
        <v>DEFAULT</v>
      </c>
      <c r="HR14" s="1012">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1012">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1016">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1016">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1016">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1016">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1016">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1016">
        <f t="array" ref="HY14">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361"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67">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1012">
        <f>IFERROR(IF(AND($ID$2&lt;&gt;"Enter Spend&gt;&gt;&gt;",$IE$2="EXISTING"),SUMIFS('Existing Customers'!$S:$S,'Existing Customers'!$H:$H,$IC14,'Existing Customers'!$A:$A,$ID$1),IT14*ID14),0)</f>
        <v>0</v>
      </c>
      <c r="IK14" s="1012">
        <f>IFERROR(IF(AND($ID$2&lt;&gt;"Enter Spend&gt;&gt;&gt;",$IE$2="EXISTING"),SUMIFS('Existing Customers'!$U:$U,'Existing Customers'!$H:$H,$IC14,'Existing Customers'!$A:$A,$ID$1),IU14*ID14),0)</f>
        <v>0</v>
      </c>
      <c r="IL14" s="1015" t="e">
        <f>_xlfn.CONCAT('Customer Inputs'!$AG$14,"_",IC14)</f>
        <v>#N/A</v>
      </c>
      <c r="IM14" s="1015">
        <f t="array" ref="IM14">IFERROR(INDEX('Margin Guidence Table'!$A$1:$AG$10000,MATCH(1,('Margin Guidence Table'!$A$1:$A$10000=IL14)*('Margin Guidence Table'!$I$1:$I$10000&lt;=ROUND($ID$3,0))*('Margin Guidence Table'!$J$1:$J$10000&gt;=ROUND($ID$3,0)),0),MATCH("DATA_POINTS",'Margin Guidence Table'!$A$1:$AG$1,0)),0)</f>
        <v>0</v>
      </c>
      <c r="IN14" s="1012" t="str">
        <f>IF(IM14&gt;15,"SEGMENT","DEFAULT")</f>
        <v>DEFAULT</v>
      </c>
      <c r="IO14" s="1012">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1012">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1016">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1016">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1016">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1016">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1016">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1016">
        <f t="array" ref="IV14">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361"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67">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1012">
        <f>IFERROR(IF(AND($JA$2&lt;&gt;"Enter Spend&gt;&gt;&gt;",$JB$2="EXISTING"),SUMIFS('Existing Customers'!$S:$S,'Existing Customers'!$H:$H,$IZ14,'Existing Customers'!$A:$A,$JA$1),JQ14*JA14),0)</f>
        <v>0</v>
      </c>
      <c r="JH14" s="1012">
        <f>IFERROR(IF(AND($JA$2&lt;&gt;"Enter Spend&gt;&gt;&gt;",$JB$2="EXISTING"),SUMIFS('Existing Customers'!$U:$U,'Existing Customers'!$H:$H,$IZ14,'Existing Customers'!$A:$A,$JA$1),JR14*JA14),0)</f>
        <v>0</v>
      </c>
      <c r="JI14" s="1015" t="e">
        <f>_xlfn.CONCAT('Customer Inputs'!$AG$15,"_",IZ14)</f>
        <v>#N/A</v>
      </c>
      <c r="JJ14" s="1015">
        <f t="array" ref="JJ14">IFERROR(INDEX('Margin Guidence Table'!$A$1:$AG$10000,MATCH(1,('Margin Guidence Table'!$A$1:$A$10000=JI14)*('Margin Guidence Table'!$I$1:$I$10000&lt;=ROUND($JA$3,0))*('Margin Guidence Table'!$J$1:$J$10000&gt;=ROUND($JA$3,0)),0),MATCH("DATA_POINTS",'Margin Guidence Table'!$A$1:$AG$1,0)),0)</f>
        <v>0</v>
      </c>
      <c r="JK14" s="1012" t="str">
        <f>IF(JJ14&gt;15,"SEGMENT","DEFAULT")</f>
        <v>DEFAULT</v>
      </c>
      <c r="JL14" s="1012">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1012">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1016">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1016">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1016">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1016">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1016">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1016">
        <f t="array" ref="JS14">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67"/>
      <c r="KA14" s="93"/>
      <c r="KB14" s="126"/>
      <c r="KD14" s="99" t="s">
        <v>99</v>
      </c>
      <c r="KE14" s="91"/>
      <c r="KF14" s="86"/>
      <c r="KG14" s="92"/>
      <c r="KH14" s="92"/>
      <c r="KI14" s="367"/>
      <c r="KJ14" s="93"/>
    </row>
    <row r="15" spans="2:296" ht="15.75" thickBot="1" x14ac:dyDescent="0.3">
      <c r="B15" s="99" t="s">
        <v>103</v>
      </c>
      <c r="C15" s="440">
        <f t="shared" ref="C15:C34" si="9">($BB15+$BY15+$CV15+$DS15+$EP15+$FM15+$GJ15+$HG15+$ID15+$JA15)</f>
        <v>0</v>
      </c>
      <c r="D15" s="456">
        <f t="shared" ref="D15:D34" si="10">($BC15+$BZ15+$CW15+$DT15+$EQ15+$FN15+$GK15+$HH15+$IE15+$JB15)</f>
        <v>0</v>
      </c>
      <c r="E15" s="456">
        <f t="shared" ref="E15:E34" si="11">($BD15+$CA15+$CX15+$DU15+$ER15+$FO15+$GL15+$HI15+$IF15+$JC15)</f>
        <v>0</v>
      </c>
      <c r="F15" s="456">
        <f t="shared" ref="F15:F34" si="12">($BE15+$CB15+$CY15+$DV15+$ES15+$FP15+$GM15+$HJ15+$IG15+$JD15)</f>
        <v>0</v>
      </c>
      <c r="G15" s="457">
        <f t="shared" ref="G15:G34" si="13">($BF15+$CC15+$CZ15+$DW15+$ET15+$FQ15+$GN15+$HK15+$IH15+$JE15)</f>
        <v>0</v>
      </c>
      <c r="H15" s="456">
        <f t="shared" ref="H15:H34" si="14">($BG15+$CD15+$DA15+$DX15+$EU15+$FR15+$GO15+$HL15+$II15+$JF15)</f>
        <v>0</v>
      </c>
      <c r="I15" s="1010">
        <f t="shared" ref="I15:I35" si="15">IFERROR(ROUND(SUM($BB15*BO15+$BY15*CL15+$CV15*DI15+$DS15*EF15+$EP15*FC15+$FM15*FZ15+$GJ15*GW15+$HG15*HT15+$ID15*IQ15+$JA15*JN15)/$C15,2),0)</f>
        <v>0</v>
      </c>
      <c r="J15" s="1010">
        <f t="shared" si="0"/>
        <v>0</v>
      </c>
      <c r="K15" s="1010">
        <f t="shared" ref="K15:K35" si="16">IFERROR(ROUND(SUM($BB15*BQ15+$BY15*CN15+$CV15*DK15+$DS15*EH15+$EP15*FE15+$FM15*GB15+$GJ15*GY15+$HG15*HV15+$ID15*IS15+$JA15*JP15)/$C15,2),0)</f>
        <v>0</v>
      </c>
      <c r="L15" s="456">
        <f t="shared" si="1"/>
        <v>0</v>
      </c>
      <c r="M15" s="456">
        <f t="shared" ref="M15:M35" si="17">IFERROR(L15/$L$35,0)</f>
        <v>0</v>
      </c>
      <c r="N15" s="1011">
        <f t="shared" si="2"/>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3"/>
        <v>0</v>
      </c>
      <c r="V15" s="86">
        <f t="shared" si="4"/>
        <v>0</v>
      </c>
      <c r="W15" s="86">
        <f t="shared" si="5"/>
        <v>0</v>
      </c>
      <c r="X15" s="111">
        <f t="shared" si="6"/>
        <v>0</v>
      </c>
      <c r="Y15" s="114">
        <f t="shared" ref="Y15:Y34" si="21">IFERROR(X15/T15,0)</f>
        <v>0</v>
      </c>
      <c r="Z15" s="365"/>
      <c r="AA15" s="99" t="s">
        <v>103</v>
      </c>
      <c r="AB15" s="444">
        <f t="shared" si="7"/>
        <v>0</v>
      </c>
      <c r="AC15" s="445">
        <f t="shared" si="7"/>
        <v>0</v>
      </c>
      <c r="AD15" s="445">
        <f t="shared" si="7"/>
        <v>0</v>
      </c>
      <c r="AE15" s="446">
        <f t="shared" ref="AE15:AE34" si="22">IFERROR(AC15/AB15,0)</f>
        <v>0</v>
      </c>
      <c r="AF15" s="447">
        <f t="shared" ref="AF15:AF34" si="23">IFERROR(AD15/AB15,0)</f>
        <v>0</v>
      </c>
      <c r="AG15" s="365"/>
      <c r="AH15" s="99" t="s">
        <v>103</v>
      </c>
      <c r="AI15" s="444">
        <f t="shared" si="8"/>
        <v>0</v>
      </c>
      <c r="AJ15" s="441">
        <f t="shared" ref="AJ15:AJ34" si="24">AN15*AI15</f>
        <v>0</v>
      </c>
      <c r="AK15" s="447"/>
      <c r="AL15" s="365"/>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65">
        <f>VLOOKUP($AH15&amp;$AM15,'IMargin Quartiles'!$A:$F,6,FALSE)</f>
        <v>0.1</v>
      </c>
      <c r="AO15" s="365"/>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65">
        <f t="shared" ref="AQ15:AQ34" si="25">$N15</f>
        <v>0</v>
      </c>
      <c r="AR15">
        <f>'PIM Model'!C11</f>
        <v>0</v>
      </c>
      <c r="AS15" s="365"/>
      <c r="AT15" s="365"/>
      <c r="AU15" s="365" t="e">
        <f>IF($AR15="AVG",IFERROR((AC15+AJ15)/(AB15+AI15),AQ15),(AC15+AJ15)/(AB15+AI15))</f>
        <v>#DIV/0!</v>
      </c>
      <c r="AV15" s="365"/>
      <c r="AW15" s="365"/>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361"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67">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1014" t="e">
        <f>_xlfn.CONCAT('Customer Inputs'!$AG$6,"_",BA15)</f>
        <v>#N/A</v>
      </c>
      <c r="BK15" s="1015">
        <f t="array" ref="BK15">IFERROR(INDEX('Margin Guidence Table'!$A$1:$AG$10000,MATCH(1,('Margin Guidence Table'!$A$1:$A$10000=$BJ15)*('Margin Guidence Table'!$I$1:$I$10000&lt;=ROUND($BB$3,0))*('Margin Guidence Table'!$J$1:$J$10000&gt;=ROUND($BB$3,0)),0),MATCH("DATA_POINTS",'Margin Guidence Table'!$A$1:$AG$1,0)),0)</f>
        <v>0</v>
      </c>
      <c r="BL15" s="1012" t="str">
        <f t="shared" ref="BL15:BL34" si="27">IF(BK15&gt;15,"SEGMENT","DEFAULT")</f>
        <v>DEFAULT</v>
      </c>
      <c r="BM15" s="1012">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1012">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1016">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1016">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1016">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1016">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1016">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1016">
        <f t="array" ref="BT15">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361"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1012">
        <f>IFERROR(IF(AND($BY$2&lt;&gt;"Enter Spend&gt;&gt;&gt;",$BZ$2="EXISTING"),SUMIFS('Existing Customers'!$S:$S,'Existing Customers'!$H:$H,$BX15,'Existing Customers'!$A:$A,$BY$1),CO15*BY15),0)</f>
        <v>0</v>
      </c>
      <c r="CF15" s="1012">
        <f>IFERROR(IF(AND($BY$2&lt;&gt;"Enter Spend&gt;&gt;&gt;",$BZ$2="EXISTING"),SUMIFS('Existing Customers'!$U:$U,'Existing Customers'!$H:$H,$BX15,'Existing Customers'!$A:$A,$BY$1),CP15*BY15),0)</f>
        <v>0</v>
      </c>
      <c r="CG15" s="1015" t="e">
        <f>_xlfn.CONCAT('Customer Inputs'!$AG$7,"_",BX15)</f>
        <v>#N/A</v>
      </c>
      <c r="CH15" s="1015">
        <f t="array" ref="CH15">IFERROR(INDEX('Margin Guidence Table'!$A$1:$AG$10000,MATCH(1,('Margin Guidence Table'!$A$1:$A$10000=$CG15)*('Margin Guidence Table'!$I$1:$I$10000&lt;=ROUND($BY$3,0))*('Margin Guidence Table'!$J$1:$J$10000&gt;=ROUND($BY$3,0)),0),MATCH("DATA_POINTS",'Margin Guidence Table'!$A$1:$AG$1,0)),0)</f>
        <v>0</v>
      </c>
      <c r="CI15" s="1012" t="str">
        <f t="shared" ref="CI15:CI34" si="29">IF(CH15&gt;15,"SEGMENT","DEFAULT")</f>
        <v>DEFAULT</v>
      </c>
      <c r="CJ15" s="1012">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1012">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1016">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1016">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1016">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1016">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1016">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1016">
        <f t="array" ref="CQ15">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361"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1012">
        <f>IFERROR(IF(AND($CV$2&lt;&gt;"Enter Spend&gt;&gt;&gt;",$CW$2="EXISTING"),SUMIFS('Existing Customers'!$S:$S,'Existing Customers'!$H:$H,$CU15,'Existing Customers'!$A:$A,$CV$1),DL15*CV15),0)</f>
        <v>0</v>
      </c>
      <c r="DC15" s="1012">
        <f>IFERROR(IF(AND($CV$2&lt;&gt;"Enter Spend&gt;&gt;&gt;",$CW$2="EXISTING"),SUMIFS('Existing Customers'!$U:$U,'Existing Customers'!$H:$H,$CU15,'Existing Customers'!$A:$A,$CV$1),DM15*CV15),0)</f>
        <v>0</v>
      </c>
      <c r="DD15" s="1015" t="e">
        <f>_xlfn.CONCAT('Customer Inputs'!$AG$8,"_",CU15)</f>
        <v>#N/A</v>
      </c>
      <c r="DE15" s="1015">
        <f t="array" ref="DE15">IFERROR(INDEX('Margin Guidence Table'!$A$1:$AG$10000,MATCH(1,('Margin Guidence Table'!$A$1:$A$10000=DD15)*('Margin Guidence Table'!$I$1:$I$10000&lt;=ROUND($CV$3,0))*('Margin Guidence Table'!$J$1:$J$10000&gt;=ROUND($CV$3,0)),0),MATCH("DATA_POINTS",'Margin Guidence Table'!$A$1:$AG$1,0)),0)</f>
        <v>0</v>
      </c>
      <c r="DF15" s="1012" t="str">
        <f t="shared" ref="DF15:DF34" si="31">IF(DE15&gt;15,"SEGMENT","DEFAULT")</f>
        <v>DEFAULT</v>
      </c>
      <c r="DG15" s="1012">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1012">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1016">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1016">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1016">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1016">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1016">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1016">
        <f t="array" ref="DN15">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361"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1012">
        <f>IFERROR(IF(AND($DS$2&lt;&gt;"Enter Spend&gt;&gt;&gt;",$DT$2="EXISTING"),SUMIFS('Existing Customers'!$S:$S,'Existing Customers'!$H:$H,$DT15,'Existing Customers'!$A:$A,$DS$1),EI15*DS15),0)</f>
        <v>0</v>
      </c>
      <c r="DZ15" s="1012">
        <f>IFERROR(IF(AND($DS$2&lt;&gt;"Enter Spend&gt;&gt;&gt;",$DT$2="EXISTING"),SUMIFS('Existing Customers'!$U:$U,'Existing Customers'!$H:$H,$DR15,'Existing Customers'!$A:$A,$DS$1),EJ15*DS15),0)</f>
        <v>0</v>
      </c>
      <c r="EA15" s="1015" t="e">
        <f>_xlfn.CONCAT('Customer Inputs'!$AG$9,"_",DR15)</f>
        <v>#N/A</v>
      </c>
      <c r="EB15" s="1015">
        <f t="array" ref="EB15">IFERROR(INDEX('Margin Guidence Table'!$A$1:$AG$10000,MATCH(1,('Margin Guidence Table'!$A$1:$A$10000=EA15)*('Margin Guidence Table'!$I$1:$I$10000&lt;=ROUND($DS$3,0))*('Margin Guidence Table'!$J$1:$J$10000&gt;=ROUND($DS$3,0)),0),MATCH("DATA_POINTS",'Margin Guidence Table'!$A$1:$AG$1,0)),0)</f>
        <v>0</v>
      </c>
      <c r="EC15" s="1012" t="str">
        <f t="shared" ref="EC15:EC34" si="33">IF(EB15&gt;15,"SEGMENT","DEFAULT")</f>
        <v>DEFAULT</v>
      </c>
      <c r="ED15" s="1012">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1012">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1016">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1016">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1016">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1016">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1016">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1016">
        <f t="array" ref="EK15">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361"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1012">
        <f>IFERROR(IF(AND($EP$2&lt;&gt;"Enter Spend&gt;&gt;&gt;",$EQ$2="EXISTING"),SUMIFS('Existing Customers'!$S:$S,'Existing Customers'!$H:$H,$EO15,'Existing Customers'!$A:$A,$EP$1),FF15*EP15),0)</f>
        <v>0</v>
      </c>
      <c r="EW15" s="1012">
        <f>IFERROR(IF(AND($EP$2&lt;&gt;"Enter Spend&gt;&gt;&gt;",$EQ$2="EXISTING"),SUMIFS('Existing Customers'!$U:$U,'Existing Customers'!$H:$H,$EO15,'Existing Customers'!$A:$A,$EP$1),FG15*EP15),0)</f>
        <v>0</v>
      </c>
      <c r="EX15" s="1015" t="e">
        <f>_xlfn.CONCAT('Customer Inputs'!$AG$10,"_",EO15)</f>
        <v>#N/A</v>
      </c>
      <c r="EY15" s="1015">
        <f t="array" ref="EY15">IFERROR(INDEX('Margin Guidence Table'!$A$1:$AG$10000,MATCH(1,('Margin Guidence Table'!$A$1:$A$10000=EX15)*('Margin Guidence Table'!$I$1:$I$10000&lt;=ROUND($EP$3,0))*('Margin Guidence Table'!$J$1:$J$10000&gt;=ROUND($EP$3,0)),0),MATCH("DATA_POINTS",'Margin Guidence Table'!$A$1:$AG$1,0)),0)</f>
        <v>0</v>
      </c>
      <c r="EZ15" s="1012" t="str">
        <f t="shared" ref="EZ15:EZ34" si="35">IF(EY15&gt;15,"SEGMENT","DEFAULT")</f>
        <v>DEFAULT</v>
      </c>
      <c r="FA15" s="1012">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1012"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1016">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1016">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1016">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1016">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1016">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1016">
        <f t="array" ref="FH15">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361"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1012">
        <f>IFERROR(IF(AND($FM$2&lt;&gt;"Enter Spend&gt;&gt;&gt;",$FN$2="EXISTING"),SUMIFS('Existing Customers'!$S:$S,'Existing Customers'!$H:$H,$FL15,'Existing Customers'!$A:$A,$FM$1),GC15*FM15),0)</f>
        <v>0</v>
      </c>
      <c r="FT15" s="1012">
        <f>IFERROR(IF(AND($FM$2&lt;&gt;"Enter Spend&gt;&gt;&gt;",$FN$2="EXISTING"),SUMIFS('Existing Customers'!$U:$U,'Existing Customers'!$H:$H,$FL15,'Existing Customers'!$A:$A,$FM$1),GD15*FM15),0)</f>
        <v>0</v>
      </c>
      <c r="FU15" s="1015" t="e">
        <f>_xlfn.CONCAT('Customer Inputs'!$AG$11,"_",FL15)</f>
        <v>#N/A</v>
      </c>
      <c r="FV15" s="1015">
        <f t="array" ref="FV15">IFERROR(INDEX('Margin Guidence Table'!$A$1:$AG$10000,MATCH(1,('Margin Guidence Table'!$A$1:$A$10000=FU15)*('Margin Guidence Table'!$I$1:$I$10000&lt;=ROUND($FM$3,0))*('Margin Guidence Table'!$J$1:$J$10000&gt;=ROUND($FM$3,0)),0),MATCH("DATA_POINTS",'Margin Guidence Table'!$A$1:$AG$1,0)),0)</f>
        <v>0</v>
      </c>
      <c r="FW15" s="1012" t="str">
        <f t="shared" ref="FW15:FW34" si="37">IF(FV15&gt;15,"SEGMENT","DEFAULT")</f>
        <v>DEFAULT</v>
      </c>
      <c r="FX15" s="1012">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1012">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1016">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1016">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1016">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1016">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1016">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1016">
        <f t="array" ref="GE15">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361"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1012">
        <f>IFERROR(IF(AND($GJ$2&lt;&gt;"Enter Spend&gt;&gt;&gt;",$GK$2="EXISTING"),SUMIFS('Existing Customers'!$S:$S,'Existing Customers'!$H:$H,$GI15,'Existing Customers'!$A:$A,$GJ$1),GZ15*GJ15),0)</f>
        <v>0</v>
      </c>
      <c r="GQ15" s="1012">
        <f>IFERROR(IF(AND($GJ$2&lt;&gt;"Enter Spend&gt;&gt;&gt;",$GK$2="EXISTING"),SUMIFS('Existing Customers'!$U:$U,'Existing Customers'!$H:$H,$GI15,'Existing Customers'!$A:$A,$GJ$1),HA15*GJ15),0)</f>
        <v>0</v>
      </c>
      <c r="GR15" s="1015" t="e">
        <f>_xlfn.CONCAT('Customer Inputs'!$AG$12,"_",GI15)</f>
        <v>#N/A</v>
      </c>
      <c r="GS15" s="1015">
        <f t="array" ref="GS15">IFERROR(INDEX('Margin Guidence Table'!$A$1:$AG$10000,MATCH(1,('Margin Guidence Table'!$A$1:$A$10000=GR15)*('Margin Guidence Table'!$I$1:$I$10000&lt;=ROUND($GJ$3,0))*('Margin Guidence Table'!$J$1:$J$10000&gt;=ROUND($GJ$3,0)),0),MATCH("DATA_POINTS",'Margin Guidence Table'!$A$1:$AG$1,0)),0)</f>
        <v>0</v>
      </c>
      <c r="GT15" s="1012" t="str">
        <f t="shared" ref="GT15:GT34" si="39">IF(GS15&gt;15,"SEGMENT","DEFAULT")</f>
        <v>DEFAULT</v>
      </c>
      <c r="GU15" s="1012">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1012">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1016">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1016">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1016">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1016">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1016">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1016">
        <f t="array" ref="HB15">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361"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1012">
        <f>IFERROR(IF(AND($HG$2&lt;&gt;"Enter Spend&gt;&gt;&gt;",$HH$2="EXISTING"),SUMIFS('Existing Customers'!$S:$S,'Existing Customers'!$H:$H,$HF15,'Existing Customers'!$A:$A,$HG$1),HW15*HG15),0)</f>
        <v>0</v>
      </c>
      <c r="HN15" s="1012">
        <f>IFERROR(IF(AND($HG$2&lt;&gt;"Enter Spend&gt;&gt;&gt;",$HH$2="EXISTING"),SUMIFS('Existing Customers'!$U:$U,'Existing Customers'!$H:$H,$HF15,'Existing Customers'!$A:$A,$HG$1),HX15*HG15),0)</f>
        <v>0</v>
      </c>
      <c r="HO15" s="1015" t="e">
        <f>_xlfn.CONCAT('Customer Inputs'!$AG$13,"_",HF15)</f>
        <v>#N/A</v>
      </c>
      <c r="HP15" s="1015">
        <f t="array" ref="HP15">IFERROR(INDEX('Margin Guidence Table'!$A$1:$AG$10000,MATCH(1,('Margin Guidence Table'!$A$1:$A$10000=HO15)*('Margin Guidence Table'!$I$1:$I$10000&lt;=ROUND($HG$3,0))*('Margin Guidence Table'!$J$1:$J$10000&gt;=ROUND($HG$3,0)),0),MATCH("DATA_POINTS",'Margin Guidence Table'!$A$1:$AG$1,0)),0)</f>
        <v>0</v>
      </c>
      <c r="HQ15" s="1012" t="str">
        <f t="shared" ref="HQ15:HQ34" si="41">IF(HP15&gt;15,"SEGMENT","DEFAULT")</f>
        <v>DEFAULT</v>
      </c>
      <c r="HR15" s="1012">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1012">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1016">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1016">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1016">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1016">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1016">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1016">
        <f t="array" ref="HY15">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361"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67">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1012">
        <f>IFERROR(IF(AND($ID$2&lt;&gt;"Enter Spend&gt;&gt;&gt;",$IE$2="EXISTING"),SUMIFS('Existing Customers'!$S:$S,'Existing Customers'!$H:$H,$IC15,'Existing Customers'!$A:$A,$ID$1),IT15*ID15),0)</f>
        <v>0</v>
      </c>
      <c r="IK15" s="1012">
        <f>IFERROR(IF(AND($ID$2&lt;&gt;"Enter Spend&gt;&gt;&gt;",$IE$2="EXISTING"),SUMIFS('Existing Customers'!$U:$U,'Existing Customers'!$H:$H,$IC15,'Existing Customers'!$A:$A,$ID$1),IU15*ID15),0)</f>
        <v>0</v>
      </c>
      <c r="IL15" s="1015" t="e">
        <f>_xlfn.CONCAT('Customer Inputs'!$AG$14,"_",IC15)</f>
        <v>#N/A</v>
      </c>
      <c r="IM15" s="1015">
        <f t="array" ref="IM15">IFERROR(INDEX('Margin Guidence Table'!$A$1:$AG$10000,MATCH(1,('Margin Guidence Table'!$A$1:$A$10000=IL15)*('Margin Guidence Table'!$I$1:$I$10000&lt;=ROUND($ID$3,0))*('Margin Guidence Table'!$J$1:$J$10000&gt;=ROUND($ID$3,0)),0),MATCH("DATA_POINTS",'Margin Guidence Table'!$A$1:$AG$1,0)),0)</f>
        <v>0</v>
      </c>
      <c r="IN15" s="1012" t="str">
        <f t="shared" ref="IN15:IN34" si="43">IF(IM15&gt;15,"SEGMENT","DEFAULT")</f>
        <v>DEFAULT</v>
      </c>
      <c r="IO15" s="1012">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1012">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1016">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1016">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1016">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1016">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1016">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1016">
        <f t="array" ref="IV15">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361"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67">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1012">
        <f>IFERROR(IF(AND($JA$2&lt;&gt;"Enter Spend&gt;&gt;&gt;",$JB$2="EXISTING"),SUMIFS('Existing Customers'!$S:$S,'Existing Customers'!$H:$H,$IZ15,'Existing Customers'!$A:$A,$JA$1),JQ15*JA15),0)</f>
        <v>0</v>
      </c>
      <c r="JH15" s="1012">
        <f>IFERROR(IF(AND($JA$2&lt;&gt;"Enter Spend&gt;&gt;&gt;",$JB$2="EXISTING"),SUMIFS('Existing Customers'!$U:$U,'Existing Customers'!$H:$H,$IZ15,'Existing Customers'!$A:$A,$JA$1),JR15*JA15),0)</f>
        <v>0</v>
      </c>
      <c r="JI15" s="1015" t="e">
        <f>_xlfn.CONCAT('Customer Inputs'!$AG$15,"_",IZ15)</f>
        <v>#N/A</v>
      </c>
      <c r="JJ15" s="1015">
        <f t="array" ref="JJ15">IFERROR(INDEX('Margin Guidence Table'!$A$1:$AG$10000,MATCH(1,('Margin Guidence Table'!$A$1:$A$10000=JI15)*('Margin Guidence Table'!$I$1:$I$10000&lt;=ROUND($JA$3,0))*('Margin Guidence Table'!$J$1:$J$10000&gt;=ROUND($JA$3,0)),0),MATCH("DATA_POINTS",'Margin Guidence Table'!$A$1:$AG$1,0)),0)</f>
        <v>0</v>
      </c>
      <c r="JK15" s="1012" t="str">
        <f t="shared" ref="JK15:JK34" si="45">IF(JJ15&gt;15,"SEGMENT","DEFAULT")</f>
        <v>DEFAULT</v>
      </c>
      <c r="JL15" s="1012">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1012">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1016">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1016">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1016">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1016">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1016">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1016">
        <f t="array" ref="JS15">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1389</v>
      </c>
      <c r="C16" s="440">
        <f t="shared" si="9"/>
        <v>0</v>
      </c>
      <c r="D16" s="456">
        <f t="shared" si="10"/>
        <v>0</v>
      </c>
      <c r="E16" s="456">
        <f t="shared" si="11"/>
        <v>0</v>
      </c>
      <c r="F16" s="456">
        <f t="shared" si="12"/>
        <v>0</v>
      </c>
      <c r="G16" s="457">
        <f t="shared" si="13"/>
        <v>0</v>
      </c>
      <c r="H16" s="456">
        <f t="shared" si="14"/>
        <v>0</v>
      </c>
      <c r="I16" s="1010">
        <f t="shared" si="15"/>
        <v>0</v>
      </c>
      <c r="J16" s="1010">
        <f t="shared" si="0"/>
        <v>0</v>
      </c>
      <c r="K16" s="1010">
        <f t="shared" si="16"/>
        <v>0</v>
      </c>
      <c r="L16" s="456">
        <f t="shared" si="1"/>
        <v>0</v>
      </c>
      <c r="M16" s="456">
        <f t="shared" si="17"/>
        <v>0</v>
      </c>
      <c r="N16" s="1011">
        <f t="shared" si="2"/>
        <v>0</v>
      </c>
      <c r="P16" t="str">
        <f>'PIM Model'!E12</f>
        <v>INCLUDE</v>
      </c>
      <c r="Q16">
        <f t="shared" si="18"/>
        <v>0</v>
      </c>
      <c r="R16">
        <f t="shared" si="19"/>
        <v>0</v>
      </c>
      <c r="S16" s="99" t="s">
        <v>1389</v>
      </c>
      <c r="T16" s="94">
        <f t="shared" si="20"/>
        <v>0</v>
      </c>
      <c r="U16" s="86">
        <f t="shared" si="3"/>
        <v>0</v>
      </c>
      <c r="V16" s="86">
        <f t="shared" si="4"/>
        <v>0</v>
      </c>
      <c r="W16" s="86">
        <f t="shared" si="5"/>
        <v>0</v>
      </c>
      <c r="X16" s="111">
        <f t="shared" si="6"/>
        <v>0</v>
      </c>
      <c r="Y16" s="114">
        <f t="shared" si="21"/>
        <v>0</v>
      </c>
      <c r="Z16" s="365"/>
      <c r="AA16" s="99" t="s">
        <v>1389</v>
      </c>
      <c r="AB16" s="444">
        <f t="shared" si="7"/>
        <v>0</v>
      </c>
      <c r="AC16" s="445">
        <f t="shared" si="7"/>
        <v>0</v>
      </c>
      <c r="AD16" s="445">
        <f t="shared" si="7"/>
        <v>0</v>
      </c>
      <c r="AE16" s="446">
        <f t="shared" si="22"/>
        <v>0</v>
      </c>
      <c r="AF16" s="447">
        <f t="shared" si="23"/>
        <v>0</v>
      </c>
      <c r="AG16" s="365"/>
      <c r="AH16" s="99" t="s">
        <v>1389</v>
      </c>
      <c r="AI16" s="444">
        <f t="shared" si="8"/>
        <v>0</v>
      </c>
      <c r="AJ16" s="441">
        <f t="shared" si="24"/>
        <v>0</v>
      </c>
      <c r="AK16" s="447"/>
      <c r="AL16" s="365"/>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65">
        <f>VLOOKUP($AH16&amp;$AM16,'IMargin Quartiles'!$A:$F,6,FALSE)</f>
        <v>0.09</v>
      </c>
      <c r="AO16" s="365"/>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65">
        <f t="shared" si="25"/>
        <v>0</v>
      </c>
      <c r="AR16">
        <f>'PIM Model'!C12</f>
        <v>0</v>
      </c>
      <c r="AS16" s="365"/>
      <c r="AT16" s="365"/>
      <c r="AU16" s="365" t="e">
        <f t="shared" ref="AU16:AU34" si="46">IF($AR16="AVG",IFERROR((AC16+AJ16)/(AB16+AI16),AQ16),(AC16+AJ16)/(AB16+AI16))</f>
        <v>#DIV/0!</v>
      </c>
      <c r="AV16" s="365"/>
      <c r="AW16" s="365"/>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361" t="e">
        <f t="shared" si="26"/>
        <v>#DIV/0!</v>
      </c>
      <c r="BA16" s="99" t="s">
        <v>1389</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67">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1014" t="e">
        <f>_xlfn.CONCAT('Customer Inputs'!$AG$6,"_",BA16)</f>
        <v>#N/A</v>
      </c>
      <c r="BK16" s="1015">
        <f t="array" ref="BK16">IFERROR(INDEX('Margin Guidence Table'!$A$1:$AG$10000,MATCH(1,('Margin Guidence Table'!$A$1:$A$10000=$BJ16)*('Margin Guidence Table'!$I$1:$I$10000&lt;=ROUND($BB$3,0))*('Margin Guidence Table'!$J$1:$J$10000&gt;=ROUND($BB$3,0)),0),MATCH("DATA_POINTS",'Margin Guidence Table'!$A$1:$AG$1,0)),0)</f>
        <v>0</v>
      </c>
      <c r="BL16" s="1012" t="str">
        <f t="shared" si="27"/>
        <v>DEFAULT</v>
      </c>
      <c r="BM16" s="1012">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1012">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1016">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1016">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1016">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1016">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1016">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1016">
        <f t="array" ref="BT16">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361" t="e">
        <f t="shared" si="28"/>
        <v>#DIV/0!</v>
      </c>
      <c r="BX16" s="99" t="s">
        <v>1389</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1012">
        <f>IFERROR(IF(AND($BY$2&lt;&gt;"Enter Spend&gt;&gt;&gt;",$BZ$2="EXISTING"),SUMIFS('Existing Customers'!$S:$S,'Existing Customers'!$H:$H,$BX16,'Existing Customers'!$A:$A,$BY$1),CO16*BY16),0)</f>
        <v>0</v>
      </c>
      <c r="CF16" s="1012">
        <f>IFERROR(IF(AND($BY$2&lt;&gt;"Enter Spend&gt;&gt;&gt;",$BZ$2="EXISTING"),SUMIFS('Existing Customers'!$U:$U,'Existing Customers'!$H:$H,$BX16,'Existing Customers'!$A:$A,$BY$1),CP16*BY16),0)</f>
        <v>0</v>
      </c>
      <c r="CG16" s="1015" t="e">
        <f>_xlfn.CONCAT('Customer Inputs'!$AG$7,"_",BX16)</f>
        <v>#N/A</v>
      </c>
      <c r="CH16" s="1015">
        <f t="array" ref="CH16">IFERROR(INDEX('Margin Guidence Table'!$A$1:$AG$10000,MATCH(1,('Margin Guidence Table'!$A$1:$A$10000=$CG16)*('Margin Guidence Table'!$I$1:$I$10000&lt;=ROUND($BY$3,0))*('Margin Guidence Table'!$J$1:$J$10000&gt;=ROUND($BY$3,0)),0),MATCH("DATA_POINTS",'Margin Guidence Table'!$A$1:$AG$1,0)),0)</f>
        <v>0</v>
      </c>
      <c r="CI16" s="1012" t="str">
        <f t="shared" si="29"/>
        <v>DEFAULT</v>
      </c>
      <c r="CJ16" s="1012">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1012">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1016">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1016">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1016">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1016">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1016">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1016">
        <f t="array" ref="CQ16">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361" t="e">
        <f t="shared" si="30"/>
        <v>#DIV/0!</v>
      </c>
      <c r="CU16" s="99" t="s">
        <v>1389</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1012">
        <f>IFERROR(IF(AND($CV$2&lt;&gt;"Enter Spend&gt;&gt;&gt;",$CW$2="EXISTING"),SUMIFS('Existing Customers'!$S:$S,'Existing Customers'!$H:$H,$CU16,'Existing Customers'!$A:$A,$CV$1),DL16*CV16),0)</f>
        <v>0</v>
      </c>
      <c r="DC16" s="1012">
        <f>IFERROR(IF(AND($CV$2&lt;&gt;"Enter Spend&gt;&gt;&gt;",$CW$2="EXISTING"),SUMIFS('Existing Customers'!$U:$U,'Existing Customers'!$H:$H,$CU16,'Existing Customers'!$A:$A,$CV$1),DM16*CV16),0)</f>
        <v>0</v>
      </c>
      <c r="DD16" s="1015" t="e">
        <f>_xlfn.CONCAT('Customer Inputs'!$AG$8,"_",CU16)</f>
        <v>#N/A</v>
      </c>
      <c r="DE16" s="1015">
        <f t="array" ref="DE16">IFERROR(INDEX('Margin Guidence Table'!$A$1:$AG$10000,MATCH(1,('Margin Guidence Table'!$A$1:$A$10000=DD16)*('Margin Guidence Table'!$I$1:$I$10000&lt;=ROUND($CV$3,0))*('Margin Guidence Table'!$J$1:$J$10000&gt;=ROUND($CV$3,0)),0),MATCH("DATA_POINTS",'Margin Guidence Table'!$A$1:$AG$1,0)),0)</f>
        <v>0</v>
      </c>
      <c r="DF16" s="1012" t="str">
        <f t="shared" si="31"/>
        <v>DEFAULT</v>
      </c>
      <c r="DG16" s="1012">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1012">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1016">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1016">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1016">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1016">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1016">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1016">
        <f t="array" ref="DN16">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361" t="e">
        <f t="shared" si="32"/>
        <v>#DIV/0!</v>
      </c>
      <c r="DR16" s="99" t="s">
        <v>1389</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1012">
        <f>IFERROR(IF(AND($DS$2&lt;&gt;"Enter Spend&gt;&gt;&gt;",$DT$2="EXISTING"),SUMIFS('Existing Customers'!$S:$S,'Existing Customers'!$H:$H,$DT16,'Existing Customers'!$A:$A,$DS$1),EI16*DS16),0)</f>
        <v>0</v>
      </c>
      <c r="DZ16" s="1012">
        <f>IFERROR(IF(AND($DS$2&lt;&gt;"Enter Spend&gt;&gt;&gt;",$DT$2="EXISTING"),SUMIFS('Existing Customers'!$U:$U,'Existing Customers'!$H:$H,$DR16,'Existing Customers'!$A:$A,$DS$1),EJ16*DS16),0)</f>
        <v>0</v>
      </c>
      <c r="EA16" s="1015" t="e">
        <f>_xlfn.CONCAT('Customer Inputs'!$AG$9,"_",DR16)</f>
        <v>#N/A</v>
      </c>
      <c r="EB16" s="1015">
        <f t="array" ref="EB16">IFERROR(INDEX('Margin Guidence Table'!$A$1:$AG$10000,MATCH(1,('Margin Guidence Table'!$A$1:$A$10000=EA16)*('Margin Guidence Table'!$I$1:$I$10000&lt;=ROUND($DS$3,0))*('Margin Guidence Table'!$J$1:$J$10000&gt;=ROUND($DS$3,0)),0),MATCH("DATA_POINTS",'Margin Guidence Table'!$A$1:$AG$1,0)),0)</f>
        <v>0</v>
      </c>
      <c r="EC16" s="1012" t="str">
        <f t="shared" si="33"/>
        <v>DEFAULT</v>
      </c>
      <c r="ED16" s="1012">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1012">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1016">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1016">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1016">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1016">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1016">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1016">
        <f t="array" ref="EK16">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361" t="e">
        <f t="shared" si="34"/>
        <v>#DIV/0!</v>
      </c>
      <c r="EO16" s="99" t="s">
        <v>1389</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1012">
        <f>IFERROR(IF(AND($EP$2&lt;&gt;"Enter Spend&gt;&gt;&gt;",$EQ$2="EXISTING"),SUMIFS('Existing Customers'!$S:$S,'Existing Customers'!$H:$H,$EO16,'Existing Customers'!$A:$A,$EP$1),FF16*EP16),0)</f>
        <v>0</v>
      </c>
      <c r="EW16" s="1012">
        <f>IFERROR(IF(AND($EP$2&lt;&gt;"Enter Spend&gt;&gt;&gt;",$EQ$2="EXISTING"),SUMIFS('Existing Customers'!$U:$U,'Existing Customers'!$H:$H,$EO16,'Existing Customers'!$A:$A,$EP$1),FG16*EP16),0)</f>
        <v>0</v>
      </c>
      <c r="EX16" s="1015" t="e">
        <f>_xlfn.CONCAT('Customer Inputs'!$AG$10,"_",EO16)</f>
        <v>#N/A</v>
      </c>
      <c r="EY16" s="1015">
        <f t="array" ref="EY16">IFERROR(INDEX('Margin Guidence Table'!$A$1:$AG$10000,MATCH(1,('Margin Guidence Table'!$A$1:$A$10000=EX16)*('Margin Guidence Table'!$I$1:$I$10000&lt;=ROUND($EP$3,0))*('Margin Guidence Table'!$J$1:$J$10000&gt;=ROUND($EP$3,0)),0),MATCH("DATA_POINTS",'Margin Guidence Table'!$A$1:$AG$1,0)),0)</f>
        <v>0</v>
      </c>
      <c r="EZ16" s="1012" t="str">
        <f t="shared" si="35"/>
        <v>DEFAULT</v>
      </c>
      <c r="FA16" s="1012">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1012"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1016">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1016">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1016">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1016">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1016">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1016">
        <f t="array" ref="FH16">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361" t="e">
        <f t="shared" si="36"/>
        <v>#DIV/0!</v>
      </c>
      <c r="FL16" s="99" t="s">
        <v>1389</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1012">
        <f>IFERROR(IF(AND($FM$2&lt;&gt;"Enter Spend&gt;&gt;&gt;",$FN$2="EXISTING"),SUMIFS('Existing Customers'!$S:$S,'Existing Customers'!$H:$H,$FL16,'Existing Customers'!$A:$A,$FM$1),GC16*FM16),0)</f>
        <v>0</v>
      </c>
      <c r="FT16" s="1012">
        <f>IFERROR(IF(AND($FM$2&lt;&gt;"Enter Spend&gt;&gt;&gt;",$FN$2="EXISTING"),SUMIFS('Existing Customers'!$U:$U,'Existing Customers'!$H:$H,$FL16,'Existing Customers'!$A:$A,$FM$1),GD16*FM16),0)</f>
        <v>0</v>
      </c>
      <c r="FU16" s="1015" t="e">
        <f>_xlfn.CONCAT('Customer Inputs'!$AG$11,"_",FL16)</f>
        <v>#N/A</v>
      </c>
      <c r="FV16" s="1015">
        <f t="array" ref="FV16">IFERROR(INDEX('Margin Guidence Table'!$A$1:$AG$10000,MATCH(1,('Margin Guidence Table'!$A$1:$A$10000=FU16)*('Margin Guidence Table'!$I$1:$I$10000&lt;=ROUND($FM$3,0))*('Margin Guidence Table'!$J$1:$J$10000&gt;=ROUND($FM$3,0)),0),MATCH("DATA_POINTS",'Margin Guidence Table'!$A$1:$AG$1,0)),0)</f>
        <v>0</v>
      </c>
      <c r="FW16" s="1012" t="str">
        <f t="shared" si="37"/>
        <v>DEFAULT</v>
      </c>
      <c r="FX16" s="1012">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1012">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1016">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1016">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1016">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1016">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1016">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1016">
        <f t="array" ref="GE16">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361" t="e">
        <f t="shared" si="38"/>
        <v>#DIV/0!</v>
      </c>
      <c r="GI16" s="99" t="s">
        <v>1389</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1012">
        <f>IFERROR(IF(AND($GJ$2&lt;&gt;"Enter Spend&gt;&gt;&gt;",$GK$2="EXISTING"),SUMIFS('Existing Customers'!$S:$S,'Existing Customers'!$H:$H,$GI16,'Existing Customers'!$A:$A,$GJ$1),GZ16*GJ16),0)</f>
        <v>0</v>
      </c>
      <c r="GQ16" s="1012">
        <f>IFERROR(IF(AND($GJ$2&lt;&gt;"Enter Spend&gt;&gt;&gt;",$GK$2="EXISTING"),SUMIFS('Existing Customers'!$U:$U,'Existing Customers'!$H:$H,$GI16,'Existing Customers'!$A:$A,$GJ$1),HA16*GJ16),0)</f>
        <v>0</v>
      </c>
      <c r="GR16" s="1015" t="e">
        <f>_xlfn.CONCAT('Customer Inputs'!$AG$12,"_",GI16)</f>
        <v>#N/A</v>
      </c>
      <c r="GS16" s="1015">
        <f t="array" ref="GS16">IFERROR(INDEX('Margin Guidence Table'!$A$1:$AG$10000,MATCH(1,('Margin Guidence Table'!$A$1:$A$10000=GR16)*('Margin Guidence Table'!$I$1:$I$10000&lt;=ROUND($GJ$3,0))*('Margin Guidence Table'!$J$1:$J$10000&gt;=ROUND($GJ$3,0)),0),MATCH("DATA_POINTS",'Margin Guidence Table'!$A$1:$AG$1,0)),0)</f>
        <v>0</v>
      </c>
      <c r="GT16" s="1012" t="str">
        <f t="shared" si="39"/>
        <v>DEFAULT</v>
      </c>
      <c r="GU16" s="1012">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1012">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1016">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1016">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1016">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1016">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1016">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1016">
        <f t="array" ref="HB16">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361" t="e">
        <f t="shared" si="40"/>
        <v>#DIV/0!</v>
      </c>
      <c r="HF16" s="99" t="s">
        <v>1389</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1012">
        <f>IFERROR(IF(AND($HG$2&lt;&gt;"Enter Spend&gt;&gt;&gt;",$HH$2="EXISTING"),SUMIFS('Existing Customers'!$S:$S,'Existing Customers'!$H:$H,$HF16,'Existing Customers'!$A:$A,$HG$1),HW16*HG16),0)</f>
        <v>0</v>
      </c>
      <c r="HN16" s="1012">
        <f>IFERROR(IF(AND($HG$2&lt;&gt;"Enter Spend&gt;&gt;&gt;",$HH$2="EXISTING"),SUMIFS('Existing Customers'!$U:$U,'Existing Customers'!$H:$H,$HF16,'Existing Customers'!$A:$A,$HG$1),HX16*HG16),0)</f>
        <v>0</v>
      </c>
      <c r="HO16" s="1015" t="e">
        <f>_xlfn.CONCAT('Customer Inputs'!$AG$13,"_",HF16)</f>
        <v>#N/A</v>
      </c>
      <c r="HP16" s="1015">
        <f t="array" ref="HP16">IFERROR(INDEX('Margin Guidence Table'!$A$1:$AG$10000,MATCH(1,('Margin Guidence Table'!$A$1:$A$10000=HO16)*('Margin Guidence Table'!$I$1:$I$10000&lt;=ROUND($HG$3,0))*('Margin Guidence Table'!$J$1:$J$10000&gt;=ROUND($HG$3,0)),0),MATCH("DATA_POINTS",'Margin Guidence Table'!$A$1:$AG$1,0)),0)</f>
        <v>0</v>
      </c>
      <c r="HQ16" s="1012" t="str">
        <f t="shared" si="41"/>
        <v>DEFAULT</v>
      </c>
      <c r="HR16" s="1012">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1012">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1016">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1016">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1016">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1016">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1016">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1016">
        <f t="array" ref="HY16">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361" t="e">
        <f t="shared" si="42"/>
        <v>#DIV/0!</v>
      </c>
      <c r="IC16" s="99" t="s">
        <v>1389</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67">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1012">
        <f>IFERROR(IF(AND($ID$2&lt;&gt;"Enter Spend&gt;&gt;&gt;",$IE$2="EXISTING"),SUMIFS('Existing Customers'!$S:$S,'Existing Customers'!$H:$H,$IC16,'Existing Customers'!$A:$A,$ID$1),IT16*ID16),0)</f>
        <v>0</v>
      </c>
      <c r="IK16" s="1012">
        <f>IFERROR(IF(AND($ID$2&lt;&gt;"Enter Spend&gt;&gt;&gt;",$IE$2="EXISTING"),SUMIFS('Existing Customers'!$U:$U,'Existing Customers'!$H:$H,$IC16,'Existing Customers'!$A:$A,$ID$1),IU16*ID16),0)</f>
        <v>0</v>
      </c>
      <c r="IL16" s="1015" t="e">
        <f>_xlfn.CONCAT('Customer Inputs'!$AG$14,"_",IC16)</f>
        <v>#N/A</v>
      </c>
      <c r="IM16" s="1015">
        <f t="array" ref="IM16">IFERROR(INDEX('Margin Guidence Table'!$A$1:$AG$10000,MATCH(1,('Margin Guidence Table'!$A$1:$A$10000=IL16)*('Margin Guidence Table'!$I$1:$I$10000&lt;=ROUND($ID$3,0))*('Margin Guidence Table'!$J$1:$J$10000&gt;=ROUND($ID$3,0)),0),MATCH("DATA_POINTS",'Margin Guidence Table'!$A$1:$AG$1,0)),0)</f>
        <v>0</v>
      </c>
      <c r="IN16" s="1012" t="str">
        <f t="shared" si="43"/>
        <v>DEFAULT</v>
      </c>
      <c r="IO16" s="1012">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1012">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1016">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1016">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1016">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1016">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1016">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1016">
        <f t="array" ref="IV16">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361" t="e">
        <f t="shared" si="44"/>
        <v>#DIV/0!</v>
      </c>
      <c r="IZ16" s="99" t="s">
        <v>1389</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67">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1012">
        <f>IFERROR(IF(AND($JA$2&lt;&gt;"Enter Spend&gt;&gt;&gt;",$JB$2="EXISTING"),SUMIFS('Existing Customers'!$S:$S,'Existing Customers'!$H:$H,$IZ16,'Existing Customers'!$A:$A,$JA$1),JQ16*JA16),0)</f>
        <v>0</v>
      </c>
      <c r="JH16" s="1012">
        <f>IFERROR(IF(AND($JA$2&lt;&gt;"Enter Spend&gt;&gt;&gt;",$JB$2="EXISTING"),SUMIFS('Existing Customers'!$U:$U,'Existing Customers'!$H:$H,$IZ16,'Existing Customers'!$A:$A,$JA$1),JR16*JA16),0)</f>
        <v>0</v>
      </c>
      <c r="JI16" s="1015" t="e">
        <f>_xlfn.CONCAT('Customer Inputs'!$AG$15,"_",IZ16)</f>
        <v>#N/A</v>
      </c>
      <c r="JJ16" s="1015">
        <f t="array" ref="JJ16">IFERROR(INDEX('Margin Guidence Table'!$A$1:$AG$10000,MATCH(1,('Margin Guidence Table'!$A$1:$A$10000=JI16)*('Margin Guidence Table'!$I$1:$I$10000&lt;=ROUND($JA$3,0))*('Margin Guidence Table'!$J$1:$J$10000&gt;=ROUND($JA$3,0)),0),MATCH("DATA_POINTS",'Margin Guidence Table'!$A$1:$AG$1,0)),0)</f>
        <v>0</v>
      </c>
      <c r="JK16" s="1012" t="str">
        <f t="shared" si="45"/>
        <v>DEFAULT</v>
      </c>
      <c r="JL16" s="1012">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1012">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1016">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1016">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1016">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1016">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1016">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1016">
        <f t="array" ref="JS16">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1389</v>
      </c>
      <c r="JV16" s="94"/>
      <c r="JW16" s="86"/>
      <c r="JX16" s="86"/>
      <c r="JY16" s="86"/>
      <c r="JZ16" s="111"/>
      <c r="KA16" s="95"/>
      <c r="KB16" s="126"/>
      <c r="KD16" s="99" t="s">
        <v>1389</v>
      </c>
      <c r="KE16" s="94"/>
      <c r="KF16" s="86"/>
      <c r="KG16" s="86"/>
      <c r="KH16" s="86"/>
      <c r="KI16" s="111"/>
      <c r="KJ16" s="95"/>
    </row>
    <row r="17" spans="2:296" ht="15.75" thickBot="1" x14ac:dyDescent="0.3">
      <c r="B17" s="99" t="s">
        <v>102</v>
      </c>
      <c r="C17" s="440">
        <f t="shared" si="9"/>
        <v>0</v>
      </c>
      <c r="D17" s="456">
        <f t="shared" si="10"/>
        <v>0</v>
      </c>
      <c r="E17" s="456">
        <f t="shared" si="11"/>
        <v>0</v>
      </c>
      <c r="F17" s="456">
        <f t="shared" si="12"/>
        <v>0</v>
      </c>
      <c r="G17" s="457">
        <f t="shared" si="13"/>
        <v>0</v>
      </c>
      <c r="H17" s="456">
        <f t="shared" si="14"/>
        <v>0</v>
      </c>
      <c r="I17" s="1010">
        <f t="shared" si="15"/>
        <v>0</v>
      </c>
      <c r="J17" s="1010">
        <f t="shared" si="0"/>
        <v>0</v>
      </c>
      <c r="K17" s="1010">
        <f t="shared" si="16"/>
        <v>0</v>
      </c>
      <c r="L17" s="456">
        <f t="shared" si="1"/>
        <v>0</v>
      </c>
      <c r="M17" s="456">
        <f t="shared" si="17"/>
        <v>0</v>
      </c>
      <c r="N17" s="1011">
        <f t="shared" si="2"/>
        <v>0</v>
      </c>
      <c r="P17" t="str">
        <f>'PIM Model'!E13</f>
        <v>INCLUDE</v>
      </c>
      <c r="Q17">
        <f t="shared" si="18"/>
        <v>0</v>
      </c>
      <c r="R17">
        <f t="shared" si="19"/>
        <v>0</v>
      </c>
      <c r="S17" s="99" t="s">
        <v>102</v>
      </c>
      <c r="T17" s="94">
        <f t="shared" si="20"/>
        <v>0</v>
      </c>
      <c r="U17" s="86">
        <f t="shared" si="3"/>
        <v>0</v>
      </c>
      <c r="V17" s="86">
        <f t="shared" si="4"/>
        <v>0</v>
      </c>
      <c r="W17" s="86">
        <f t="shared" si="5"/>
        <v>0</v>
      </c>
      <c r="X17" s="111">
        <f t="shared" si="6"/>
        <v>0</v>
      </c>
      <c r="Y17" s="114">
        <f t="shared" si="21"/>
        <v>0</v>
      </c>
      <c r="Z17" s="365"/>
      <c r="AA17" s="99" t="s">
        <v>102</v>
      </c>
      <c r="AB17" s="444">
        <f t="shared" si="7"/>
        <v>0</v>
      </c>
      <c r="AC17" s="445">
        <f t="shared" si="7"/>
        <v>0</v>
      </c>
      <c r="AD17" s="445">
        <f t="shared" si="7"/>
        <v>0</v>
      </c>
      <c r="AE17" s="446">
        <f t="shared" si="22"/>
        <v>0</v>
      </c>
      <c r="AF17" s="447">
        <f t="shared" si="23"/>
        <v>0</v>
      </c>
      <c r="AG17" s="365"/>
      <c r="AH17" s="99" t="s">
        <v>102</v>
      </c>
      <c r="AI17" s="444">
        <f t="shared" si="8"/>
        <v>0</v>
      </c>
      <c r="AJ17" s="441">
        <f t="shared" si="24"/>
        <v>0</v>
      </c>
      <c r="AK17" s="447"/>
      <c r="AL17" s="365"/>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65">
        <f>VLOOKUP($AH17&amp;$AM17,'IMargin Quartiles'!$A:$F,6,FALSE)</f>
        <v>0.18</v>
      </c>
      <c r="AO17" s="365"/>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65">
        <f t="shared" si="25"/>
        <v>0</v>
      </c>
      <c r="AR17">
        <f>'PIM Model'!C13</f>
        <v>0</v>
      </c>
      <c r="AS17" s="365"/>
      <c r="AT17" s="365"/>
      <c r="AU17" s="365" t="e">
        <f t="shared" si="46"/>
        <v>#DIV/0!</v>
      </c>
      <c r="AV17" s="365"/>
      <c r="AW17" s="365"/>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361"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67">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1014" t="e">
        <f>_xlfn.CONCAT('Customer Inputs'!$AG$6,"_",BA17)</f>
        <v>#N/A</v>
      </c>
      <c r="BK17" s="1015">
        <f t="array" ref="BK17">IFERROR(INDEX('Margin Guidence Table'!$A$1:$AG$10000,MATCH(1,('Margin Guidence Table'!$A$1:$A$10000=$BJ17)*('Margin Guidence Table'!$I$1:$I$10000&lt;=ROUND($BB$3,0))*('Margin Guidence Table'!$J$1:$J$10000&gt;=ROUND($BB$3,0)),0),MATCH("DATA_POINTS",'Margin Guidence Table'!$A$1:$AG$1,0)),0)</f>
        <v>0</v>
      </c>
      <c r="BL17" s="1012" t="str">
        <f t="shared" si="27"/>
        <v>DEFAULT</v>
      </c>
      <c r="BM17" s="1012">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1012">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1016">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1016">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1016">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1016">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1016">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1016">
        <f t="array" ref="BT17">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361"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1012">
        <f>IFERROR(IF(AND($BY$2&lt;&gt;"Enter Spend&gt;&gt;&gt;",$BZ$2="EXISTING"),SUMIFS('Existing Customers'!$S:$S,'Existing Customers'!$H:$H,$BX17,'Existing Customers'!$A:$A,$BY$1),CO17*BY17),0)</f>
        <v>0</v>
      </c>
      <c r="CF17" s="1012">
        <f>IFERROR(IF(AND($BY$2&lt;&gt;"Enter Spend&gt;&gt;&gt;",$BZ$2="EXISTING"),SUMIFS('Existing Customers'!$U:$U,'Existing Customers'!$H:$H,$BX17,'Existing Customers'!$A:$A,$BY$1),CP17*BY17),0)</f>
        <v>0</v>
      </c>
      <c r="CG17" s="1015" t="e">
        <f>_xlfn.CONCAT('Customer Inputs'!$AG$7,"_",BX17)</f>
        <v>#N/A</v>
      </c>
      <c r="CH17" s="1015">
        <f t="array" ref="CH17">IFERROR(INDEX('Margin Guidence Table'!$A$1:$AG$10000,MATCH(1,('Margin Guidence Table'!$A$1:$A$10000=$CG17)*('Margin Guidence Table'!$I$1:$I$10000&lt;=ROUND($BY$3,0))*('Margin Guidence Table'!$J$1:$J$10000&gt;=ROUND($BY$3,0)),0),MATCH("DATA_POINTS",'Margin Guidence Table'!$A$1:$AG$1,0)),0)</f>
        <v>0</v>
      </c>
      <c r="CI17" s="1012" t="str">
        <f t="shared" si="29"/>
        <v>DEFAULT</v>
      </c>
      <c r="CJ17" s="1012">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1012">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1016">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1016">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1016">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1016">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1016">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1016">
        <f t="array" ref="CQ17">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361"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1012">
        <f>IFERROR(IF(AND($CV$2&lt;&gt;"Enter Spend&gt;&gt;&gt;",$CW$2="EXISTING"),SUMIFS('Existing Customers'!$S:$S,'Existing Customers'!$H:$H,$CU17,'Existing Customers'!$A:$A,$CV$1),DL17*CV17),0)</f>
        <v>0</v>
      </c>
      <c r="DC17" s="1012">
        <f>IFERROR(IF(AND($CV$2&lt;&gt;"Enter Spend&gt;&gt;&gt;",$CW$2="EXISTING"),SUMIFS('Existing Customers'!$U:$U,'Existing Customers'!$H:$H,$CU17,'Existing Customers'!$A:$A,$CV$1),DM17*CV17),0)</f>
        <v>0</v>
      </c>
      <c r="DD17" s="1015" t="e">
        <f>_xlfn.CONCAT('Customer Inputs'!$AG$8,"_",CU17)</f>
        <v>#N/A</v>
      </c>
      <c r="DE17" s="1015">
        <f t="array" ref="DE17">IFERROR(INDEX('Margin Guidence Table'!$A$1:$AG$10000,MATCH(1,('Margin Guidence Table'!$A$1:$A$10000=DD17)*('Margin Guidence Table'!$I$1:$I$10000&lt;=ROUND($CV$3,0))*('Margin Guidence Table'!$J$1:$J$10000&gt;=ROUND($CV$3,0)),0),MATCH("DATA_POINTS",'Margin Guidence Table'!$A$1:$AG$1,0)),0)</f>
        <v>0</v>
      </c>
      <c r="DF17" s="1012" t="str">
        <f t="shared" si="31"/>
        <v>DEFAULT</v>
      </c>
      <c r="DG17" s="1012">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1012">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1016">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1016">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1016">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1016">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1016">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1016">
        <f t="array" ref="DN17">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361"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1012">
        <f>IFERROR(IF(AND($DS$2&lt;&gt;"Enter Spend&gt;&gt;&gt;",$DT$2="EXISTING"),SUMIFS('Existing Customers'!$S:$S,'Existing Customers'!$H:$H,$DT17,'Existing Customers'!$A:$A,$DS$1),EI17*DS17),0)</f>
        <v>0</v>
      </c>
      <c r="DZ17" s="1012">
        <f>IFERROR(IF(AND($DS$2&lt;&gt;"Enter Spend&gt;&gt;&gt;",$DT$2="EXISTING"),SUMIFS('Existing Customers'!$U:$U,'Existing Customers'!$H:$H,$DR17,'Existing Customers'!$A:$A,$DS$1),EJ17*DS17),0)</f>
        <v>0</v>
      </c>
      <c r="EA17" s="1015" t="e">
        <f>_xlfn.CONCAT('Customer Inputs'!$AG$9,"_",DR17)</f>
        <v>#N/A</v>
      </c>
      <c r="EB17" s="1015">
        <f t="array" ref="EB17">IFERROR(INDEX('Margin Guidence Table'!$A$1:$AG$10000,MATCH(1,('Margin Guidence Table'!$A$1:$A$10000=EA17)*('Margin Guidence Table'!$I$1:$I$10000&lt;=ROUND($DS$3,0))*('Margin Guidence Table'!$J$1:$J$10000&gt;=ROUND($DS$3,0)),0),MATCH("DATA_POINTS",'Margin Guidence Table'!$A$1:$AG$1,0)),0)</f>
        <v>0</v>
      </c>
      <c r="EC17" s="1012" t="str">
        <f t="shared" si="33"/>
        <v>DEFAULT</v>
      </c>
      <c r="ED17" s="1012">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1012">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1016">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1016">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1016">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1016">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1016">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1016">
        <f t="array" ref="EK17">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361"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1012">
        <f>IFERROR(IF(AND($EP$2&lt;&gt;"Enter Spend&gt;&gt;&gt;",$EQ$2="EXISTING"),SUMIFS('Existing Customers'!$S:$S,'Existing Customers'!$H:$H,$EO17,'Existing Customers'!$A:$A,$EP$1),FF17*EP17),0)</f>
        <v>0</v>
      </c>
      <c r="EW17" s="1012">
        <f>IFERROR(IF(AND($EP$2&lt;&gt;"Enter Spend&gt;&gt;&gt;",$EQ$2="EXISTING"),SUMIFS('Existing Customers'!$U:$U,'Existing Customers'!$H:$H,$EO17,'Existing Customers'!$A:$A,$EP$1),FG17*EP17),0)</f>
        <v>0</v>
      </c>
      <c r="EX17" s="1015" t="e">
        <f>_xlfn.CONCAT('Customer Inputs'!$AG$10,"_",EO17)</f>
        <v>#N/A</v>
      </c>
      <c r="EY17" s="1015">
        <f t="array" ref="EY17">IFERROR(INDEX('Margin Guidence Table'!$A$1:$AG$10000,MATCH(1,('Margin Guidence Table'!$A$1:$A$10000=EX17)*('Margin Guidence Table'!$I$1:$I$10000&lt;=ROUND($EP$3,0))*('Margin Guidence Table'!$J$1:$J$10000&gt;=ROUND($EP$3,0)),0),MATCH("DATA_POINTS",'Margin Guidence Table'!$A$1:$AG$1,0)),0)</f>
        <v>0</v>
      </c>
      <c r="EZ17" s="1012" t="str">
        <f t="shared" si="35"/>
        <v>DEFAULT</v>
      </c>
      <c r="FA17" s="1012">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1012"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1016">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1016">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1016">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1016">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1016">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1016">
        <f t="array" ref="FH17">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361"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1012">
        <f>IFERROR(IF(AND($FM$2&lt;&gt;"Enter Spend&gt;&gt;&gt;",$FN$2="EXISTING"),SUMIFS('Existing Customers'!$S:$S,'Existing Customers'!$H:$H,$FL17,'Existing Customers'!$A:$A,$FM$1),GC17*FM17),0)</f>
        <v>0</v>
      </c>
      <c r="FT17" s="1012">
        <f>IFERROR(IF(AND($FM$2&lt;&gt;"Enter Spend&gt;&gt;&gt;",$FN$2="EXISTING"),SUMIFS('Existing Customers'!$U:$U,'Existing Customers'!$H:$H,$FL17,'Existing Customers'!$A:$A,$FM$1),GD17*FM17),0)</f>
        <v>0</v>
      </c>
      <c r="FU17" s="1015" t="e">
        <f>_xlfn.CONCAT('Customer Inputs'!$AG$11,"_",FL17)</f>
        <v>#N/A</v>
      </c>
      <c r="FV17" s="1015">
        <f t="array" ref="FV17">IFERROR(INDEX('Margin Guidence Table'!$A$1:$AG$10000,MATCH(1,('Margin Guidence Table'!$A$1:$A$10000=FU17)*('Margin Guidence Table'!$I$1:$I$10000&lt;=ROUND($FM$3,0))*('Margin Guidence Table'!$J$1:$J$10000&gt;=ROUND($FM$3,0)),0),MATCH("DATA_POINTS",'Margin Guidence Table'!$A$1:$AG$1,0)),0)</f>
        <v>0</v>
      </c>
      <c r="FW17" s="1012" t="str">
        <f t="shared" si="37"/>
        <v>DEFAULT</v>
      </c>
      <c r="FX17" s="1012">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1012">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1016">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1016">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1016">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1016">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1016">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1016">
        <f t="array" ref="GE17">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361"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1012">
        <f>IFERROR(IF(AND($GJ$2&lt;&gt;"Enter Spend&gt;&gt;&gt;",$GK$2="EXISTING"),SUMIFS('Existing Customers'!$S:$S,'Existing Customers'!$H:$H,$GI17,'Existing Customers'!$A:$A,$GJ$1),GZ17*GJ17),0)</f>
        <v>0</v>
      </c>
      <c r="GQ17" s="1012">
        <f>IFERROR(IF(AND($GJ$2&lt;&gt;"Enter Spend&gt;&gt;&gt;",$GK$2="EXISTING"),SUMIFS('Existing Customers'!$U:$U,'Existing Customers'!$H:$H,$GI17,'Existing Customers'!$A:$A,$GJ$1),HA17*GJ17),0)</f>
        <v>0</v>
      </c>
      <c r="GR17" s="1015" t="e">
        <f>_xlfn.CONCAT('Customer Inputs'!$AG$12,"_",GI17)</f>
        <v>#N/A</v>
      </c>
      <c r="GS17" s="1015">
        <f t="array" ref="GS17">IFERROR(INDEX('Margin Guidence Table'!$A$1:$AG$10000,MATCH(1,('Margin Guidence Table'!$A$1:$A$10000=GR17)*('Margin Guidence Table'!$I$1:$I$10000&lt;=ROUND($GJ$3,0))*('Margin Guidence Table'!$J$1:$J$10000&gt;=ROUND($GJ$3,0)),0),MATCH("DATA_POINTS",'Margin Guidence Table'!$A$1:$AG$1,0)),0)</f>
        <v>0</v>
      </c>
      <c r="GT17" s="1012" t="str">
        <f t="shared" si="39"/>
        <v>DEFAULT</v>
      </c>
      <c r="GU17" s="1012">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1012">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1016">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1016">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1016">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1016">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1016">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1016">
        <f t="array" ref="HB17">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361"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1012">
        <f>IFERROR(IF(AND($HG$2&lt;&gt;"Enter Spend&gt;&gt;&gt;",$HH$2="EXISTING"),SUMIFS('Existing Customers'!$S:$S,'Existing Customers'!$H:$H,$HF17,'Existing Customers'!$A:$A,$HG$1),HW17*HG17),0)</f>
        <v>0</v>
      </c>
      <c r="HN17" s="1012">
        <f>IFERROR(IF(AND($HG$2&lt;&gt;"Enter Spend&gt;&gt;&gt;",$HH$2="EXISTING"),SUMIFS('Existing Customers'!$U:$U,'Existing Customers'!$H:$H,$HF17,'Existing Customers'!$A:$A,$HG$1),HX17*HG17),0)</f>
        <v>0</v>
      </c>
      <c r="HO17" s="1015" t="e">
        <f>_xlfn.CONCAT('Customer Inputs'!$AG$13,"_",HF17)</f>
        <v>#N/A</v>
      </c>
      <c r="HP17" s="1015">
        <f t="array" ref="HP17">IFERROR(INDEX('Margin Guidence Table'!$A$1:$AG$10000,MATCH(1,('Margin Guidence Table'!$A$1:$A$10000=HO17)*('Margin Guidence Table'!$I$1:$I$10000&lt;=ROUND($HG$3,0))*('Margin Guidence Table'!$J$1:$J$10000&gt;=ROUND($HG$3,0)),0),MATCH("DATA_POINTS",'Margin Guidence Table'!$A$1:$AG$1,0)),0)</f>
        <v>0</v>
      </c>
      <c r="HQ17" s="1012" t="str">
        <f t="shared" si="41"/>
        <v>DEFAULT</v>
      </c>
      <c r="HR17" s="1012">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1012">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1016">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1016">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1016">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1016">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1016">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1016">
        <f t="array" ref="HY17">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361"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67">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1012">
        <f>IFERROR(IF(AND($ID$2&lt;&gt;"Enter Spend&gt;&gt;&gt;",$IE$2="EXISTING"),SUMIFS('Existing Customers'!$S:$S,'Existing Customers'!$H:$H,$IC17,'Existing Customers'!$A:$A,$ID$1),IT17*ID17),0)</f>
        <v>0</v>
      </c>
      <c r="IK17" s="1012">
        <f>IFERROR(IF(AND($ID$2&lt;&gt;"Enter Spend&gt;&gt;&gt;",$IE$2="EXISTING"),SUMIFS('Existing Customers'!$U:$U,'Existing Customers'!$H:$H,$IC17,'Existing Customers'!$A:$A,$ID$1),IU17*ID17),0)</f>
        <v>0</v>
      </c>
      <c r="IL17" s="1015" t="e">
        <f>_xlfn.CONCAT('Customer Inputs'!$AG$14,"_",IC17)</f>
        <v>#N/A</v>
      </c>
      <c r="IM17" s="1015">
        <f t="array" ref="IM17">IFERROR(INDEX('Margin Guidence Table'!$A$1:$AG$10000,MATCH(1,('Margin Guidence Table'!$A$1:$A$10000=IL17)*('Margin Guidence Table'!$I$1:$I$10000&lt;=ROUND($ID$3,0))*('Margin Guidence Table'!$J$1:$J$10000&gt;=ROUND($ID$3,0)),0),MATCH("DATA_POINTS",'Margin Guidence Table'!$A$1:$AG$1,0)),0)</f>
        <v>0</v>
      </c>
      <c r="IN17" s="1012" t="str">
        <f t="shared" si="43"/>
        <v>DEFAULT</v>
      </c>
      <c r="IO17" s="1012">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1012">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1016">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1016">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1016">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1016">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1016">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1016">
        <f t="array" ref="IV17">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361"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67">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1012">
        <f>IFERROR(IF(AND($JA$2&lt;&gt;"Enter Spend&gt;&gt;&gt;",$JB$2="EXISTING"),SUMIFS('Existing Customers'!$S:$S,'Existing Customers'!$H:$H,$IZ17,'Existing Customers'!$A:$A,$JA$1),JQ17*JA17),0)</f>
        <v>0</v>
      </c>
      <c r="JH17" s="1012">
        <f>IFERROR(IF(AND($JA$2&lt;&gt;"Enter Spend&gt;&gt;&gt;",$JB$2="EXISTING"),SUMIFS('Existing Customers'!$U:$U,'Existing Customers'!$H:$H,$IZ17,'Existing Customers'!$A:$A,$JA$1),JR17*JA17),0)</f>
        <v>0</v>
      </c>
      <c r="JI17" s="1015" t="e">
        <f>_xlfn.CONCAT('Customer Inputs'!$AG$15,"_",IZ17)</f>
        <v>#N/A</v>
      </c>
      <c r="JJ17" s="1015">
        <f t="array" ref="JJ17">IFERROR(INDEX('Margin Guidence Table'!$A$1:$AG$10000,MATCH(1,('Margin Guidence Table'!$A$1:$A$10000=JI17)*('Margin Guidence Table'!$I$1:$I$10000&lt;=ROUND($JA$3,0))*('Margin Guidence Table'!$J$1:$J$10000&gt;=ROUND($JA$3,0)),0),MATCH("DATA_POINTS",'Margin Guidence Table'!$A$1:$AG$1,0)),0)</f>
        <v>0</v>
      </c>
      <c r="JK17" s="1012" t="str">
        <f t="shared" si="45"/>
        <v>DEFAULT</v>
      </c>
      <c r="JL17" s="1012">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1012">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1016">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1016">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1016">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1016">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1016">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1016">
        <f t="array" ref="JS17">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440">
        <f t="shared" si="9"/>
        <v>0</v>
      </c>
      <c r="D18" s="456">
        <f t="shared" si="10"/>
        <v>0</v>
      </c>
      <c r="E18" s="456">
        <f t="shared" si="11"/>
        <v>0</v>
      </c>
      <c r="F18" s="456">
        <f t="shared" si="12"/>
        <v>0</v>
      </c>
      <c r="G18" s="457">
        <f t="shared" si="13"/>
        <v>0</v>
      </c>
      <c r="H18" s="456">
        <f t="shared" si="14"/>
        <v>0</v>
      </c>
      <c r="I18" s="1010">
        <f t="shared" si="15"/>
        <v>0</v>
      </c>
      <c r="J18" s="1010">
        <f t="shared" si="0"/>
        <v>0</v>
      </c>
      <c r="K18" s="1010">
        <f t="shared" si="16"/>
        <v>0</v>
      </c>
      <c r="L18" s="456">
        <f t="shared" si="1"/>
        <v>0</v>
      </c>
      <c r="M18" s="456">
        <f t="shared" si="17"/>
        <v>0</v>
      </c>
      <c r="N18" s="1011">
        <f t="shared" si="2"/>
        <v>0</v>
      </c>
      <c r="P18" t="str">
        <f>'PIM Model'!E14</f>
        <v>INCLUDE</v>
      </c>
      <c r="Q18">
        <f t="shared" si="18"/>
        <v>0</v>
      </c>
      <c r="R18">
        <f t="shared" si="19"/>
        <v>0</v>
      </c>
      <c r="S18" s="99" t="s">
        <v>100</v>
      </c>
      <c r="T18" s="94">
        <f t="shared" si="20"/>
        <v>0</v>
      </c>
      <c r="U18" s="86">
        <f t="shared" si="3"/>
        <v>0</v>
      </c>
      <c r="V18" s="86">
        <f t="shared" si="4"/>
        <v>0</v>
      </c>
      <c r="W18" s="86">
        <f t="shared" si="5"/>
        <v>0</v>
      </c>
      <c r="X18" s="111">
        <f t="shared" si="6"/>
        <v>0</v>
      </c>
      <c r="Y18" s="114">
        <f t="shared" si="21"/>
        <v>0</v>
      </c>
      <c r="Z18" s="365"/>
      <c r="AA18" s="99" t="s">
        <v>100</v>
      </c>
      <c r="AB18" s="444">
        <f t="shared" si="7"/>
        <v>0</v>
      </c>
      <c r="AC18" s="445">
        <f t="shared" si="7"/>
        <v>0</v>
      </c>
      <c r="AD18" s="445">
        <f t="shared" si="7"/>
        <v>0</v>
      </c>
      <c r="AE18" s="446">
        <f t="shared" si="22"/>
        <v>0</v>
      </c>
      <c r="AF18" s="447">
        <f t="shared" si="23"/>
        <v>0</v>
      </c>
      <c r="AG18" s="365"/>
      <c r="AH18" s="99" t="s">
        <v>100</v>
      </c>
      <c r="AI18" s="444">
        <f t="shared" si="8"/>
        <v>0</v>
      </c>
      <c r="AJ18" s="441">
        <f t="shared" si="24"/>
        <v>0</v>
      </c>
      <c r="AK18" s="447"/>
      <c r="AL18" s="365"/>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65">
        <f>VLOOKUP($AH18&amp;$AM18,'IMargin Quartiles'!$A:$F,6,FALSE)</f>
        <v>0.18</v>
      </c>
      <c r="AO18" s="365"/>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65">
        <f t="shared" si="25"/>
        <v>0</v>
      </c>
      <c r="AR18">
        <f>'PIM Model'!C14</f>
        <v>0</v>
      </c>
      <c r="AS18" s="365"/>
      <c r="AT18" s="365"/>
      <c r="AU18" s="365" t="e">
        <f t="shared" si="46"/>
        <v>#DIV/0!</v>
      </c>
      <c r="AV18" s="365"/>
      <c r="AW18" s="365"/>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361"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67">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1014" t="e">
        <f>_xlfn.CONCAT('Customer Inputs'!$AG$6,"_",BA18)</f>
        <v>#N/A</v>
      </c>
      <c r="BK18" s="1015">
        <f t="array" ref="BK18">IFERROR(INDEX('Margin Guidence Table'!$A$1:$AG$10000,MATCH(1,('Margin Guidence Table'!$A$1:$A$10000=$BJ18)*('Margin Guidence Table'!$I$1:$I$10000&lt;=ROUND($BB$3,0))*('Margin Guidence Table'!$J$1:$J$10000&gt;=ROUND($BB$3,0)),0),MATCH("DATA_POINTS",'Margin Guidence Table'!$A$1:$AG$1,0)),0)</f>
        <v>0</v>
      </c>
      <c r="BL18" s="1012" t="str">
        <f t="shared" si="27"/>
        <v>DEFAULT</v>
      </c>
      <c r="BM18" s="1012">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1012">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1016">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1016">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1016">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1016">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1016">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1016">
        <f t="array" ref="BT18">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361"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1012">
        <f>IFERROR(IF(AND($BY$2&lt;&gt;"Enter Spend&gt;&gt;&gt;",$BZ$2="EXISTING"),SUMIFS('Existing Customers'!$S:$S,'Existing Customers'!$H:$H,$BX18,'Existing Customers'!$A:$A,$BY$1),CO18*BY18),0)</f>
        <v>0</v>
      </c>
      <c r="CF18" s="1012">
        <f>IFERROR(IF(AND($BY$2&lt;&gt;"Enter Spend&gt;&gt;&gt;",$BZ$2="EXISTING"),SUMIFS('Existing Customers'!$U:$U,'Existing Customers'!$H:$H,$BX18,'Existing Customers'!$A:$A,$BY$1),CP18*BY18),0)</f>
        <v>0</v>
      </c>
      <c r="CG18" s="1015" t="e">
        <f>_xlfn.CONCAT('Customer Inputs'!$AG$7,"_",BX18)</f>
        <v>#N/A</v>
      </c>
      <c r="CH18" s="1015">
        <f t="array" ref="CH18">IFERROR(INDEX('Margin Guidence Table'!$A$1:$AG$10000,MATCH(1,('Margin Guidence Table'!$A$1:$A$10000=$CG18)*('Margin Guidence Table'!$I$1:$I$10000&lt;=ROUND($BY$3,0))*('Margin Guidence Table'!$J$1:$J$10000&gt;=ROUND($BY$3,0)),0),MATCH("DATA_POINTS",'Margin Guidence Table'!$A$1:$AG$1,0)),0)</f>
        <v>0</v>
      </c>
      <c r="CI18" s="1012" t="str">
        <f t="shared" si="29"/>
        <v>DEFAULT</v>
      </c>
      <c r="CJ18" s="1012">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1012">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1016">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1016">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1016">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1016">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1016">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1016">
        <f t="array" ref="CQ18">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361"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1012">
        <f>IFERROR(IF(AND($CV$2&lt;&gt;"Enter Spend&gt;&gt;&gt;",$CW$2="EXISTING"),SUMIFS('Existing Customers'!$S:$S,'Existing Customers'!$H:$H,$CU18,'Existing Customers'!$A:$A,$CV$1),DL18*CV18),0)</f>
        <v>0</v>
      </c>
      <c r="DC18" s="1012">
        <f>IFERROR(IF(AND($CV$2&lt;&gt;"Enter Spend&gt;&gt;&gt;",$CW$2="EXISTING"),SUMIFS('Existing Customers'!$U:$U,'Existing Customers'!$H:$H,$CU18,'Existing Customers'!$A:$A,$CV$1),DM18*CV18),0)</f>
        <v>0</v>
      </c>
      <c r="DD18" s="1015" t="e">
        <f>_xlfn.CONCAT('Customer Inputs'!$AG$8,"_",CU18)</f>
        <v>#N/A</v>
      </c>
      <c r="DE18" s="1015">
        <f t="array" ref="DE18">IFERROR(INDEX('Margin Guidence Table'!$A$1:$AG$10000,MATCH(1,('Margin Guidence Table'!$A$1:$A$10000=DD18)*('Margin Guidence Table'!$I$1:$I$10000&lt;=ROUND($CV$3,0))*('Margin Guidence Table'!$J$1:$J$10000&gt;=ROUND($CV$3,0)),0),MATCH("DATA_POINTS",'Margin Guidence Table'!$A$1:$AG$1,0)),0)</f>
        <v>0</v>
      </c>
      <c r="DF18" s="1012" t="str">
        <f t="shared" si="31"/>
        <v>DEFAULT</v>
      </c>
      <c r="DG18" s="1012">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1012">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1016">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1016">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1016">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1016">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1016">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1016">
        <f t="array" ref="DN18">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361"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1012">
        <f>IFERROR(IF(AND($DS$2&lt;&gt;"Enter Spend&gt;&gt;&gt;",$DT$2="EXISTING"),SUMIFS('Existing Customers'!$S:$S,'Existing Customers'!$H:$H,$DT18,'Existing Customers'!$A:$A,$DS$1),EI18*DS18),0)</f>
        <v>0</v>
      </c>
      <c r="DZ18" s="1012">
        <f>IFERROR(IF(AND($DS$2&lt;&gt;"Enter Spend&gt;&gt;&gt;",$DT$2="EXISTING"),SUMIFS('Existing Customers'!$U:$U,'Existing Customers'!$H:$H,$DR18,'Existing Customers'!$A:$A,$DS$1),EJ18*DS18),0)</f>
        <v>0</v>
      </c>
      <c r="EA18" s="1015" t="e">
        <f>_xlfn.CONCAT('Customer Inputs'!$AG$9,"_",DR18)</f>
        <v>#N/A</v>
      </c>
      <c r="EB18" s="1015">
        <f t="array" ref="EB18">IFERROR(INDEX('Margin Guidence Table'!$A$1:$AG$10000,MATCH(1,('Margin Guidence Table'!$A$1:$A$10000=EA18)*('Margin Guidence Table'!$I$1:$I$10000&lt;=ROUND($DS$3,0))*('Margin Guidence Table'!$J$1:$J$10000&gt;=ROUND($DS$3,0)),0),MATCH("DATA_POINTS",'Margin Guidence Table'!$A$1:$AG$1,0)),0)</f>
        <v>0</v>
      </c>
      <c r="EC18" s="1012" t="str">
        <f t="shared" si="33"/>
        <v>DEFAULT</v>
      </c>
      <c r="ED18" s="1012">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1012">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1016">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1016">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1016">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1016">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1016">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1016">
        <f t="array" ref="EK18">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361"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1012">
        <f>IFERROR(IF(AND($EP$2&lt;&gt;"Enter Spend&gt;&gt;&gt;",$EQ$2="EXISTING"),SUMIFS('Existing Customers'!$S:$S,'Existing Customers'!$H:$H,$EO18,'Existing Customers'!$A:$A,$EP$1),FF18*EP18),0)</f>
        <v>0</v>
      </c>
      <c r="EW18" s="1012">
        <f>IFERROR(IF(AND($EP$2&lt;&gt;"Enter Spend&gt;&gt;&gt;",$EQ$2="EXISTING"),SUMIFS('Existing Customers'!$U:$U,'Existing Customers'!$H:$H,$EO18,'Existing Customers'!$A:$A,$EP$1),FG18*EP18),0)</f>
        <v>0</v>
      </c>
      <c r="EX18" s="1015" t="e">
        <f>_xlfn.CONCAT('Customer Inputs'!$AG$10,"_",EO18)</f>
        <v>#N/A</v>
      </c>
      <c r="EY18" s="1015">
        <f t="array" ref="EY18">IFERROR(INDEX('Margin Guidence Table'!$A$1:$AG$10000,MATCH(1,('Margin Guidence Table'!$A$1:$A$10000=EX18)*('Margin Guidence Table'!$I$1:$I$10000&lt;=ROUND($EP$3,0))*('Margin Guidence Table'!$J$1:$J$10000&gt;=ROUND($EP$3,0)),0),MATCH("DATA_POINTS",'Margin Guidence Table'!$A$1:$AG$1,0)),0)</f>
        <v>0</v>
      </c>
      <c r="EZ18" s="1012" t="str">
        <f t="shared" si="35"/>
        <v>DEFAULT</v>
      </c>
      <c r="FA18" s="1012">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1012"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1016">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1016">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1016">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1016">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1016">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1016">
        <f t="array" ref="FH18">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361"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1012">
        <f>IFERROR(IF(AND($FM$2&lt;&gt;"Enter Spend&gt;&gt;&gt;",$FN$2="EXISTING"),SUMIFS('Existing Customers'!$S:$S,'Existing Customers'!$H:$H,$FL18,'Existing Customers'!$A:$A,$FM$1),GC18*FM18),0)</f>
        <v>0</v>
      </c>
      <c r="FT18" s="1012">
        <f>IFERROR(IF(AND($FM$2&lt;&gt;"Enter Spend&gt;&gt;&gt;",$FN$2="EXISTING"),SUMIFS('Existing Customers'!$U:$U,'Existing Customers'!$H:$H,$FL18,'Existing Customers'!$A:$A,$FM$1),GD18*FM18),0)</f>
        <v>0</v>
      </c>
      <c r="FU18" s="1015" t="e">
        <f>_xlfn.CONCAT('Customer Inputs'!$AG$11,"_",FL18)</f>
        <v>#N/A</v>
      </c>
      <c r="FV18" s="1015">
        <f t="array" ref="FV18">IFERROR(INDEX('Margin Guidence Table'!$A$1:$AG$10000,MATCH(1,('Margin Guidence Table'!$A$1:$A$10000=FU18)*('Margin Guidence Table'!$I$1:$I$10000&lt;=ROUND($FM$3,0))*('Margin Guidence Table'!$J$1:$J$10000&gt;=ROUND($FM$3,0)),0),MATCH("DATA_POINTS",'Margin Guidence Table'!$A$1:$AG$1,0)),0)</f>
        <v>0</v>
      </c>
      <c r="FW18" s="1012" t="str">
        <f t="shared" si="37"/>
        <v>DEFAULT</v>
      </c>
      <c r="FX18" s="1012">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1012">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1016">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1016">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1016">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1016">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1016">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1016">
        <f t="array" ref="GE18">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361"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1012">
        <f>IFERROR(IF(AND($GJ$2&lt;&gt;"Enter Spend&gt;&gt;&gt;",$GK$2="EXISTING"),SUMIFS('Existing Customers'!$S:$S,'Existing Customers'!$H:$H,$GI18,'Existing Customers'!$A:$A,$GJ$1),GZ18*GJ18),0)</f>
        <v>0</v>
      </c>
      <c r="GQ18" s="1012">
        <f>IFERROR(IF(AND($GJ$2&lt;&gt;"Enter Spend&gt;&gt;&gt;",$GK$2="EXISTING"),SUMIFS('Existing Customers'!$U:$U,'Existing Customers'!$H:$H,$GI18,'Existing Customers'!$A:$A,$GJ$1),HA18*GJ18),0)</f>
        <v>0</v>
      </c>
      <c r="GR18" s="1015" t="e">
        <f>_xlfn.CONCAT('Customer Inputs'!$AG$12,"_",GI18)</f>
        <v>#N/A</v>
      </c>
      <c r="GS18" s="1015">
        <f t="array" ref="GS18">IFERROR(INDEX('Margin Guidence Table'!$A$1:$AG$10000,MATCH(1,('Margin Guidence Table'!$A$1:$A$10000=GR18)*('Margin Guidence Table'!$I$1:$I$10000&lt;=ROUND($GJ$3,0))*('Margin Guidence Table'!$J$1:$J$10000&gt;=ROUND($GJ$3,0)),0),MATCH("DATA_POINTS",'Margin Guidence Table'!$A$1:$AG$1,0)),0)</f>
        <v>0</v>
      </c>
      <c r="GT18" s="1012" t="str">
        <f t="shared" si="39"/>
        <v>DEFAULT</v>
      </c>
      <c r="GU18" s="1012">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1012">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1016">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1016">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1016">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1016">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1016">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1016">
        <f t="array" ref="HB18">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361"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1012">
        <f>IFERROR(IF(AND($HG$2&lt;&gt;"Enter Spend&gt;&gt;&gt;",$HH$2="EXISTING"),SUMIFS('Existing Customers'!$S:$S,'Existing Customers'!$H:$H,$HF18,'Existing Customers'!$A:$A,$HG$1),HW18*HG18),0)</f>
        <v>0</v>
      </c>
      <c r="HN18" s="1012">
        <f>IFERROR(IF(AND($HG$2&lt;&gt;"Enter Spend&gt;&gt;&gt;",$HH$2="EXISTING"),SUMIFS('Existing Customers'!$U:$U,'Existing Customers'!$H:$H,$HF18,'Existing Customers'!$A:$A,$HG$1),HX18*HG18),0)</f>
        <v>0</v>
      </c>
      <c r="HO18" s="1015" t="e">
        <f>_xlfn.CONCAT('Customer Inputs'!$AG$13,"_",HF18)</f>
        <v>#N/A</v>
      </c>
      <c r="HP18" s="1015">
        <f t="array" ref="HP18">IFERROR(INDEX('Margin Guidence Table'!$A$1:$AG$10000,MATCH(1,('Margin Guidence Table'!$A$1:$A$10000=HO18)*('Margin Guidence Table'!$I$1:$I$10000&lt;=ROUND($HG$3,0))*('Margin Guidence Table'!$J$1:$J$10000&gt;=ROUND($HG$3,0)),0),MATCH("DATA_POINTS",'Margin Guidence Table'!$A$1:$AG$1,0)),0)</f>
        <v>0</v>
      </c>
      <c r="HQ18" s="1012" t="str">
        <f t="shared" si="41"/>
        <v>DEFAULT</v>
      </c>
      <c r="HR18" s="1012">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1012">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1016">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1016">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1016">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1016">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1016">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1016">
        <f t="array" ref="HY18">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361"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67">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1012">
        <f>IFERROR(IF(AND($ID$2&lt;&gt;"Enter Spend&gt;&gt;&gt;",$IE$2="EXISTING"),SUMIFS('Existing Customers'!$S:$S,'Existing Customers'!$H:$H,$IC18,'Existing Customers'!$A:$A,$ID$1),IT18*ID18),0)</f>
        <v>0</v>
      </c>
      <c r="IK18" s="1012">
        <f>IFERROR(IF(AND($ID$2&lt;&gt;"Enter Spend&gt;&gt;&gt;",$IE$2="EXISTING"),SUMIFS('Existing Customers'!$U:$U,'Existing Customers'!$H:$H,$IC18,'Existing Customers'!$A:$A,$ID$1),IU18*ID18),0)</f>
        <v>0</v>
      </c>
      <c r="IL18" s="1015" t="e">
        <f>_xlfn.CONCAT('Customer Inputs'!$AG$14,"_",IC18)</f>
        <v>#N/A</v>
      </c>
      <c r="IM18" s="1015">
        <f t="array" ref="IM18">IFERROR(INDEX('Margin Guidence Table'!$A$1:$AG$10000,MATCH(1,('Margin Guidence Table'!$A$1:$A$10000=IL18)*('Margin Guidence Table'!$I$1:$I$10000&lt;=ROUND($ID$3,0))*('Margin Guidence Table'!$J$1:$J$10000&gt;=ROUND($ID$3,0)),0),MATCH("DATA_POINTS",'Margin Guidence Table'!$A$1:$AG$1,0)),0)</f>
        <v>0</v>
      </c>
      <c r="IN18" s="1012" t="str">
        <f t="shared" si="43"/>
        <v>DEFAULT</v>
      </c>
      <c r="IO18" s="1012">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1012">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1016">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1016">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1016">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1016">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1016">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1016">
        <f t="array" ref="IV18">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361"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67">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1012">
        <f>IFERROR(IF(AND($JA$2&lt;&gt;"Enter Spend&gt;&gt;&gt;",$JB$2="EXISTING"),SUMIFS('Existing Customers'!$S:$S,'Existing Customers'!$H:$H,$IZ18,'Existing Customers'!$A:$A,$JA$1),JQ18*JA18),0)</f>
        <v>0</v>
      </c>
      <c r="JH18" s="1012">
        <f>IFERROR(IF(AND($JA$2&lt;&gt;"Enter Spend&gt;&gt;&gt;",$JB$2="EXISTING"),SUMIFS('Existing Customers'!$U:$U,'Existing Customers'!$H:$H,$IZ18,'Existing Customers'!$A:$A,$JA$1),JR18*JA18),0)</f>
        <v>0</v>
      </c>
      <c r="JI18" s="1015" t="e">
        <f>_xlfn.CONCAT('Customer Inputs'!$AG$15,"_",IZ18)</f>
        <v>#N/A</v>
      </c>
      <c r="JJ18" s="1015">
        <f t="array" ref="JJ18">IFERROR(INDEX('Margin Guidence Table'!$A$1:$AG$10000,MATCH(1,('Margin Guidence Table'!$A$1:$A$10000=JI18)*('Margin Guidence Table'!$I$1:$I$10000&lt;=ROUND($JA$3,0))*('Margin Guidence Table'!$J$1:$J$10000&gt;=ROUND($JA$3,0)),0),MATCH("DATA_POINTS",'Margin Guidence Table'!$A$1:$AG$1,0)),0)</f>
        <v>0</v>
      </c>
      <c r="JK18" s="1012" t="str">
        <f t="shared" si="45"/>
        <v>DEFAULT</v>
      </c>
      <c r="JL18" s="1012">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1012">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1016">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1016">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1016">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1016">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1016">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1016">
        <f t="array" ref="JS18">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440">
        <f t="shared" si="9"/>
        <v>0</v>
      </c>
      <c r="D19" s="456">
        <f t="shared" si="10"/>
        <v>0</v>
      </c>
      <c r="E19" s="456">
        <f t="shared" si="11"/>
        <v>0</v>
      </c>
      <c r="F19" s="456">
        <f t="shared" si="12"/>
        <v>0</v>
      </c>
      <c r="G19" s="457">
        <f t="shared" si="13"/>
        <v>0</v>
      </c>
      <c r="H19" s="456">
        <f t="shared" si="14"/>
        <v>0</v>
      </c>
      <c r="I19" s="1010">
        <f t="shared" si="15"/>
        <v>0</v>
      </c>
      <c r="J19" s="1010">
        <f t="shared" si="0"/>
        <v>0</v>
      </c>
      <c r="K19" s="1010">
        <f t="shared" si="16"/>
        <v>0</v>
      </c>
      <c r="L19" s="456">
        <f t="shared" si="1"/>
        <v>0</v>
      </c>
      <c r="M19" s="456">
        <f t="shared" si="17"/>
        <v>0</v>
      </c>
      <c r="N19" s="1011">
        <f t="shared" si="2"/>
        <v>0</v>
      </c>
      <c r="P19" t="str">
        <f>'PIM Model'!E15</f>
        <v>INCLUDE</v>
      </c>
      <c r="Q19">
        <f t="shared" si="18"/>
        <v>0</v>
      </c>
      <c r="R19">
        <f t="shared" si="19"/>
        <v>0</v>
      </c>
      <c r="S19" s="99" t="s">
        <v>104</v>
      </c>
      <c r="T19" s="94">
        <f t="shared" si="20"/>
        <v>0</v>
      </c>
      <c r="U19" s="86">
        <f t="shared" si="3"/>
        <v>0</v>
      </c>
      <c r="V19" s="86">
        <f t="shared" si="4"/>
        <v>0</v>
      </c>
      <c r="W19" s="86">
        <f t="shared" si="5"/>
        <v>0</v>
      </c>
      <c r="X19" s="111">
        <f t="shared" si="6"/>
        <v>0</v>
      </c>
      <c r="Y19" s="114">
        <f t="shared" si="21"/>
        <v>0</v>
      </c>
      <c r="Z19" s="365"/>
      <c r="AA19" s="99" t="s">
        <v>104</v>
      </c>
      <c r="AB19" s="444">
        <f t="shared" si="7"/>
        <v>0</v>
      </c>
      <c r="AC19" s="445">
        <f t="shared" si="7"/>
        <v>0</v>
      </c>
      <c r="AD19" s="445">
        <f t="shared" si="7"/>
        <v>0</v>
      </c>
      <c r="AE19" s="446">
        <f t="shared" si="22"/>
        <v>0</v>
      </c>
      <c r="AF19" s="447">
        <f t="shared" si="23"/>
        <v>0</v>
      </c>
      <c r="AG19" s="365"/>
      <c r="AH19" s="99" t="s">
        <v>104</v>
      </c>
      <c r="AI19" s="444">
        <f t="shared" si="8"/>
        <v>0</v>
      </c>
      <c r="AJ19" s="441">
        <f t="shared" si="24"/>
        <v>0</v>
      </c>
      <c r="AK19" s="447"/>
      <c r="AL19" s="365"/>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65">
        <f>VLOOKUP($AH19&amp;$AM19,'IMargin Quartiles'!$A:$F,6,FALSE)</f>
        <v>0.18</v>
      </c>
      <c r="AO19" s="365"/>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65">
        <f t="shared" si="25"/>
        <v>0</v>
      </c>
      <c r="AR19">
        <f>'PIM Model'!C15</f>
        <v>0</v>
      </c>
      <c r="AS19" s="365"/>
      <c r="AT19" s="365"/>
      <c r="AU19" s="365" t="e">
        <f t="shared" si="46"/>
        <v>#DIV/0!</v>
      </c>
      <c r="AV19" s="365"/>
      <c r="AW19" s="365"/>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361"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67">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1014" t="e">
        <f>_xlfn.CONCAT('Customer Inputs'!$AG$6,"_",BA19)</f>
        <v>#N/A</v>
      </c>
      <c r="BK19" s="1015">
        <f t="array" ref="BK19">IFERROR(INDEX('Margin Guidence Table'!$A$1:$AG$10000,MATCH(1,('Margin Guidence Table'!$A$1:$A$10000=$BJ19)*('Margin Guidence Table'!$I$1:$I$10000&lt;=ROUND($BB$3,0))*('Margin Guidence Table'!$J$1:$J$10000&gt;=ROUND($BB$3,0)),0),MATCH("DATA_POINTS",'Margin Guidence Table'!$A$1:$AG$1,0)),0)</f>
        <v>0</v>
      </c>
      <c r="BL19" s="1012" t="str">
        <f t="shared" si="27"/>
        <v>DEFAULT</v>
      </c>
      <c r="BM19" s="1012">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1012">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1016">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1016">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1016">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1016">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1016">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1016">
        <f t="array" ref="BT19">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361"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1012">
        <f>IFERROR(IF(AND($BY$2&lt;&gt;"Enter Spend&gt;&gt;&gt;",$BZ$2="EXISTING"),SUMIFS('Existing Customers'!$S:$S,'Existing Customers'!$H:$H,$BX19,'Existing Customers'!$A:$A,$BY$1),CO19*BY19),0)</f>
        <v>0</v>
      </c>
      <c r="CF19" s="1012">
        <f>IFERROR(IF(AND($BY$2&lt;&gt;"Enter Spend&gt;&gt;&gt;",$BZ$2="EXISTING"),SUMIFS('Existing Customers'!$U:$U,'Existing Customers'!$H:$H,$BX19,'Existing Customers'!$A:$A,$BY$1),CP19*BY19),0)</f>
        <v>0</v>
      </c>
      <c r="CG19" s="1015" t="e">
        <f>_xlfn.CONCAT('Customer Inputs'!$AG$7,"_",BX19)</f>
        <v>#N/A</v>
      </c>
      <c r="CH19" s="1015">
        <f t="array" ref="CH19">IFERROR(INDEX('Margin Guidence Table'!$A$1:$AG$10000,MATCH(1,('Margin Guidence Table'!$A$1:$A$10000=$CG19)*('Margin Guidence Table'!$I$1:$I$10000&lt;=ROUND($BY$3,0))*('Margin Guidence Table'!$J$1:$J$10000&gt;=ROUND($BY$3,0)),0),MATCH("DATA_POINTS",'Margin Guidence Table'!$A$1:$AG$1,0)),0)</f>
        <v>0</v>
      </c>
      <c r="CI19" s="1012" t="str">
        <f t="shared" si="29"/>
        <v>DEFAULT</v>
      </c>
      <c r="CJ19" s="1012">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1012">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1016">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1016">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1016">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1016">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1016">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1016">
        <f t="array" ref="CQ19">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361"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1012">
        <f>IFERROR(IF(AND($CV$2&lt;&gt;"Enter Spend&gt;&gt;&gt;",$CW$2="EXISTING"),SUMIFS('Existing Customers'!$S:$S,'Existing Customers'!$H:$H,$CU19,'Existing Customers'!$A:$A,$CV$1),DL19*CV19),0)</f>
        <v>0</v>
      </c>
      <c r="DC19" s="1012">
        <f>IFERROR(IF(AND($CV$2&lt;&gt;"Enter Spend&gt;&gt;&gt;",$CW$2="EXISTING"),SUMIFS('Existing Customers'!$U:$U,'Existing Customers'!$H:$H,$CU19,'Existing Customers'!$A:$A,$CV$1),DM19*CV19),0)</f>
        <v>0</v>
      </c>
      <c r="DD19" s="1015" t="e">
        <f>_xlfn.CONCAT('Customer Inputs'!$AG$8,"_",CU19)</f>
        <v>#N/A</v>
      </c>
      <c r="DE19" s="1015">
        <f t="array" ref="DE19">IFERROR(INDEX('Margin Guidence Table'!$A$1:$AG$10000,MATCH(1,('Margin Guidence Table'!$A$1:$A$10000=DD19)*('Margin Guidence Table'!$I$1:$I$10000&lt;=ROUND($CV$3,0))*('Margin Guidence Table'!$J$1:$J$10000&gt;=ROUND($CV$3,0)),0),MATCH("DATA_POINTS",'Margin Guidence Table'!$A$1:$AG$1,0)),0)</f>
        <v>0</v>
      </c>
      <c r="DF19" s="1012" t="str">
        <f t="shared" si="31"/>
        <v>DEFAULT</v>
      </c>
      <c r="DG19" s="1012">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1012">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1016">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1016">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1016">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1016">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1016">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1016">
        <f t="array" ref="DN19">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361"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1012">
        <f>IFERROR(IF(AND($DS$2&lt;&gt;"Enter Spend&gt;&gt;&gt;",$DT$2="EXISTING"),SUMIFS('Existing Customers'!$S:$S,'Existing Customers'!$H:$H,$DT19,'Existing Customers'!$A:$A,$DS$1),EI19*DS19),0)</f>
        <v>0</v>
      </c>
      <c r="DZ19" s="1012">
        <f>IFERROR(IF(AND($DS$2&lt;&gt;"Enter Spend&gt;&gt;&gt;",$DT$2="EXISTING"),SUMIFS('Existing Customers'!$U:$U,'Existing Customers'!$H:$H,$DR19,'Existing Customers'!$A:$A,$DS$1),EJ19*DS19),0)</f>
        <v>0</v>
      </c>
      <c r="EA19" s="1015" t="e">
        <f>_xlfn.CONCAT('Customer Inputs'!$AG$9,"_",DR19)</f>
        <v>#N/A</v>
      </c>
      <c r="EB19" s="1015">
        <f t="array" ref="EB19">IFERROR(INDEX('Margin Guidence Table'!$A$1:$AG$10000,MATCH(1,('Margin Guidence Table'!$A$1:$A$10000=EA19)*('Margin Guidence Table'!$I$1:$I$10000&lt;=ROUND($DS$3,0))*('Margin Guidence Table'!$J$1:$J$10000&gt;=ROUND($DS$3,0)),0),MATCH("DATA_POINTS",'Margin Guidence Table'!$A$1:$AG$1,0)),0)</f>
        <v>0</v>
      </c>
      <c r="EC19" s="1012" t="str">
        <f t="shared" si="33"/>
        <v>DEFAULT</v>
      </c>
      <c r="ED19" s="1012">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1012">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1016">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1016">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1016">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1016">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1016">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1016">
        <f t="array" ref="EK19">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361"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1012">
        <f>IFERROR(IF(AND($EP$2&lt;&gt;"Enter Spend&gt;&gt;&gt;",$EQ$2="EXISTING"),SUMIFS('Existing Customers'!$S:$S,'Existing Customers'!$H:$H,$EO19,'Existing Customers'!$A:$A,$EP$1),FF19*EP19),0)</f>
        <v>0</v>
      </c>
      <c r="EW19" s="1012">
        <f>IFERROR(IF(AND($EP$2&lt;&gt;"Enter Spend&gt;&gt;&gt;",$EQ$2="EXISTING"),SUMIFS('Existing Customers'!$U:$U,'Existing Customers'!$H:$H,$EO19,'Existing Customers'!$A:$A,$EP$1),FG19*EP19),0)</f>
        <v>0</v>
      </c>
      <c r="EX19" s="1015" t="e">
        <f>_xlfn.CONCAT('Customer Inputs'!$AG$10,"_",EO19)</f>
        <v>#N/A</v>
      </c>
      <c r="EY19" s="1015">
        <f t="array" ref="EY19">IFERROR(INDEX('Margin Guidence Table'!$A$1:$AG$10000,MATCH(1,('Margin Guidence Table'!$A$1:$A$10000=EX19)*('Margin Guidence Table'!$I$1:$I$10000&lt;=ROUND($EP$3,0))*('Margin Guidence Table'!$J$1:$J$10000&gt;=ROUND($EP$3,0)),0),MATCH("DATA_POINTS",'Margin Guidence Table'!$A$1:$AG$1,0)),0)</f>
        <v>0</v>
      </c>
      <c r="EZ19" s="1012" t="str">
        <f t="shared" si="35"/>
        <v>DEFAULT</v>
      </c>
      <c r="FA19" s="1012">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1012"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1016">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1016">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1016">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1016">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1016">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1016">
        <f t="array" ref="FH19">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361"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1012">
        <f>IFERROR(IF(AND($FM$2&lt;&gt;"Enter Spend&gt;&gt;&gt;",$FN$2="EXISTING"),SUMIFS('Existing Customers'!$S:$S,'Existing Customers'!$H:$H,$FL19,'Existing Customers'!$A:$A,$FM$1),GC19*FM19),0)</f>
        <v>0</v>
      </c>
      <c r="FT19" s="1012">
        <f>IFERROR(IF(AND($FM$2&lt;&gt;"Enter Spend&gt;&gt;&gt;",$FN$2="EXISTING"),SUMIFS('Existing Customers'!$U:$U,'Existing Customers'!$H:$H,$FL19,'Existing Customers'!$A:$A,$FM$1),GD19*FM19),0)</f>
        <v>0</v>
      </c>
      <c r="FU19" s="1015" t="e">
        <f>_xlfn.CONCAT('Customer Inputs'!$AG$11,"_",FL19)</f>
        <v>#N/A</v>
      </c>
      <c r="FV19" s="1015">
        <f t="array" ref="FV19">IFERROR(INDEX('Margin Guidence Table'!$A$1:$AG$10000,MATCH(1,('Margin Guidence Table'!$A$1:$A$10000=FU19)*('Margin Guidence Table'!$I$1:$I$10000&lt;=ROUND($FM$3,0))*('Margin Guidence Table'!$J$1:$J$10000&gt;=ROUND($FM$3,0)),0),MATCH("DATA_POINTS",'Margin Guidence Table'!$A$1:$AG$1,0)),0)</f>
        <v>0</v>
      </c>
      <c r="FW19" s="1012" t="str">
        <f t="shared" si="37"/>
        <v>DEFAULT</v>
      </c>
      <c r="FX19" s="1012">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1012">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1016">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1016">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1016">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1016">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1016">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1016">
        <f t="array" ref="GE19">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361"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1012">
        <f>IFERROR(IF(AND($GJ$2&lt;&gt;"Enter Spend&gt;&gt;&gt;",$GK$2="EXISTING"),SUMIFS('Existing Customers'!$S:$S,'Existing Customers'!$H:$H,$GI19,'Existing Customers'!$A:$A,$GJ$1),GZ19*GJ19),0)</f>
        <v>0</v>
      </c>
      <c r="GQ19" s="1012">
        <f>IFERROR(IF(AND($GJ$2&lt;&gt;"Enter Spend&gt;&gt;&gt;",$GK$2="EXISTING"),SUMIFS('Existing Customers'!$U:$U,'Existing Customers'!$H:$H,$GI19,'Existing Customers'!$A:$A,$GJ$1),HA19*GJ19),0)</f>
        <v>0</v>
      </c>
      <c r="GR19" s="1015" t="e">
        <f>_xlfn.CONCAT('Customer Inputs'!$AG$12,"_",GI19)</f>
        <v>#N/A</v>
      </c>
      <c r="GS19" s="1015">
        <f t="array" ref="GS19">IFERROR(INDEX('Margin Guidence Table'!$A$1:$AG$10000,MATCH(1,('Margin Guidence Table'!$A$1:$A$10000=GR19)*('Margin Guidence Table'!$I$1:$I$10000&lt;=ROUND($GJ$3,0))*('Margin Guidence Table'!$J$1:$J$10000&gt;=ROUND($GJ$3,0)),0),MATCH("DATA_POINTS",'Margin Guidence Table'!$A$1:$AG$1,0)),0)</f>
        <v>0</v>
      </c>
      <c r="GT19" s="1012" t="str">
        <f t="shared" si="39"/>
        <v>DEFAULT</v>
      </c>
      <c r="GU19" s="1012">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1012">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1016">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1016">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1016">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1016">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1016">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1016">
        <f t="array" ref="HB19">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361"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1012">
        <f>IFERROR(IF(AND($HG$2&lt;&gt;"Enter Spend&gt;&gt;&gt;",$HH$2="EXISTING"),SUMIFS('Existing Customers'!$S:$S,'Existing Customers'!$H:$H,$HF19,'Existing Customers'!$A:$A,$HG$1),HW19*HG19),0)</f>
        <v>0</v>
      </c>
      <c r="HN19" s="1012">
        <f>IFERROR(IF(AND($HG$2&lt;&gt;"Enter Spend&gt;&gt;&gt;",$HH$2="EXISTING"),SUMIFS('Existing Customers'!$U:$U,'Existing Customers'!$H:$H,$HF19,'Existing Customers'!$A:$A,$HG$1),HX19*HG19),0)</f>
        <v>0</v>
      </c>
      <c r="HO19" s="1015" t="e">
        <f>_xlfn.CONCAT('Customer Inputs'!$AG$13,"_",HF19)</f>
        <v>#N/A</v>
      </c>
      <c r="HP19" s="1015">
        <f t="array" ref="HP19">IFERROR(INDEX('Margin Guidence Table'!$A$1:$AG$10000,MATCH(1,('Margin Guidence Table'!$A$1:$A$10000=HO19)*('Margin Guidence Table'!$I$1:$I$10000&lt;=ROUND($HG$3,0))*('Margin Guidence Table'!$J$1:$J$10000&gt;=ROUND($HG$3,0)),0),MATCH("DATA_POINTS",'Margin Guidence Table'!$A$1:$AG$1,0)),0)</f>
        <v>0</v>
      </c>
      <c r="HQ19" s="1012" t="str">
        <f t="shared" si="41"/>
        <v>DEFAULT</v>
      </c>
      <c r="HR19" s="1012">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1012">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1016">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1016">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1016">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1016">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1016">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1016">
        <f t="array" ref="HY19">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361"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67">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1012">
        <f>IFERROR(IF(AND($ID$2&lt;&gt;"Enter Spend&gt;&gt;&gt;",$IE$2="EXISTING"),SUMIFS('Existing Customers'!$S:$S,'Existing Customers'!$H:$H,$IC19,'Existing Customers'!$A:$A,$ID$1),IT19*ID19),0)</f>
        <v>0</v>
      </c>
      <c r="IK19" s="1012">
        <f>IFERROR(IF(AND($ID$2&lt;&gt;"Enter Spend&gt;&gt;&gt;",$IE$2="EXISTING"),SUMIFS('Existing Customers'!$U:$U,'Existing Customers'!$H:$H,$IC19,'Existing Customers'!$A:$A,$ID$1),IU19*ID19),0)</f>
        <v>0</v>
      </c>
      <c r="IL19" s="1015" t="e">
        <f>_xlfn.CONCAT('Customer Inputs'!$AG$14,"_",IC19)</f>
        <v>#N/A</v>
      </c>
      <c r="IM19" s="1015">
        <f t="array" ref="IM19">IFERROR(INDEX('Margin Guidence Table'!$A$1:$AG$10000,MATCH(1,('Margin Guidence Table'!$A$1:$A$10000=IL19)*('Margin Guidence Table'!$I$1:$I$10000&lt;=ROUND($ID$3,0))*('Margin Guidence Table'!$J$1:$J$10000&gt;=ROUND($ID$3,0)),0),MATCH("DATA_POINTS",'Margin Guidence Table'!$A$1:$AG$1,0)),0)</f>
        <v>0</v>
      </c>
      <c r="IN19" s="1012" t="str">
        <f t="shared" si="43"/>
        <v>DEFAULT</v>
      </c>
      <c r="IO19" s="1012">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1012">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1016">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1016">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1016">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1016">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1016">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1016">
        <f t="array" ref="IV19">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361"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67">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1012">
        <f>IFERROR(IF(AND($JA$2&lt;&gt;"Enter Spend&gt;&gt;&gt;",$JB$2="EXISTING"),SUMIFS('Existing Customers'!$S:$S,'Existing Customers'!$H:$H,$IZ19,'Existing Customers'!$A:$A,$JA$1),JQ19*JA19),0)</f>
        <v>0</v>
      </c>
      <c r="JH19" s="1012">
        <f>IFERROR(IF(AND($JA$2&lt;&gt;"Enter Spend&gt;&gt;&gt;",$JB$2="EXISTING"),SUMIFS('Existing Customers'!$U:$U,'Existing Customers'!$H:$H,$IZ19,'Existing Customers'!$A:$A,$JA$1),JR19*JA19),0)</f>
        <v>0</v>
      </c>
      <c r="JI19" s="1015" t="e">
        <f>_xlfn.CONCAT('Customer Inputs'!$AG$15,"_",IZ19)</f>
        <v>#N/A</v>
      </c>
      <c r="JJ19" s="1015">
        <f t="array" ref="JJ19">IFERROR(INDEX('Margin Guidence Table'!$A$1:$AG$10000,MATCH(1,('Margin Guidence Table'!$A$1:$A$10000=JI19)*('Margin Guidence Table'!$I$1:$I$10000&lt;=ROUND($JA$3,0))*('Margin Guidence Table'!$J$1:$J$10000&gt;=ROUND($JA$3,0)),0),MATCH("DATA_POINTS",'Margin Guidence Table'!$A$1:$AG$1,0)),0)</f>
        <v>0</v>
      </c>
      <c r="JK19" s="1012" t="str">
        <f t="shared" si="45"/>
        <v>DEFAULT</v>
      </c>
      <c r="JL19" s="1012">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1012">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1016">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1016">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1016">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1016">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1016">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1016">
        <f t="array" ref="JS19">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440">
        <f t="shared" si="9"/>
        <v>0</v>
      </c>
      <c r="D20" s="456">
        <f t="shared" si="10"/>
        <v>0</v>
      </c>
      <c r="E20" s="456">
        <f t="shared" si="11"/>
        <v>0</v>
      </c>
      <c r="F20" s="456">
        <f t="shared" si="12"/>
        <v>0</v>
      </c>
      <c r="G20" s="457">
        <f t="shared" si="13"/>
        <v>0</v>
      </c>
      <c r="H20" s="456">
        <f t="shared" si="14"/>
        <v>0</v>
      </c>
      <c r="I20" s="1010">
        <f t="shared" si="15"/>
        <v>0</v>
      </c>
      <c r="J20" s="1010">
        <f t="shared" si="0"/>
        <v>0</v>
      </c>
      <c r="K20" s="1010">
        <f t="shared" si="16"/>
        <v>0</v>
      </c>
      <c r="L20" s="456">
        <f t="shared" si="1"/>
        <v>0</v>
      </c>
      <c r="M20" s="456">
        <f t="shared" si="17"/>
        <v>0</v>
      </c>
      <c r="N20" s="1011">
        <f t="shared" si="2"/>
        <v>0</v>
      </c>
      <c r="P20" t="str">
        <f>'PIM Model'!E16</f>
        <v>INCLUDE</v>
      </c>
      <c r="Q20">
        <f t="shared" si="18"/>
        <v>0</v>
      </c>
      <c r="R20">
        <f t="shared" si="19"/>
        <v>0</v>
      </c>
      <c r="S20" s="99" t="s">
        <v>98</v>
      </c>
      <c r="T20" s="94">
        <f t="shared" si="20"/>
        <v>0</v>
      </c>
      <c r="U20" s="86">
        <f t="shared" si="3"/>
        <v>0</v>
      </c>
      <c r="V20" s="86">
        <f t="shared" si="4"/>
        <v>0</v>
      </c>
      <c r="W20" s="86">
        <f t="shared" si="5"/>
        <v>0</v>
      </c>
      <c r="X20" s="111">
        <f t="shared" si="6"/>
        <v>0</v>
      </c>
      <c r="Y20" s="114">
        <f t="shared" si="21"/>
        <v>0</v>
      </c>
      <c r="Z20" s="365"/>
      <c r="AA20" s="99" t="s">
        <v>98</v>
      </c>
      <c r="AB20" s="444">
        <f t="shared" si="7"/>
        <v>0</v>
      </c>
      <c r="AC20" s="445">
        <f t="shared" si="7"/>
        <v>0</v>
      </c>
      <c r="AD20" s="445">
        <f t="shared" si="7"/>
        <v>0</v>
      </c>
      <c r="AE20" s="446">
        <f t="shared" si="22"/>
        <v>0</v>
      </c>
      <c r="AF20" s="447">
        <f t="shared" si="23"/>
        <v>0</v>
      </c>
      <c r="AG20" s="365"/>
      <c r="AH20" s="99" t="s">
        <v>98</v>
      </c>
      <c r="AI20" s="444">
        <f t="shared" si="8"/>
        <v>0</v>
      </c>
      <c r="AJ20" s="441">
        <f t="shared" si="24"/>
        <v>0</v>
      </c>
      <c r="AK20" s="447"/>
      <c r="AL20" s="365"/>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65">
        <f>VLOOKUP($AH20&amp;$AM20,'IMargin Quartiles'!$A:$F,6,FALSE)</f>
        <v>0.17</v>
      </c>
      <c r="AO20" s="365"/>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65">
        <f t="shared" si="25"/>
        <v>0</v>
      </c>
      <c r="AR20">
        <f>'PIM Model'!C16</f>
        <v>0</v>
      </c>
      <c r="AS20" s="365"/>
      <c r="AT20" s="365"/>
      <c r="AU20" s="365" t="e">
        <f t="shared" si="46"/>
        <v>#DIV/0!</v>
      </c>
      <c r="AV20" s="365"/>
      <c r="AW20" s="365"/>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361"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67">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1014" t="e">
        <f>_xlfn.CONCAT('Customer Inputs'!$AG$6,"_",BA20)</f>
        <v>#N/A</v>
      </c>
      <c r="BK20" s="1015">
        <f t="array" ref="BK20">IFERROR(INDEX('Margin Guidence Table'!$A$1:$AG$10000,MATCH(1,('Margin Guidence Table'!$A$1:$A$10000=$BJ20)*('Margin Guidence Table'!$I$1:$I$10000&lt;=ROUND($BB$3,0))*('Margin Guidence Table'!$J$1:$J$10000&gt;=ROUND($BB$3,0)),0),MATCH("DATA_POINTS",'Margin Guidence Table'!$A$1:$AG$1,0)),0)</f>
        <v>0</v>
      </c>
      <c r="BL20" s="1012" t="str">
        <f t="shared" si="27"/>
        <v>DEFAULT</v>
      </c>
      <c r="BM20" s="1012">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1012">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1016">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1016">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1016">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1016">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1016">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1016">
        <f t="array" ref="BT2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361"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1012">
        <f>IFERROR(IF(AND($BY$2&lt;&gt;"Enter Spend&gt;&gt;&gt;",$BZ$2="EXISTING"),SUMIFS('Existing Customers'!$S:$S,'Existing Customers'!$H:$H,$BX20,'Existing Customers'!$A:$A,$BY$1),CO20*BY20),0)</f>
        <v>0</v>
      </c>
      <c r="CF20" s="1012">
        <f>IFERROR(IF(AND($BY$2&lt;&gt;"Enter Spend&gt;&gt;&gt;",$BZ$2="EXISTING"),SUMIFS('Existing Customers'!$U:$U,'Existing Customers'!$H:$H,$BX20,'Existing Customers'!$A:$A,$BY$1),CP20*BY20),0)</f>
        <v>0</v>
      </c>
      <c r="CG20" s="1015" t="e">
        <f>_xlfn.CONCAT('Customer Inputs'!$AG$7,"_",BX20)</f>
        <v>#N/A</v>
      </c>
      <c r="CH20" s="1015">
        <f t="array" ref="CH20">IFERROR(INDEX('Margin Guidence Table'!$A$1:$AG$10000,MATCH(1,('Margin Guidence Table'!$A$1:$A$10000=$CG20)*('Margin Guidence Table'!$I$1:$I$10000&lt;=ROUND($BY$3,0))*('Margin Guidence Table'!$J$1:$J$10000&gt;=ROUND($BY$3,0)),0),MATCH("DATA_POINTS",'Margin Guidence Table'!$A$1:$AG$1,0)),0)</f>
        <v>0</v>
      </c>
      <c r="CI20" s="1012" t="str">
        <f t="shared" si="29"/>
        <v>DEFAULT</v>
      </c>
      <c r="CJ20" s="1012">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1012">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1016">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1016">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1016">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1016">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1016">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1016">
        <f t="array" ref="CQ2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361"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1012">
        <f>IFERROR(IF(AND($CV$2&lt;&gt;"Enter Spend&gt;&gt;&gt;",$CW$2="EXISTING"),SUMIFS('Existing Customers'!$S:$S,'Existing Customers'!$H:$H,$CU20,'Existing Customers'!$A:$A,$CV$1),DL20*CV20),0)</f>
        <v>0</v>
      </c>
      <c r="DC20" s="1012">
        <f>IFERROR(IF(AND($CV$2&lt;&gt;"Enter Spend&gt;&gt;&gt;",$CW$2="EXISTING"),SUMIFS('Existing Customers'!$U:$U,'Existing Customers'!$H:$H,$CU20,'Existing Customers'!$A:$A,$CV$1),DM20*CV20),0)</f>
        <v>0</v>
      </c>
      <c r="DD20" s="1015" t="e">
        <f>_xlfn.CONCAT('Customer Inputs'!$AG$8,"_",CU20)</f>
        <v>#N/A</v>
      </c>
      <c r="DE20" s="1015">
        <f t="array" ref="DE20">IFERROR(INDEX('Margin Guidence Table'!$A$1:$AG$10000,MATCH(1,('Margin Guidence Table'!$A$1:$A$10000=DD20)*('Margin Guidence Table'!$I$1:$I$10000&lt;=ROUND($CV$3,0))*('Margin Guidence Table'!$J$1:$J$10000&gt;=ROUND($CV$3,0)),0),MATCH("DATA_POINTS",'Margin Guidence Table'!$A$1:$AG$1,0)),0)</f>
        <v>0</v>
      </c>
      <c r="DF20" s="1012" t="str">
        <f t="shared" si="31"/>
        <v>DEFAULT</v>
      </c>
      <c r="DG20" s="1012">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1012">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1016">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1016">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1016">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1016">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1016">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1016">
        <f t="array" ref="DN2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361"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1012">
        <f>IFERROR(IF(AND($DS$2&lt;&gt;"Enter Spend&gt;&gt;&gt;",$DT$2="EXISTING"),SUMIFS('Existing Customers'!$S:$S,'Existing Customers'!$H:$H,$DT20,'Existing Customers'!$A:$A,$DS$1),EI20*DS20),0)</f>
        <v>0</v>
      </c>
      <c r="DZ20" s="1012">
        <f>IFERROR(IF(AND($DS$2&lt;&gt;"Enter Spend&gt;&gt;&gt;",$DT$2="EXISTING"),SUMIFS('Existing Customers'!$U:$U,'Existing Customers'!$H:$H,$DR20,'Existing Customers'!$A:$A,$DS$1),EJ20*DS20),0)</f>
        <v>0</v>
      </c>
      <c r="EA20" s="1015" t="e">
        <f>_xlfn.CONCAT('Customer Inputs'!$AG$9,"_",DR20)</f>
        <v>#N/A</v>
      </c>
      <c r="EB20" s="1015">
        <f t="array" ref="EB20">IFERROR(INDEX('Margin Guidence Table'!$A$1:$AG$10000,MATCH(1,('Margin Guidence Table'!$A$1:$A$10000=EA20)*('Margin Guidence Table'!$I$1:$I$10000&lt;=ROUND($DS$3,0))*('Margin Guidence Table'!$J$1:$J$10000&gt;=ROUND($DS$3,0)),0),MATCH("DATA_POINTS",'Margin Guidence Table'!$A$1:$AG$1,0)),0)</f>
        <v>0</v>
      </c>
      <c r="EC20" s="1012" t="str">
        <f t="shared" si="33"/>
        <v>DEFAULT</v>
      </c>
      <c r="ED20" s="1012">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1012">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1016">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1016">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1016">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1016">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1016">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1016">
        <f t="array" ref="EK2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361"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1012">
        <f>IFERROR(IF(AND($EP$2&lt;&gt;"Enter Spend&gt;&gt;&gt;",$EQ$2="EXISTING"),SUMIFS('Existing Customers'!$S:$S,'Existing Customers'!$H:$H,$EO20,'Existing Customers'!$A:$A,$EP$1),FF20*EP20),0)</f>
        <v>0</v>
      </c>
      <c r="EW20" s="1012">
        <f>IFERROR(IF(AND($EP$2&lt;&gt;"Enter Spend&gt;&gt;&gt;",$EQ$2="EXISTING"),SUMIFS('Existing Customers'!$U:$U,'Existing Customers'!$H:$H,$EO20,'Existing Customers'!$A:$A,$EP$1),FG20*EP20),0)</f>
        <v>0</v>
      </c>
      <c r="EX20" s="1015" t="e">
        <f>_xlfn.CONCAT('Customer Inputs'!$AG$10,"_",EO20)</f>
        <v>#N/A</v>
      </c>
      <c r="EY20" s="1015">
        <f t="array" ref="EY20">IFERROR(INDEX('Margin Guidence Table'!$A$1:$AG$10000,MATCH(1,('Margin Guidence Table'!$A$1:$A$10000=EX20)*('Margin Guidence Table'!$I$1:$I$10000&lt;=ROUND($EP$3,0))*('Margin Guidence Table'!$J$1:$J$10000&gt;=ROUND($EP$3,0)),0),MATCH("DATA_POINTS",'Margin Guidence Table'!$A$1:$AG$1,0)),0)</f>
        <v>0</v>
      </c>
      <c r="EZ20" s="1012" t="str">
        <f t="shared" si="35"/>
        <v>DEFAULT</v>
      </c>
      <c r="FA20" s="1012">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1012"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1016">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1016">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1016">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1016">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1016">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1016">
        <f t="array" ref="FH2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361"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1012">
        <f>IFERROR(IF(AND($FM$2&lt;&gt;"Enter Spend&gt;&gt;&gt;",$FN$2="EXISTING"),SUMIFS('Existing Customers'!$S:$S,'Existing Customers'!$H:$H,$FL20,'Existing Customers'!$A:$A,$FM$1),GC20*FM20),0)</f>
        <v>0</v>
      </c>
      <c r="FT20" s="1012">
        <f>IFERROR(IF(AND($FM$2&lt;&gt;"Enter Spend&gt;&gt;&gt;",$FN$2="EXISTING"),SUMIFS('Existing Customers'!$U:$U,'Existing Customers'!$H:$H,$FL20,'Existing Customers'!$A:$A,$FM$1),GD20*FM20),0)</f>
        <v>0</v>
      </c>
      <c r="FU20" s="1015" t="e">
        <f>_xlfn.CONCAT('Customer Inputs'!$AG$11,"_",FL20)</f>
        <v>#N/A</v>
      </c>
      <c r="FV20" s="1015">
        <f t="array" ref="FV20">IFERROR(INDEX('Margin Guidence Table'!$A$1:$AG$10000,MATCH(1,('Margin Guidence Table'!$A$1:$A$10000=FU20)*('Margin Guidence Table'!$I$1:$I$10000&lt;=ROUND($FM$3,0))*('Margin Guidence Table'!$J$1:$J$10000&gt;=ROUND($FM$3,0)),0),MATCH("DATA_POINTS",'Margin Guidence Table'!$A$1:$AG$1,0)),0)</f>
        <v>0</v>
      </c>
      <c r="FW20" s="1012" t="str">
        <f t="shared" si="37"/>
        <v>DEFAULT</v>
      </c>
      <c r="FX20" s="1012">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1012">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1016">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1016">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1016">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1016">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1016">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1016">
        <f t="array" ref="GE2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361"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1012">
        <f>IFERROR(IF(AND($GJ$2&lt;&gt;"Enter Spend&gt;&gt;&gt;",$GK$2="EXISTING"),SUMIFS('Existing Customers'!$S:$S,'Existing Customers'!$H:$H,$GI20,'Existing Customers'!$A:$A,$GJ$1),GZ20*GJ20),0)</f>
        <v>0</v>
      </c>
      <c r="GQ20" s="1012">
        <f>IFERROR(IF(AND($GJ$2&lt;&gt;"Enter Spend&gt;&gt;&gt;",$GK$2="EXISTING"),SUMIFS('Existing Customers'!$U:$U,'Existing Customers'!$H:$H,$GI20,'Existing Customers'!$A:$A,$GJ$1),HA20*GJ20),0)</f>
        <v>0</v>
      </c>
      <c r="GR20" s="1015" t="e">
        <f>_xlfn.CONCAT('Customer Inputs'!$AG$12,"_",GI20)</f>
        <v>#N/A</v>
      </c>
      <c r="GS20" s="1015">
        <f t="array" ref="GS20">IFERROR(INDEX('Margin Guidence Table'!$A$1:$AG$10000,MATCH(1,('Margin Guidence Table'!$A$1:$A$10000=GR20)*('Margin Guidence Table'!$I$1:$I$10000&lt;=ROUND($GJ$3,0))*('Margin Guidence Table'!$J$1:$J$10000&gt;=ROUND($GJ$3,0)),0),MATCH("DATA_POINTS",'Margin Guidence Table'!$A$1:$AG$1,0)),0)</f>
        <v>0</v>
      </c>
      <c r="GT20" s="1012" t="str">
        <f t="shared" si="39"/>
        <v>DEFAULT</v>
      </c>
      <c r="GU20" s="1012">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1012">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1016">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1016">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1016">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1016">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1016">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1016">
        <f t="array" ref="HB2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361"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1012">
        <f>IFERROR(IF(AND($HG$2&lt;&gt;"Enter Spend&gt;&gt;&gt;",$HH$2="EXISTING"),SUMIFS('Existing Customers'!$S:$S,'Existing Customers'!$H:$H,$HF20,'Existing Customers'!$A:$A,$HG$1),HW20*HG20),0)</f>
        <v>0</v>
      </c>
      <c r="HN20" s="1012">
        <f>IFERROR(IF(AND($HG$2&lt;&gt;"Enter Spend&gt;&gt;&gt;",$HH$2="EXISTING"),SUMIFS('Existing Customers'!$U:$U,'Existing Customers'!$H:$H,$HF20,'Existing Customers'!$A:$A,$HG$1),HX20*HG20),0)</f>
        <v>0</v>
      </c>
      <c r="HO20" s="1015" t="e">
        <f>_xlfn.CONCAT('Customer Inputs'!$AG$13,"_",HF20)</f>
        <v>#N/A</v>
      </c>
      <c r="HP20" s="1015">
        <f t="array" ref="HP20">IFERROR(INDEX('Margin Guidence Table'!$A$1:$AG$10000,MATCH(1,('Margin Guidence Table'!$A$1:$A$10000=HO20)*('Margin Guidence Table'!$I$1:$I$10000&lt;=ROUND($HG$3,0))*('Margin Guidence Table'!$J$1:$J$10000&gt;=ROUND($HG$3,0)),0),MATCH("DATA_POINTS",'Margin Guidence Table'!$A$1:$AG$1,0)),0)</f>
        <v>0</v>
      </c>
      <c r="HQ20" s="1012" t="str">
        <f t="shared" si="41"/>
        <v>DEFAULT</v>
      </c>
      <c r="HR20" s="1012">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1012">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1016">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1016">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1016">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1016">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1016">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1016">
        <f t="array" ref="HY2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361"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67">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1012">
        <f>IFERROR(IF(AND($ID$2&lt;&gt;"Enter Spend&gt;&gt;&gt;",$IE$2="EXISTING"),SUMIFS('Existing Customers'!$S:$S,'Existing Customers'!$H:$H,$IC20,'Existing Customers'!$A:$A,$ID$1),IT20*ID20),0)</f>
        <v>0</v>
      </c>
      <c r="IK20" s="1012">
        <f>IFERROR(IF(AND($ID$2&lt;&gt;"Enter Spend&gt;&gt;&gt;",$IE$2="EXISTING"),SUMIFS('Existing Customers'!$U:$U,'Existing Customers'!$H:$H,$IC20,'Existing Customers'!$A:$A,$ID$1),IU20*ID20),0)</f>
        <v>0</v>
      </c>
      <c r="IL20" s="1015" t="e">
        <f>_xlfn.CONCAT('Customer Inputs'!$AG$14,"_",IC20)</f>
        <v>#N/A</v>
      </c>
      <c r="IM20" s="1015">
        <f t="array" ref="IM20">IFERROR(INDEX('Margin Guidence Table'!$A$1:$AG$10000,MATCH(1,('Margin Guidence Table'!$A$1:$A$10000=IL20)*('Margin Guidence Table'!$I$1:$I$10000&lt;=ROUND($ID$3,0))*('Margin Guidence Table'!$J$1:$J$10000&gt;=ROUND($ID$3,0)),0),MATCH("DATA_POINTS",'Margin Guidence Table'!$A$1:$AG$1,0)),0)</f>
        <v>0</v>
      </c>
      <c r="IN20" s="1012" t="str">
        <f t="shared" si="43"/>
        <v>DEFAULT</v>
      </c>
      <c r="IO20" s="1012">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1012">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1016">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1016">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1016">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1016">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1016">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1016">
        <f t="array" ref="IV2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361"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67">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1012">
        <f>IFERROR(IF(AND($JA$2&lt;&gt;"Enter Spend&gt;&gt;&gt;",$JB$2="EXISTING"),SUMIFS('Existing Customers'!$S:$S,'Existing Customers'!$H:$H,$IZ20,'Existing Customers'!$A:$A,$JA$1),JQ20*JA20),0)</f>
        <v>0</v>
      </c>
      <c r="JH20" s="1012">
        <f>IFERROR(IF(AND($JA$2&lt;&gt;"Enter Spend&gt;&gt;&gt;",$JB$2="EXISTING"),SUMIFS('Existing Customers'!$U:$U,'Existing Customers'!$H:$H,$IZ20,'Existing Customers'!$A:$A,$JA$1),JR20*JA20),0)</f>
        <v>0</v>
      </c>
      <c r="JI20" s="1015" t="e">
        <f>_xlfn.CONCAT('Customer Inputs'!$AG$15,"_",IZ20)</f>
        <v>#N/A</v>
      </c>
      <c r="JJ20" s="1015">
        <f t="array" ref="JJ20">IFERROR(INDEX('Margin Guidence Table'!$A$1:$AG$10000,MATCH(1,('Margin Guidence Table'!$A$1:$A$10000=JI20)*('Margin Guidence Table'!$I$1:$I$10000&lt;=ROUND($JA$3,0))*('Margin Guidence Table'!$J$1:$J$10000&gt;=ROUND($JA$3,0)),0),MATCH("DATA_POINTS",'Margin Guidence Table'!$A$1:$AG$1,0)),0)</f>
        <v>0</v>
      </c>
      <c r="JK20" s="1012" t="str">
        <f t="shared" si="45"/>
        <v>DEFAULT</v>
      </c>
      <c r="JL20" s="1012">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1012">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1016">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1016">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1016">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1016">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1016">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1016">
        <f t="array" ref="JS2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440">
        <f t="shared" si="9"/>
        <v>0</v>
      </c>
      <c r="D21" s="456">
        <f t="shared" si="10"/>
        <v>0</v>
      </c>
      <c r="E21" s="456">
        <f t="shared" si="11"/>
        <v>0</v>
      </c>
      <c r="F21" s="456">
        <f t="shared" si="12"/>
        <v>0</v>
      </c>
      <c r="G21" s="457">
        <f t="shared" si="13"/>
        <v>0</v>
      </c>
      <c r="H21" s="456">
        <f t="shared" si="14"/>
        <v>0</v>
      </c>
      <c r="I21" s="1010">
        <f t="shared" si="15"/>
        <v>0</v>
      </c>
      <c r="J21" s="1010">
        <f t="shared" si="0"/>
        <v>0</v>
      </c>
      <c r="K21" s="1010">
        <f t="shared" si="16"/>
        <v>0</v>
      </c>
      <c r="L21" s="456">
        <f t="shared" si="1"/>
        <v>0</v>
      </c>
      <c r="M21" s="456">
        <f t="shared" si="17"/>
        <v>0</v>
      </c>
      <c r="N21" s="1011">
        <f t="shared" si="2"/>
        <v>0</v>
      </c>
      <c r="P21" t="str">
        <f>'PIM Model'!E17</f>
        <v>INCLUDE</v>
      </c>
      <c r="Q21">
        <f t="shared" si="18"/>
        <v>0</v>
      </c>
      <c r="R21">
        <f t="shared" si="19"/>
        <v>0</v>
      </c>
      <c r="S21" s="99" t="s">
        <v>95</v>
      </c>
      <c r="T21" s="94">
        <f t="shared" si="20"/>
        <v>0</v>
      </c>
      <c r="U21" s="86">
        <f t="shared" si="3"/>
        <v>0</v>
      </c>
      <c r="V21" s="86">
        <f t="shared" si="4"/>
        <v>0</v>
      </c>
      <c r="W21" s="86">
        <f t="shared" si="5"/>
        <v>0</v>
      </c>
      <c r="X21" s="111">
        <f t="shared" si="6"/>
        <v>0</v>
      </c>
      <c r="Y21" s="114">
        <f t="shared" si="21"/>
        <v>0</v>
      </c>
      <c r="Z21" s="365"/>
      <c r="AA21" s="99" t="s">
        <v>95</v>
      </c>
      <c r="AB21" s="444">
        <f t="shared" si="7"/>
        <v>0</v>
      </c>
      <c r="AC21" s="445">
        <f t="shared" si="7"/>
        <v>0</v>
      </c>
      <c r="AD21" s="445">
        <f t="shared" si="7"/>
        <v>0</v>
      </c>
      <c r="AE21" s="446">
        <f t="shared" si="22"/>
        <v>0</v>
      </c>
      <c r="AF21" s="447">
        <f t="shared" si="23"/>
        <v>0</v>
      </c>
      <c r="AG21" s="365"/>
      <c r="AH21" s="99" t="s">
        <v>95</v>
      </c>
      <c r="AI21" s="444">
        <f t="shared" si="8"/>
        <v>0</v>
      </c>
      <c r="AJ21" s="441">
        <f t="shared" si="24"/>
        <v>0</v>
      </c>
      <c r="AK21" s="447"/>
      <c r="AL21" s="365"/>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65">
        <f>VLOOKUP($AH21&amp;$AM21,'IMargin Quartiles'!$A:$F,6,FALSE)</f>
        <v>0.12</v>
      </c>
      <c r="AO21" s="365"/>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65">
        <f t="shared" si="25"/>
        <v>0</v>
      </c>
      <c r="AR21">
        <f>'PIM Model'!C17</f>
        <v>0</v>
      </c>
      <c r="AS21" s="365"/>
      <c r="AT21" s="365"/>
      <c r="AU21" s="365" t="e">
        <f t="shared" si="46"/>
        <v>#DIV/0!</v>
      </c>
      <c r="AV21" s="365"/>
      <c r="AW21" s="365"/>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361"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67">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1014" t="e">
        <f>_xlfn.CONCAT('Customer Inputs'!$AG$6,"_",BA21)</f>
        <v>#N/A</v>
      </c>
      <c r="BK21" s="1015">
        <f t="array" ref="BK21">IFERROR(INDEX('Margin Guidence Table'!$A$1:$AG$10000,MATCH(1,('Margin Guidence Table'!$A$1:$A$10000=$BJ21)*('Margin Guidence Table'!$I$1:$I$10000&lt;=ROUND($BB$3,0))*('Margin Guidence Table'!$J$1:$J$10000&gt;=ROUND($BB$3,0)),0),MATCH("DATA_POINTS",'Margin Guidence Table'!$A$1:$AG$1,0)),0)</f>
        <v>0</v>
      </c>
      <c r="BL21" s="1012" t="str">
        <f t="shared" si="27"/>
        <v>DEFAULT</v>
      </c>
      <c r="BM21" s="1012">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1012">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1016">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1016">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1016">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1016">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1016">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1016">
        <f t="array" ref="BT21">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361"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1012">
        <f>IFERROR(IF(AND($BY$2&lt;&gt;"Enter Spend&gt;&gt;&gt;",$BZ$2="EXISTING"),SUMIFS('Existing Customers'!$S:$S,'Existing Customers'!$H:$H,$BX21,'Existing Customers'!$A:$A,$BY$1),CO21*BY21),0)</f>
        <v>0</v>
      </c>
      <c r="CF21" s="1012">
        <f>IFERROR(IF(AND($BY$2&lt;&gt;"Enter Spend&gt;&gt;&gt;",$BZ$2="EXISTING"),SUMIFS('Existing Customers'!$U:$U,'Existing Customers'!$H:$H,$BX21,'Existing Customers'!$A:$A,$BY$1),CP21*BY21),0)</f>
        <v>0</v>
      </c>
      <c r="CG21" s="1015" t="e">
        <f>_xlfn.CONCAT('Customer Inputs'!$AG$7,"_",BX21)</f>
        <v>#N/A</v>
      </c>
      <c r="CH21" s="1015">
        <f t="array" ref="CH21">IFERROR(INDEX('Margin Guidence Table'!$A$1:$AG$10000,MATCH(1,('Margin Guidence Table'!$A$1:$A$10000=$CG21)*('Margin Guidence Table'!$I$1:$I$10000&lt;=ROUND($BY$3,0))*('Margin Guidence Table'!$J$1:$J$10000&gt;=ROUND($BY$3,0)),0),MATCH("DATA_POINTS",'Margin Guidence Table'!$A$1:$AG$1,0)),0)</f>
        <v>0</v>
      </c>
      <c r="CI21" s="1012" t="str">
        <f t="shared" si="29"/>
        <v>DEFAULT</v>
      </c>
      <c r="CJ21" s="1012">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1012">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1016">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1016">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1016">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1016">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1016">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1016">
        <f t="array" ref="CQ21">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361"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1012">
        <f>IFERROR(IF(AND($CV$2&lt;&gt;"Enter Spend&gt;&gt;&gt;",$CW$2="EXISTING"),SUMIFS('Existing Customers'!$S:$S,'Existing Customers'!$H:$H,$CU21,'Existing Customers'!$A:$A,$CV$1),DL21*CV21),0)</f>
        <v>0</v>
      </c>
      <c r="DC21" s="1012">
        <f>IFERROR(IF(AND($CV$2&lt;&gt;"Enter Spend&gt;&gt;&gt;",$CW$2="EXISTING"),SUMIFS('Existing Customers'!$U:$U,'Existing Customers'!$H:$H,$CU21,'Existing Customers'!$A:$A,$CV$1),DM21*CV21),0)</f>
        <v>0</v>
      </c>
      <c r="DD21" s="1015" t="e">
        <f>_xlfn.CONCAT('Customer Inputs'!$AG$8,"_",CU21)</f>
        <v>#N/A</v>
      </c>
      <c r="DE21" s="1015">
        <f t="array" ref="DE21">IFERROR(INDEX('Margin Guidence Table'!$A$1:$AG$10000,MATCH(1,('Margin Guidence Table'!$A$1:$A$10000=DD21)*('Margin Guidence Table'!$I$1:$I$10000&lt;=ROUND($CV$3,0))*('Margin Guidence Table'!$J$1:$J$10000&gt;=ROUND($CV$3,0)),0),MATCH("DATA_POINTS",'Margin Guidence Table'!$A$1:$AG$1,0)),0)</f>
        <v>0</v>
      </c>
      <c r="DF21" s="1012" t="str">
        <f t="shared" si="31"/>
        <v>DEFAULT</v>
      </c>
      <c r="DG21" s="1012">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1012">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1016">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1016">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1016">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1016">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1016">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1016">
        <f t="array" ref="DN21">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361"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1012">
        <f>IFERROR(IF(AND($DS$2&lt;&gt;"Enter Spend&gt;&gt;&gt;",$DT$2="EXISTING"),SUMIFS('Existing Customers'!$S:$S,'Existing Customers'!$H:$H,$DT21,'Existing Customers'!$A:$A,$DS$1),EI21*DS21),0)</f>
        <v>0</v>
      </c>
      <c r="DZ21" s="1012">
        <f>IFERROR(IF(AND($DS$2&lt;&gt;"Enter Spend&gt;&gt;&gt;",$DT$2="EXISTING"),SUMIFS('Existing Customers'!$U:$U,'Existing Customers'!$H:$H,$DR21,'Existing Customers'!$A:$A,$DS$1),EJ21*DS21),0)</f>
        <v>0</v>
      </c>
      <c r="EA21" s="1015" t="e">
        <f>_xlfn.CONCAT('Customer Inputs'!$AG$9,"_",DR21)</f>
        <v>#N/A</v>
      </c>
      <c r="EB21" s="1015">
        <f t="array" ref="EB21">IFERROR(INDEX('Margin Guidence Table'!$A$1:$AG$10000,MATCH(1,('Margin Guidence Table'!$A$1:$A$10000=EA21)*('Margin Guidence Table'!$I$1:$I$10000&lt;=ROUND($DS$3,0))*('Margin Guidence Table'!$J$1:$J$10000&gt;=ROUND($DS$3,0)),0),MATCH("DATA_POINTS",'Margin Guidence Table'!$A$1:$AG$1,0)),0)</f>
        <v>0</v>
      </c>
      <c r="EC21" s="1012" t="str">
        <f t="shared" si="33"/>
        <v>DEFAULT</v>
      </c>
      <c r="ED21" s="1012">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1012">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1016">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1016">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1016">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1016">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1016">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1016">
        <f t="array" ref="EK21">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361"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1012">
        <f>IFERROR(IF(AND($EP$2&lt;&gt;"Enter Spend&gt;&gt;&gt;",$EQ$2="EXISTING"),SUMIFS('Existing Customers'!$S:$S,'Existing Customers'!$H:$H,$EO21,'Existing Customers'!$A:$A,$EP$1),FF21*EP21),0)</f>
        <v>0</v>
      </c>
      <c r="EW21" s="1012">
        <f>IFERROR(IF(AND($EP$2&lt;&gt;"Enter Spend&gt;&gt;&gt;",$EQ$2="EXISTING"),SUMIFS('Existing Customers'!$U:$U,'Existing Customers'!$H:$H,$EO21,'Existing Customers'!$A:$A,$EP$1),FG21*EP21),0)</f>
        <v>0</v>
      </c>
      <c r="EX21" s="1015" t="e">
        <f>_xlfn.CONCAT('Customer Inputs'!$AG$10,"_",EO21)</f>
        <v>#N/A</v>
      </c>
      <c r="EY21" s="1015">
        <f t="array" ref="EY21">IFERROR(INDEX('Margin Guidence Table'!$A$1:$AG$10000,MATCH(1,('Margin Guidence Table'!$A$1:$A$10000=EX21)*('Margin Guidence Table'!$I$1:$I$10000&lt;=ROUND($EP$3,0))*('Margin Guidence Table'!$J$1:$J$10000&gt;=ROUND($EP$3,0)),0),MATCH("DATA_POINTS",'Margin Guidence Table'!$A$1:$AG$1,0)),0)</f>
        <v>0</v>
      </c>
      <c r="EZ21" s="1012" t="str">
        <f t="shared" si="35"/>
        <v>DEFAULT</v>
      </c>
      <c r="FA21" s="1012">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1012"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1016">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1016">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1016">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1016">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1016">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1016">
        <f t="array" ref="FH21">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361"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1012">
        <f>IFERROR(IF(AND($FM$2&lt;&gt;"Enter Spend&gt;&gt;&gt;",$FN$2="EXISTING"),SUMIFS('Existing Customers'!$S:$S,'Existing Customers'!$H:$H,$FL21,'Existing Customers'!$A:$A,$FM$1),GC21*FM21),0)</f>
        <v>0</v>
      </c>
      <c r="FT21" s="1012">
        <f>IFERROR(IF(AND($FM$2&lt;&gt;"Enter Spend&gt;&gt;&gt;",$FN$2="EXISTING"),SUMIFS('Existing Customers'!$U:$U,'Existing Customers'!$H:$H,$FL21,'Existing Customers'!$A:$A,$FM$1),GD21*FM21),0)</f>
        <v>0</v>
      </c>
      <c r="FU21" s="1015" t="e">
        <f>_xlfn.CONCAT('Customer Inputs'!$AG$11,"_",FL21)</f>
        <v>#N/A</v>
      </c>
      <c r="FV21" s="1015">
        <f t="array" ref="FV21">IFERROR(INDEX('Margin Guidence Table'!$A$1:$AG$10000,MATCH(1,('Margin Guidence Table'!$A$1:$A$10000=FU21)*('Margin Guidence Table'!$I$1:$I$10000&lt;=ROUND($FM$3,0))*('Margin Guidence Table'!$J$1:$J$10000&gt;=ROUND($FM$3,0)),0),MATCH("DATA_POINTS",'Margin Guidence Table'!$A$1:$AG$1,0)),0)</f>
        <v>0</v>
      </c>
      <c r="FW21" s="1012" t="str">
        <f t="shared" si="37"/>
        <v>DEFAULT</v>
      </c>
      <c r="FX21" s="1012">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1012">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1016">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1016">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1016">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1016">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1016">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1016">
        <f t="array" ref="GE21">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361"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1012">
        <f>IFERROR(IF(AND($GJ$2&lt;&gt;"Enter Spend&gt;&gt;&gt;",$GK$2="EXISTING"),SUMIFS('Existing Customers'!$S:$S,'Existing Customers'!$H:$H,$GI21,'Existing Customers'!$A:$A,$GJ$1),GZ21*GJ21),0)</f>
        <v>0</v>
      </c>
      <c r="GQ21" s="1012">
        <f>IFERROR(IF(AND($GJ$2&lt;&gt;"Enter Spend&gt;&gt;&gt;",$GK$2="EXISTING"),SUMIFS('Existing Customers'!$U:$U,'Existing Customers'!$H:$H,$GI21,'Existing Customers'!$A:$A,$GJ$1),HA21*GJ21),0)</f>
        <v>0</v>
      </c>
      <c r="GR21" s="1015" t="e">
        <f>_xlfn.CONCAT('Customer Inputs'!$AG$12,"_",GI21)</f>
        <v>#N/A</v>
      </c>
      <c r="GS21" s="1015">
        <f t="array" ref="GS21">IFERROR(INDEX('Margin Guidence Table'!$A$1:$AG$10000,MATCH(1,('Margin Guidence Table'!$A$1:$A$10000=GR21)*('Margin Guidence Table'!$I$1:$I$10000&lt;=ROUND($GJ$3,0))*('Margin Guidence Table'!$J$1:$J$10000&gt;=ROUND($GJ$3,0)),0),MATCH("DATA_POINTS",'Margin Guidence Table'!$A$1:$AG$1,0)),0)</f>
        <v>0</v>
      </c>
      <c r="GT21" s="1012" t="str">
        <f t="shared" si="39"/>
        <v>DEFAULT</v>
      </c>
      <c r="GU21" s="1012">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1012">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1016">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1016">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1016">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1016">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1016">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1016">
        <f t="array" ref="HB21">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361"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1012">
        <f>IFERROR(IF(AND($HG$2&lt;&gt;"Enter Spend&gt;&gt;&gt;",$HH$2="EXISTING"),SUMIFS('Existing Customers'!$S:$S,'Existing Customers'!$H:$H,$HF21,'Existing Customers'!$A:$A,$HG$1),HW21*HG21),0)</f>
        <v>0</v>
      </c>
      <c r="HN21" s="1012">
        <f>IFERROR(IF(AND($HG$2&lt;&gt;"Enter Spend&gt;&gt;&gt;",$HH$2="EXISTING"),SUMIFS('Existing Customers'!$U:$U,'Existing Customers'!$H:$H,$HF21,'Existing Customers'!$A:$A,$HG$1),HX21*HG21),0)</f>
        <v>0</v>
      </c>
      <c r="HO21" s="1015" t="e">
        <f>_xlfn.CONCAT('Customer Inputs'!$AG$13,"_",HF21)</f>
        <v>#N/A</v>
      </c>
      <c r="HP21" s="1015">
        <f t="array" ref="HP21">IFERROR(INDEX('Margin Guidence Table'!$A$1:$AG$10000,MATCH(1,('Margin Guidence Table'!$A$1:$A$10000=HO21)*('Margin Guidence Table'!$I$1:$I$10000&lt;=ROUND($HG$3,0))*('Margin Guidence Table'!$J$1:$J$10000&gt;=ROUND($HG$3,0)),0),MATCH("DATA_POINTS",'Margin Guidence Table'!$A$1:$AG$1,0)),0)</f>
        <v>0</v>
      </c>
      <c r="HQ21" s="1012" t="str">
        <f t="shared" si="41"/>
        <v>DEFAULT</v>
      </c>
      <c r="HR21" s="1012">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1012">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1016">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1016">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1016">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1016">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1016">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1016">
        <f t="array" ref="HY21">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361"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67">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1012">
        <f>IFERROR(IF(AND($ID$2&lt;&gt;"Enter Spend&gt;&gt;&gt;",$IE$2="EXISTING"),SUMIFS('Existing Customers'!$S:$S,'Existing Customers'!$H:$H,$IC21,'Existing Customers'!$A:$A,$ID$1),IT21*ID21),0)</f>
        <v>0</v>
      </c>
      <c r="IK21" s="1012">
        <f>IFERROR(IF(AND($ID$2&lt;&gt;"Enter Spend&gt;&gt;&gt;",$IE$2="EXISTING"),SUMIFS('Existing Customers'!$U:$U,'Existing Customers'!$H:$H,$IC21,'Existing Customers'!$A:$A,$ID$1),IU21*ID21),0)</f>
        <v>0</v>
      </c>
      <c r="IL21" s="1015" t="e">
        <f>_xlfn.CONCAT('Customer Inputs'!$AG$14,"_",IC21)</f>
        <v>#N/A</v>
      </c>
      <c r="IM21" s="1015">
        <f t="array" ref="IM21">IFERROR(INDEX('Margin Guidence Table'!$A$1:$AG$10000,MATCH(1,('Margin Guidence Table'!$A$1:$A$10000=IL21)*('Margin Guidence Table'!$I$1:$I$10000&lt;=ROUND($ID$3,0))*('Margin Guidence Table'!$J$1:$J$10000&gt;=ROUND($ID$3,0)),0),MATCH("DATA_POINTS",'Margin Guidence Table'!$A$1:$AG$1,0)),0)</f>
        <v>0</v>
      </c>
      <c r="IN21" s="1012" t="str">
        <f t="shared" si="43"/>
        <v>DEFAULT</v>
      </c>
      <c r="IO21" s="1012">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1012">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1016">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1016">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1016">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1016">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1016">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1016">
        <f t="array" ref="IV21">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361"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67">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1012">
        <f>IFERROR(IF(AND($JA$2&lt;&gt;"Enter Spend&gt;&gt;&gt;",$JB$2="EXISTING"),SUMIFS('Existing Customers'!$S:$S,'Existing Customers'!$H:$H,$IZ21,'Existing Customers'!$A:$A,$JA$1),JQ21*JA21),0)</f>
        <v>0</v>
      </c>
      <c r="JH21" s="1012">
        <f>IFERROR(IF(AND($JA$2&lt;&gt;"Enter Spend&gt;&gt;&gt;",$JB$2="EXISTING"),SUMIFS('Existing Customers'!$U:$U,'Existing Customers'!$H:$H,$IZ21,'Existing Customers'!$A:$A,$JA$1),JR21*JA21),0)</f>
        <v>0</v>
      </c>
      <c r="JI21" s="1015" t="e">
        <f>_xlfn.CONCAT('Customer Inputs'!$AG$15,"_",IZ21)</f>
        <v>#N/A</v>
      </c>
      <c r="JJ21" s="1015">
        <f t="array" ref="JJ21">IFERROR(INDEX('Margin Guidence Table'!$A$1:$AG$10000,MATCH(1,('Margin Guidence Table'!$A$1:$A$10000=JI21)*('Margin Guidence Table'!$I$1:$I$10000&lt;=ROUND($JA$3,0))*('Margin Guidence Table'!$J$1:$J$10000&gt;=ROUND($JA$3,0)),0),MATCH("DATA_POINTS",'Margin Guidence Table'!$A$1:$AG$1,0)),0)</f>
        <v>0</v>
      </c>
      <c r="JK21" s="1012" t="str">
        <f t="shared" si="45"/>
        <v>DEFAULT</v>
      </c>
      <c r="JL21" s="1012">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1012">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1016">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1016">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1016">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1016">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1016">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1016">
        <f t="array" ref="JS21">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440">
        <f t="shared" si="9"/>
        <v>0</v>
      </c>
      <c r="D22" s="456">
        <f t="shared" si="10"/>
        <v>0</v>
      </c>
      <c r="E22" s="456">
        <f t="shared" si="11"/>
        <v>0</v>
      </c>
      <c r="F22" s="456">
        <f t="shared" si="12"/>
        <v>0</v>
      </c>
      <c r="G22" s="457">
        <f t="shared" si="13"/>
        <v>0</v>
      </c>
      <c r="H22" s="456">
        <f t="shared" si="14"/>
        <v>0</v>
      </c>
      <c r="I22" s="1010">
        <f t="shared" si="15"/>
        <v>0</v>
      </c>
      <c r="J22" s="1010">
        <f t="shared" si="0"/>
        <v>0</v>
      </c>
      <c r="K22" s="1010">
        <f t="shared" si="16"/>
        <v>0</v>
      </c>
      <c r="L22" s="456">
        <f t="shared" si="1"/>
        <v>0</v>
      </c>
      <c r="M22" s="456">
        <f t="shared" si="17"/>
        <v>0</v>
      </c>
      <c r="N22" s="1011">
        <f t="shared" si="2"/>
        <v>0</v>
      </c>
      <c r="P22" t="str">
        <f>'PIM Model'!E18</f>
        <v>INCLUDE</v>
      </c>
      <c r="Q22">
        <f t="shared" si="18"/>
        <v>0</v>
      </c>
      <c r="R22">
        <f t="shared" si="19"/>
        <v>0</v>
      </c>
      <c r="S22" s="99" t="s">
        <v>96</v>
      </c>
      <c r="T22" s="94">
        <f t="shared" si="20"/>
        <v>0</v>
      </c>
      <c r="U22" s="86">
        <f t="shared" si="3"/>
        <v>0</v>
      </c>
      <c r="V22" s="86">
        <f t="shared" si="4"/>
        <v>0</v>
      </c>
      <c r="W22" s="86">
        <f t="shared" si="5"/>
        <v>0</v>
      </c>
      <c r="X22" s="111">
        <f t="shared" si="6"/>
        <v>0</v>
      </c>
      <c r="Y22" s="114">
        <f t="shared" si="21"/>
        <v>0</v>
      </c>
      <c r="Z22" s="365"/>
      <c r="AA22" s="99" t="s">
        <v>96</v>
      </c>
      <c r="AB22" s="444">
        <f t="shared" si="7"/>
        <v>0</v>
      </c>
      <c r="AC22" s="445">
        <f t="shared" si="7"/>
        <v>0</v>
      </c>
      <c r="AD22" s="445">
        <f t="shared" si="7"/>
        <v>0</v>
      </c>
      <c r="AE22" s="446">
        <f t="shared" si="22"/>
        <v>0</v>
      </c>
      <c r="AF22" s="447">
        <f t="shared" si="23"/>
        <v>0</v>
      </c>
      <c r="AG22" s="365"/>
      <c r="AH22" s="99" t="s">
        <v>96</v>
      </c>
      <c r="AI22" s="444">
        <f t="shared" si="8"/>
        <v>0</v>
      </c>
      <c r="AJ22" s="441">
        <f t="shared" si="24"/>
        <v>0</v>
      </c>
      <c r="AK22" s="447"/>
      <c r="AL22" s="365"/>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65">
        <f>VLOOKUP($AH22&amp;$AM22,'IMargin Quartiles'!$A:$F,6,FALSE)</f>
        <v>0.18</v>
      </c>
      <c r="AO22" s="365"/>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65">
        <f t="shared" si="25"/>
        <v>0</v>
      </c>
      <c r="AR22">
        <f>'PIM Model'!C18</f>
        <v>0</v>
      </c>
      <c r="AS22" s="365"/>
      <c r="AT22" s="365"/>
      <c r="AU22" s="365" t="e">
        <f t="shared" si="46"/>
        <v>#DIV/0!</v>
      </c>
      <c r="AV22" s="365"/>
      <c r="AW22" s="365"/>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361"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67">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1014" t="e">
        <f>_xlfn.CONCAT('Customer Inputs'!$AG$6,"_",BA22)</f>
        <v>#N/A</v>
      </c>
      <c r="BK22" s="1015">
        <f t="array" ref="BK22">IFERROR(INDEX('Margin Guidence Table'!$A$1:$AG$10000,MATCH(1,('Margin Guidence Table'!$A$1:$A$10000=$BJ22)*('Margin Guidence Table'!$I$1:$I$10000&lt;=ROUND($BB$3,0))*('Margin Guidence Table'!$J$1:$J$10000&gt;=ROUND($BB$3,0)),0),MATCH("DATA_POINTS",'Margin Guidence Table'!$A$1:$AG$1,0)),0)</f>
        <v>0</v>
      </c>
      <c r="BL22" s="1012" t="str">
        <f t="shared" si="27"/>
        <v>DEFAULT</v>
      </c>
      <c r="BM22" s="1012">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1012">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1016">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1016">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1016">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1016">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1016">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1016">
        <f t="array" ref="BT22">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361"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1012">
        <f>IFERROR(IF(AND($BY$2&lt;&gt;"Enter Spend&gt;&gt;&gt;",$BZ$2="EXISTING"),SUMIFS('Existing Customers'!$S:$S,'Existing Customers'!$H:$H,$BX22,'Existing Customers'!$A:$A,$BY$1),CO22*BY22),0)</f>
        <v>0</v>
      </c>
      <c r="CF22" s="1012">
        <f>IFERROR(IF(AND($BY$2&lt;&gt;"Enter Spend&gt;&gt;&gt;",$BZ$2="EXISTING"),SUMIFS('Existing Customers'!$U:$U,'Existing Customers'!$H:$H,$BX22,'Existing Customers'!$A:$A,$BY$1),CP22*BY22),0)</f>
        <v>0</v>
      </c>
      <c r="CG22" s="1015" t="e">
        <f>_xlfn.CONCAT('Customer Inputs'!$AG$7,"_",BX22)</f>
        <v>#N/A</v>
      </c>
      <c r="CH22" s="1015">
        <f t="array" ref="CH22">IFERROR(INDEX('Margin Guidence Table'!$A$1:$AG$10000,MATCH(1,('Margin Guidence Table'!$A$1:$A$10000=$CG22)*('Margin Guidence Table'!$I$1:$I$10000&lt;=ROUND($BY$3,0))*('Margin Guidence Table'!$J$1:$J$10000&gt;=ROUND($BY$3,0)),0),MATCH("DATA_POINTS",'Margin Guidence Table'!$A$1:$AG$1,0)),0)</f>
        <v>0</v>
      </c>
      <c r="CI22" s="1012" t="str">
        <f t="shared" si="29"/>
        <v>DEFAULT</v>
      </c>
      <c r="CJ22" s="1012">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1012">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1016">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1016">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1016">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1016">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1016">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1016">
        <f t="array" ref="CQ22">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361"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1012">
        <f>IFERROR(IF(AND($CV$2&lt;&gt;"Enter Spend&gt;&gt;&gt;",$CW$2="EXISTING"),SUMIFS('Existing Customers'!$S:$S,'Existing Customers'!$H:$H,$CU22,'Existing Customers'!$A:$A,$CV$1),DL22*CV22),0)</f>
        <v>0</v>
      </c>
      <c r="DC22" s="1012">
        <f>IFERROR(IF(AND($CV$2&lt;&gt;"Enter Spend&gt;&gt;&gt;",$CW$2="EXISTING"),SUMIFS('Existing Customers'!$U:$U,'Existing Customers'!$H:$H,$CU22,'Existing Customers'!$A:$A,$CV$1),DM22*CV22),0)</f>
        <v>0</v>
      </c>
      <c r="DD22" s="1015" t="e">
        <f>_xlfn.CONCAT('Customer Inputs'!$AG$8,"_",CU22)</f>
        <v>#N/A</v>
      </c>
      <c r="DE22" s="1015">
        <f t="array" ref="DE22">IFERROR(INDEX('Margin Guidence Table'!$A$1:$AG$10000,MATCH(1,('Margin Guidence Table'!$A$1:$A$10000=DD22)*('Margin Guidence Table'!$I$1:$I$10000&lt;=ROUND($CV$3,0))*('Margin Guidence Table'!$J$1:$J$10000&gt;=ROUND($CV$3,0)),0),MATCH("DATA_POINTS",'Margin Guidence Table'!$A$1:$AG$1,0)),0)</f>
        <v>0</v>
      </c>
      <c r="DF22" s="1012" t="str">
        <f t="shared" si="31"/>
        <v>DEFAULT</v>
      </c>
      <c r="DG22" s="1012">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1012">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1016">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1016">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1016">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1016">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1016">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1016">
        <f t="array" ref="DN22">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361"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1012">
        <f>IFERROR(IF(AND($DS$2&lt;&gt;"Enter Spend&gt;&gt;&gt;",$DT$2="EXISTING"),SUMIFS('Existing Customers'!$S:$S,'Existing Customers'!$H:$H,$DT22,'Existing Customers'!$A:$A,$DS$1),EI22*DS22),0)</f>
        <v>0</v>
      </c>
      <c r="DZ22" s="1012">
        <f>IFERROR(IF(AND($DS$2&lt;&gt;"Enter Spend&gt;&gt;&gt;",$DT$2="EXISTING"),SUMIFS('Existing Customers'!$U:$U,'Existing Customers'!$H:$H,$DR22,'Existing Customers'!$A:$A,$DS$1),EJ22*DS22),0)</f>
        <v>0</v>
      </c>
      <c r="EA22" s="1015" t="e">
        <f>_xlfn.CONCAT('Customer Inputs'!$AG$9,"_",DR22)</f>
        <v>#N/A</v>
      </c>
      <c r="EB22" s="1015">
        <f t="array" ref="EB22">IFERROR(INDEX('Margin Guidence Table'!$A$1:$AG$10000,MATCH(1,('Margin Guidence Table'!$A$1:$A$10000=EA22)*('Margin Guidence Table'!$I$1:$I$10000&lt;=ROUND($DS$3,0))*('Margin Guidence Table'!$J$1:$J$10000&gt;=ROUND($DS$3,0)),0),MATCH("DATA_POINTS",'Margin Guidence Table'!$A$1:$AG$1,0)),0)</f>
        <v>0</v>
      </c>
      <c r="EC22" s="1012" t="str">
        <f t="shared" si="33"/>
        <v>DEFAULT</v>
      </c>
      <c r="ED22" s="1012">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1012">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1016">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1016">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1016">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1016">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1016">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1016">
        <f t="array" ref="EK22">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361"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1012">
        <f>IFERROR(IF(AND($EP$2&lt;&gt;"Enter Spend&gt;&gt;&gt;",$EQ$2="EXISTING"),SUMIFS('Existing Customers'!$S:$S,'Existing Customers'!$H:$H,$EO22,'Existing Customers'!$A:$A,$EP$1),FF22*EP22),0)</f>
        <v>0</v>
      </c>
      <c r="EW22" s="1012">
        <f>IFERROR(IF(AND($EP$2&lt;&gt;"Enter Spend&gt;&gt;&gt;",$EQ$2="EXISTING"),SUMIFS('Existing Customers'!$U:$U,'Existing Customers'!$H:$H,$EO22,'Existing Customers'!$A:$A,$EP$1),FG22*EP22),0)</f>
        <v>0</v>
      </c>
      <c r="EX22" s="1015" t="e">
        <f>_xlfn.CONCAT('Customer Inputs'!$AG$10,"_",EO22)</f>
        <v>#N/A</v>
      </c>
      <c r="EY22" s="1015">
        <f t="array" ref="EY22">IFERROR(INDEX('Margin Guidence Table'!$A$1:$AG$10000,MATCH(1,('Margin Guidence Table'!$A$1:$A$10000=EX22)*('Margin Guidence Table'!$I$1:$I$10000&lt;=ROUND($EP$3,0))*('Margin Guidence Table'!$J$1:$J$10000&gt;=ROUND($EP$3,0)),0),MATCH("DATA_POINTS",'Margin Guidence Table'!$A$1:$AG$1,0)),0)</f>
        <v>0</v>
      </c>
      <c r="EZ22" s="1012" t="str">
        <f t="shared" si="35"/>
        <v>DEFAULT</v>
      </c>
      <c r="FA22" s="1012">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1012"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1016">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1016">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1016">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1016">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1016">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1016">
        <f t="array" ref="FH22">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361"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1012">
        <f>IFERROR(IF(AND($FM$2&lt;&gt;"Enter Spend&gt;&gt;&gt;",$FN$2="EXISTING"),SUMIFS('Existing Customers'!$S:$S,'Existing Customers'!$H:$H,$FL22,'Existing Customers'!$A:$A,$FM$1),GC22*FM22),0)</f>
        <v>0</v>
      </c>
      <c r="FT22" s="1012">
        <f>IFERROR(IF(AND($FM$2&lt;&gt;"Enter Spend&gt;&gt;&gt;",$FN$2="EXISTING"),SUMIFS('Existing Customers'!$U:$U,'Existing Customers'!$H:$H,$FL22,'Existing Customers'!$A:$A,$FM$1),GD22*FM22),0)</f>
        <v>0</v>
      </c>
      <c r="FU22" s="1015" t="e">
        <f>_xlfn.CONCAT('Customer Inputs'!$AG$11,"_",FL22)</f>
        <v>#N/A</v>
      </c>
      <c r="FV22" s="1015">
        <f t="array" ref="FV22">IFERROR(INDEX('Margin Guidence Table'!$A$1:$AG$10000,MATCH(1,('Margin Guidence Table'!$A$1:$A$10000=FU22)*('Margin Guidence Table'!$I$1:$I$10000&lt;=ROUND($FM$3,0))*('Margin Guidence Table'!$J$1:$J$10000&gt;=ROUND($FM$3,0)),0),MATCH("DATA_POINTS",'Margin Guidence Table'!$A$1:$AG$1,0)),0)</f>
        <v>0</v>
      </c>
      <c r="FW22" s="1012" t="str">
        <f t="shared" si="37"/>
        <v>DEFAULT</v>
      </c>
      <c r="FX22" s="1012">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1012">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1016">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1016">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1016">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1016">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1016">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1016">
        <f t="array" ref="GE22">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361"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1012">
        <f>IFERROR(IF(AND($GJ$2&lt;&gt;"Enter Spend&gt;&gt;&gt;",$GK$2="EXISTING"),SUMIFS('Existing Customers'!$S:$S,'Existing Customers'!$H:$H,$GI22,'Existing Customers'!$A:$A,$GJ$1),GZ22*GJ22),0)</f>
        <v>0</v>
      </c>
      <c r="GQ22" s="1012">
        <f>IFERROR(IF(AND($GJ$2&lt;&gt;"Enter Spend&gt;&gt;&gt;",$GK$2="EXISTING"),SUMIFS('Existing Customers'!$U:$U,'Existing Customers'!$H:$H,$GI22,'Existing Customers'!$A:$A,$GJ$1),HA22*GJ22),0)</f>
        <v>0</v>
      </c>
      <c r="GR22" s="1015" t="e">
        <f>_xlfn.CONCAT('Customer Inputs'!$AG$12,"_",GI22)</f>
        <v>#N/A</v>
      </c>
      <c r="GS22" s="1015">
        <f t="array" ref="GS22">IFERROR(INDEX('Margin Guidence Table'!$A$1:$AG$10000,MATCH(1,('Margin Guidence Table'!$A$1:$A$10000=GR22)*('Margin Guidence Table'!$I$1:$I$10000&lt;=ROUND($GJ$3,0))*('Margin Guidence Table'!$J$1:$J$10000&gt;=ROUND($GJ$3,0)),0),MATCH("DATA_POINTS",'Margin Guidence Table'!$A$1:$AG$1,0)),0)</f>
        <v>0</v>
      </c>
      <c r="GT22" s="1012" t="str">
        <f t="shared" si="39"/>
        <v>DEFAULT</v>
      </c>
      <c r="GU22" s="1012">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1012">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1016">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1016">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1016">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1016">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1016">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1016">
        <f t="array" ref="HB22">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361"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1012">
        <f>IFERROR(IF(AND($HG$2&lt;&gt;"Enter Spend&gt;&gt;&gt;",$HH$2="EXISTING"),SUMIFS('Existing Customers'!$S:$S,'Existing Customers'!$H:$H,$HF22,'Existing Customers'!$A:$A,$HG$1),HW22*HG22),0)</f>
        <v>0</v>
      </c>
      <c r="HN22" s="1012">
        <f>IFERROR(IF(AND($HG$2&lt;&gt;"Enter Spend&gt;&gt;&gt;",$HH$2="EXISTING"),SUMIFS('Existing Customers'!$U:$U,'Existing Customers'!$H:$H,$HF22,'Existing Customers'!$A:$A,$HG$1),HX22*HG22),0)</f>
        <v>0</v>
      </c>
      <c r="HO22" s="1015" t="e">
        <f>_xlfn.CONCAT('Customer Inputs'!$AG$13,"_",HF22)</f>
        <v>#N/A</v>
      </c>
      <c r="HP22" s="1015">
        <f t="array" ref="HP22">IFERROR(INDEX('Margin Guidence Table'!$A$1:$AG$10000,MATCH(1,('Margin Guidence Table'!$A$1:$A$10000=HO22)*('Margin Guidence Table'!$I$1:$I$10000&lt;=ROUND($HG$3,0))*('Margin Guidence Table'!$J$1:$J$10000&gt;=ROUND($HG$3,0)),0),MATCH("DATA_POINTS",'Margin Guidence Table'!$A$1:$AG$1,0)),0)</f>
        <v>0</v>
      </c>
      <c r="HQ22" s="1012" t="str">
        <f t="shared" si="41"/>
        <v>DEFAULT</v>
      </c>
      <c r="HR22" s="1012">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1012">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1016">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1016">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1016">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1016">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1016">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1016">
        <f t="array" ref="HY22">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361"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67">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1012">
        <f>IFERROR(IF(AND($ID$2&lt;&gt;"Enter Spend&gt;&gt;&gt;",$IE$2="EXISTING"),SUMIFS('Existing Customers'!$S:$S,'Existing Customers'!$H:$H,$IC22,'Existing Customers'!$A:$A,$ID$1),IT22*ID22),0)</f>
        <v>0</v>
      </c>
      <c r="IK22" s="1012">
        <f>IFERROR(IF(AND($ID$2&lt;&gt;"Enter Spend&gt;&gt;&gt;",$IE$2="EXISTING"),SUMIFS('Existing Customers'!$U:$U,'Existing Customers'!$H:$H,$IC22,'Existing Customers'!$A:$A,$ID$1),IU22*ID22),0)</f>
        <v>0</v>
      </c>
      <c r="IL22" s="1015" t="e">
        <f>_xlfn.CONCAT('Customer Inputs'!$AG$14,"_",IC22)</f>
        <v>#N/A</v>
      </c>
      <c r="IM22" s="1015">
        <f t="array" ref="IM22">IFERROR(INDEX('Margin Guidence Table'!$A$1:$AG$10000,MATCH(1,('Margin Guidence Table'!$A$1:$A$10000=IL22)*('Margin Guidence Table'!$I$1:$I$10000&lt;=ROUND($ID$3,0))*('Margin Guidence Table'!$J$1:$J$10000&gt;=ROUND($ID$3,0)),0),MATCH("DATA_POINTS",'Margin Guidence Table'!$A$1:$AG$1,0)),0)</f>
        <v>0</v>
      </c>
      <c r="IN22" s="1012" t="str">
        <f t="shared" si="43"/>
        <v>DEFAULT</v>
      </c>
      <c r="IO22" s="1012">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1012">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1016">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1016">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1016">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1016">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1016">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1016">
        <f t="array" ref="IV22">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361"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67">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1012">
        <f>IFERROR(IF(AND($JA$2&lt;&gt;"Enter Spend&gt;&gt;&gt;",$JB$2="EXISTING"),SUMIFS('Existing Customers'!$S:$S,'Existing Customers'!$H:$H,$IZ22,'Existing Customers'!$A:$A,$JA$1),JQ22*JA22),0)</f>
        <v>0</v>
      </c>
      <c r="JH22" s="1012">
        <f>IFERROR(IF(AND($JA$2&lt;&gt;"Enter Spend&gt;&gt;&gt;",$JB$2="EXISTING"),SUMIFS('Existing Customers'!$U:$U,'Existing Customers'!$H:$H,$IZ22,'Existing Customers'!$A:$A,$JA$1),JR22*JA22),0)</f>
        <v>0</v>
      </c>
      <c r="JI22" s="1015" t="e">
        <f>_xlfn.CONCAT('Customer Inputs'!$AG$15,"_",IZ22)</f>
        <v>#N/A</v>
      </c>
      <c r="JJ22" s="1015">
        <f t="array" ref="JJ22">IFERROR(INDEX('Margin Guidence Table'!$A$1:$AG$10000,MATCH(1,('Margin Guidence Table'!$A$1:$A$10000=JI22)*('Margin Guidence Table'!$I$1:$I$10000&lt;=ROUND($JA$3,0))*('Margin Guidence Table'!$J$1:$J$10000&gt;=ROUND($JA$3,0)),0),MATCH("DATA_POINTS",'Margin Guidence Table'!$A$1:$AG$1,0)),0)</f>
        <v>0</v>
      </c>
      <c r="JK22" s="1012" t="str">
        <f t="shared" si="45"/>
        <v>DEFAULT</v>
      </c>
      <c r="JL22" s="1012">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1012">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1016">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1016">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1016">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1016">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1016">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1016">
        <f t="array" ref="JS22">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440">
        <f t="shared" si="9"/>
        <v>0</v>
      </c>
      <c r="D23" s="456">
        <f t="shared" si="10"/>
        <v>0</v>
      </c>
      <c r="E23" s="456">
        <f t="shared" si="11"/>
        <v>0</v>
      </c>
      <c r="F23" s="456">
        <f t="shared" si="12"/>
        <v>0</v>
      </c>
      <c r="G23" s="457">
        <f t="shared" si="13"/>
        <v>0</v>
      </c>
      <c r="H23" s="456">
        <f t="shared" si="14"/>
        <v>0</v>
      </c>
      <c r="I23" s="1010">
        <f t="shared" si="15"/>
        <v>0</v>
      </c>
      <c r="J23" s="1010">
        <f t="shared" si="0"/>
        <v>0</v>
      </c>
      <c r="K23" s="1010">
        <f t="shared" si="16"/>
        <v>0</v>
      </c>
      <c r="L23" s="456">
        <f t="shared" si="1"/>
        <v>0</v>
      </c>
      <c r="M23" s="456">
        <f t="shared" si="17"/>
        <v>0</v>
      </c>
      <c r="N23" s="1011">
        <f t="shared" si="2"/>
        <v>0</v>
      </c>
      <c r="P23" t="str">
        <f>'PIM Model'!E19</f>
        <v>INCLUDE</v>
      </c>
      <c r="Q23">
        <f t="shared" si="18"/>
        <v>0</v>
      </c>
      <c r="R23">
        <f t="shared" si="19"/>
        <v>0</v>
      </c>
      <c r="S23" s="99" t="s">
        <v>101</v>
      </c>
      <c r="T23" s="94">
        <f t="shared" si="20"/>
        <v>0</v>
      </c>
      <c r="U23" s="86">
        <f t="shared" si="3"/>
        <v>0</v>
      </c>
      <c r="V23" s="86">
        <f t="shared" si="4"/>
        <v>0</v>
      </c>
      <c r="W23" s="86">
        <f t="shared" si="5"/>
        <v>0</v>
      </c>
      <c r="X23" s="111">
        <f t="shared" si="6"/>
        <v>0</v>
      </c>
      <c r="Y23" s="114">
        <f t="shared" si="21"/>
        <v>0</v>
      </c>
      <c r="Z23" s="365"/>
      <c r="AA23" s="99" t="s">
        <v>101</v>
      </c>
      <c r="AB23" s="444">
        <f t="shared" si="7"/>
        <v>0</v>
      </c>
      <c r="AC23" s="445">
        <f t="shared" si="7"/>
        <v>0</v>
      </c>
      <c r="AD23" s="445">
        <f t="shared" si="7"/>
        <v>0</v>
      </c>
      <c r="AE23" s="446">
        <f t="shared" si="22"/>
        <v>0</v>
      </c>
      <c r="AF23" s="447">
        <f t="shared" si="23"/>
        <v>0</v>
      </c>
      <c r="AG23" s="365"/>
      <c r="AH23" s="99" t="s">
        <v>101</v>
      </c>
      <c r="AI23" s="444">
        <f t="shared" si="8"/>
        <v>0</v>
      </c>
      <c r="AJ23" s="441">
        <f t="shared" si="24"/>
        <v>0</v>
      </c>
      <c r="AK23" s="447"/>
      <c r="AL23" s="365"/>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65">
        <f>VLOOKUP($AH23&amp;$AM23,'IMargin Quartiles'!$A:$F,6,FALSE)</f>
        <v>0.18</v>
      </c>
      <c r="AO23" s="365"/>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65">
        <f t="shared" si="25"/>
        <v>0</v>
      </c>
      <c r="AR23">
        <f>'PIM Model'!C19</f>
        <v>0</v>
      </c>
      <c r="AS23" s="365"/>
      <c r="AT23" s="365"/>
      <c r="AU23" s="365" t="e">
        <f t="shared" si="46"/>
        <v>#DIV/0!</v>
      </c>
      <c r="AV23" s="365"/>
      <c r="AW23" s="365"/>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361"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67">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1014" t="e">
        <f>_xlfn.CONCAT('Customer Inputs'!$AG$6,"_",BA23)</f>
        <v>#N/A</v>
      </c>
      <c r="BK23" s="1015">
        <f t="array" ref="BK23">IFERROR(INDEX('Margin Guidence Table'!$A$1:$AG$10000,MATCH(1,('Margin Guidence Table'!$A$1:$A$10000=$BJ23)*('Margin Guidence Table'!$I$1:$I$10000&lt;=ROUND($BB$3,0))*('Margin Guidence Table'!$J$1:$J$10000&gt;=ROUND($BB$3,0)),0),MATCH("DATA_POINTS",'Margin Guidence Table'!$A$1:$AG$1,0)),0)</f>
        <v>0</v>
      </c>
      <c r="BL23" s="1012" t="str">
        <f t="shared" si="27"/>
        <v>DEFAULT</v>
      </c>
      <c r="BM23" s="1012">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1012">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1016">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1016">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1016">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1016">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1016">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1016">
        <f t="array" ref="BT23">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361"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1012">
        <f>IFERROR(IF(AND($BY$2&lt;&gt;"Enter Spend&gt;&gt;&gt;",$BZ$2="EXISTING"),SUMIFS('Existing Customers'!$S:$S,'Existing Customers'!$H:$H,$BX23,'Existing Customers'!$A:$A,$BY$1),CO23*BY23),0)</f>
        <v>0</v>
      </c>
      <c r="CF23" s="1012">
        <f>IFERROR(IF(AND($BY$2&lt;&gt;"Enter Spend&gt;&gt;&gt;",$BZ$2="EXISTING"),SUMIFS('Existing Customers'!$U:$U,'Existing Customers'!$H:$H,$BX23,'Existing Customers'!$A:$A,$BY$1),CP23*BY23),0)</f>
        <v>0</v>
      </c>
      <c r="CG23" s="1015" t="e">
        <f>_xlfn.CONCAT('Customer Inputs'!$AG$7,"_",BX23)</f>
        <v>#N/A</v>
      </c>
      <c r="CH23" s="1015">
        <f t="array" ref="CH23">IFERROR(INDEX('Margin Guidence Table'!$A$1:$AG$10000,MATCH(1,('Margin Guidence Table'!$A$1:$A$10000=$CG23)*('Margin Guidence Table'!$I$1:$I$10000&lt;=ROUND($BY$3,0))*('Margin Guidence Table'!$J$1:$J$10000&gt;=ROUND($BY$3,0)),0),MATCH("DATA_POINTS",'Margin Guidence Table'!$A$1:$AG$1,0)),0)</f>
        <v>0</v>
      </c>
      <c r="CI23" s="1012" t="str">
        <f t="shared" si="29"/>
        <v>DEFAULT</v>
      </c>
      <c r="CJ23" s="1012">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1012">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1016">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1016">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1016">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1016">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1016">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1016">
        <f t="array" ref="CQ23">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361"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1012">
        <f>IFERROR(IF(AND($CV$2&lt;&gt;"Enter Spend&gt;&gt;&gt;",$CW$2="EXISTING"),SUMIFS('Existing Customers'!$S:$S,'Existing Customers'!$H:$H,$CU23,'Existing Customers'!$A:$A,$CV$1),DL23*CV23),0)</f>
        <v>0</v>
      </c>
      <c r="DC23" s="1012">
        <f>IFERROR(IF(AND($CV$2&lt;&gt;"Enter Spend&gt;&gt;&gt;",$CW$2="EXISTING"),SUMIFS('Existing Customers'!$U:$U,'Existing Customers'!$H:$H,$CU23,'Existing Customers'!$A:$A,$CV$1),DM23*CV23),0)</f>
        <v>0</v>
      </c>
      <c r="DD23" s="1015" t="e">
        <f>_xlfn.CONCAT('Customer Inputs'!$AG$8,"_",CU23)</f>
        <v>#N/A</v>
      </c>
      <c r="DE23" s="1015">
        <f t="array" ref="DE23">IFERROR(INDEX('Margin Guidence Table'!$A$1:$AG$10000,MATCH(1,('Margin Guidence Table'!$A$1:$A$10000=DD23)*('Margin Guidence Table'!$I$1:$I$10000&lt;=ROUND($CV$3,0))*('Margin Guidence Table'!$J$1:$J$10000&gt;=ROUND($CV$3,0)),0),MATCH("DATA_POINTS",'Margin Guidence Table'!$A$1:$AG$1,0)),0)</f>
        <v>0</v>
      </c>
      <c r="DF23" s="1012" t="str">
        <f t="shared" si="31"/>
        <v>DEFAULT</v>
      </c>
      <c r="DG23" s="1012">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1012">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1016">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1016">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1016">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1016">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1016">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1016">
        <f t="array" ref="DN23">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361"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1012">
        <f>IFERROR(IF(AND($DS$2&lt;&gt;"Enter Spend&gt;&gt;&gt;",$DT$2="EXISTING"),SUMIFS('Existing Customers'!$S:$S,'Existing Customers'!$H:$H,$DT23,'Existing Customers'!$A:$A,$DS$1),EI23*DS23),0)</f>
        <v>0</v>
      </c>
      <c r="DZ23" s="1012">
        <f>IFERROR(IF(AND($DS$2&lt;&gt;"Enter Spend&gt;&gt;&gt;",$DT$2="EXISTING"),SUMIFS('Existing Customers'!$U:$U,'Existing Customers'!$H:$H,$DR23,'Existing Customers'!$A:$A,$DS$1),EJ23*DS23),0)</f>
        <v>0</v>
      </c>
      <c r="EA23" s="1015" t="e">
        <f>_xlfn.CONCAT('Customer Inputs'!$AG$9,"_",DR23)</f>
        <v>#N/A</v>
      </c>
      <c r="EB23" s="1015">
        <f t="array" ref="EB23">IFERROR(INDEX('Margin Guidence Table'!$A$1:$AG$10000,MATCH(1,('Margin Guidence Table'!$A$1:$A$10000=EA23)*('Margin Guidence Table'!$I$1:$I$10000&lt;=ROUND($DS$3,0))*('Margin Guidence Table'!$J$1:$J$10000&gt;=ROUND($DS$3,0)),0),MATCH("DATA_POINTS",'Margin Guidence Table'!$A$1:$AG$1,0)),0)</f>
        <v>0</v>
      </c>
      <c r="EC23" s="1012" t="str">
        <f t="shared" si="33"/>
        <v>DEFAULT</v>
      </c>
      <c r="ED23" s="1012">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1012">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1016">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1016">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1016">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1016">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1016">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1016">
        <f t="array" ref="EK23">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361"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1012">
        <f>IFERROR(IF(AND($EP$2&lt;&gt;"Enter Spend&gt;&gt;&gt;",$EQ$2="EXISTING"),SUMIFS('Existing Customers'!$S:$S,'Existing Customers'!$H:$H,$EO23,'Existing Customers'!$A:$A,$EP$1),FF23*EP23),0)</f>
        <v>0</v>
      </c>
      <c r="EW23" s="1012">
        <f>IFERROR(IF(AND($EP$2&lt;&gt;"Enter Spend&gt;&gt;&gt;",$EQ$2="EXISTING"),SUMIFS('Existing Customers'!$U:$U,'Existing Customers'!$H:$H,$EO23,'Existing Customers'!$A:$A,$EP$1),FG23*EP23),0)</f>
        <v>0</v>
      </c>
      <c r="EX23" s="1015" t="e">
        <f>_xlfn.CONCAT('Customer Inputs'!$AG$10,"_",EO23)</f>
        <v>#N/A</v>
      </c>
      <c r="EY23" s="1015">
        <f t="array" ref="EY23">IFERROR(INDEX('Margin Guidence Table'!$A$1:$AG$10000,MATCH(1,('Margin Guidence Table'!$A$1:$A$10000=EX23)*('Margin Guidence Table'!$I$1:$I$10000&lt;=ROUND($EP$3,0))*('Margin Guidence Table'!$J$1:$J$10000&gt;=ROUND($EP$3,0)),0),MATCH("DATA_POINTS",'Margin Guidence Table'!$A$1:$AG$1,0)),0)</f>
        <v>0</v>
      </c>
      <c r="EZ23" s="1012" t="str">
        <f t="shared" si="35"/>
        <v>DEFAULT</v>
      </c>
      <c r="FA23" s="1012">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1012"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1016">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1016">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1016">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1016">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1016">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1016">
        <f t="array" ref="FH23">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361"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1012">
        <f>IFERROR(IF(AND($FM$2&lt;&gt;"Enter Spend&gt;&gt;&gt;",$FN$2="EXISTING"),SUMIFS('Existing Customers'!$S:$S,'Existing Customers'!$H:$H,$FL23,'Existing Customers'!$A:$A,$FM$1),GC23*FM23),0)</f>
        <v>0</v>
      </c>
      <c r="FT23" s="1012">
        <f>IFERROR(IF(AND($FM$2&lt;&gt;"Enter Spend&gt;&gt;&gt;",$FN$2="EXISTING"),SUMIFS('Existing Customers'!$U:$U,'Existing Customers'!$H:$H,$FL23,'Existing Customers'!$A:$A,$FM$1),GD23*FM23),0)</f>
        <v>0</v>
      </c>
      <c r="FU23" s="1015" t="e">
        <f>_xlfn.CONCAT('Customer Inputs'!$AG$11,"_",FL23)</f>
        <v>#N/A</v>
      </c>
      <c r="FV23" s="1015">
        <f t="array" ref="FV23">IFERROR(INDEX('Margin Guidence Table'!$A$1:$AG$10000,MATCH(1,('Margin Guidence Table'!$A$1:$A$10000=FU23)*('Margin Guidence Table'!$I$1:$I$10000&lt;=ROUND($FM$3,0))*('Margin Guidence Table'!$J$1:$J$10000&gt;=ROUND($FM$3,0)),0),MATCH("DATA_POINTS",'Margin Guidence Table'!$A$1:$AG$1,0)),0)</f>
        <v>0</v>
      </c>
      <c r="FW23" s="1012" t="str">
        <f t="shared" si="37"/>
        <v>DEFAULT</v>
      </c>
      <c r="FX23" s="1012">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1012">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1016">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1016">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1016">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1016">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1016">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1016">
        <f t="array" ref="GE23">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361"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1012">
        <f>IFERROR(IF(AND($GJ$2&lt;&gt;"Enter Spend&gt;&gt;&gt;",$GK$2="EXISTING"),SUMIFS('Existing Customers'!$S:$S,'Existing Customers'!$H:$H,$GI23,'Existing Customers'!$A:$A,$GJ$1),GZ23*GJ23),0)</f>
        <v>0</v>
      </c>
      <c r="GQ23" s="1012">
        <f>IFERROR(IF(AND($GJ$2&lt;&gt;"Enter Spend&gt;&gt;&gt;",$GK$2="EXISTING"),SUMIFS('Existing Customers'!$U:$U,'Existing Customers'!$H:$H,$GI23,'Existing Customers'!$A:$A,$GJ$1),HA23*GJ23),0)</f>
        <v>0</v>
      </c>
      <c r="GR23" s="1015" t="e">
        <f>_xlfn.CONCAT('Customer Inputs'!$AG$12,"_",GI23)</f>
        <v>#N/A</v>
      </c>
      <c r="GS23" s="1015">
        <f t="array" ref="GS23">IFERROR(INDEX('Margin Guidence Table'!$A$1:$AG$10000,MATCH(1,('Margin Guidence Table'!$A$1:$A$10000=GR23)*('Margin Guidence Table'!$I$1:$I$10000&lt;=ROUND($GJ$3,0))*('Margin Guidence Table'!$J$1:$J$10000&gt;=ROUND($GJ$3,0)),0),MATCH("DATA_POINTS",'Margin Guidence Table'!$A$1:$AG$1,0)),0)</f>
        <v>0</v>
      </c>
      <c r="GT23" s="1012" t="str">
        <f t="shared" si="39"/>
        <v>DEFAULT</v>
      </c>
      <c r="GU23" s="1012">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1012">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1016">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1016">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1016">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1016">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1016">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1016">
        <f t="array" ref="HB23">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361"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1012">
        <f>IFERROR(IF(AND($HG$2&lt;&gt;"Enter Spend&gt;&gt;&gt;",$HH$2="EXISTING"),SUMIFS('Existing Customers'!$S:$S,'Existing Customers'!$H:$H,$HF23,'Existing Customers'!$A:$A,$HG$1),HW23*HG23),0)</f>
        <v>0</v>
      </c>
      <c r="HN23" s="1012">
        <f>IFERROR(IF(AND($HG$2&lt;&gt;"Enter Spend&gt;&gt;&gt;",$HH$2="EXISTING"),SUMIFS('Existing Customers'!$U:$U,'Existing Customers'!$H:$H,$HF23,'Existing Customers'!$A:$A,$HG$1),HX23*HG23),0)</f>
        <v>0</v>
      </c>
      <c r="HO23" s="1015" t="e">
        <f>_xlfn.CONCAT('Customer Inputs'!$AG$13,"_",HF23)</f>
        <v>#N/A</v>
      </c>
      <c r="HP23" s="1015">
        <f t="array" ref="HP23">IFERROR(INDEX('Margin Guidence Table'!$A$1:$AG$10000,MATCH(1,('Margin Guidence Table'!$A$1:$A$10000=HO23)*('Margin Guidence Table'!$I$1:$I$10000&lt;=ROUND($HG$3,0))*('Margin Guidence Table'!$J$1:$J$10000&gt;=ROUND($HG$3,0)),0),MATCH("DATA_POINTS",'Margin Guidence Table'!$A$1:$AG$1,0)),0)</f>
        <v>0</v>
      </c>
      <c r="HQ23" s="1012" t="str">
        <f t="shared" si="41"/>
        <v>DEFAULT</v>
      </c>
      <c r="HR23" s="1012">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1012">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1016">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1016">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1016">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1016">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1016">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1016">
        <f t="array" ref="HY23">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361"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67">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1012">
        <f>IFERROR(IF(AND($ID$2&lt;&gt;"Enter Spend&gt;&gt;&gt;",$IE$2="EXISTING"),SUMIFS('Existing Customers'!$S:$S,'Existing Customers'!$H:$H,$IC23,'Existing Customers'!$A:$A,$ID$1),IT23*ID23),0)</f>
        <v>0</v>
      </c>
      <c r="IK23" s="1012">
        <f>IFERROR(IF(AND($ID$2&lt;&gt;"Enter Spend&gt;&gt;&gt;",$IE$2="EXISTING"),SUMIFS('Existing Customers'!$U:$U,'Existing Customers'!$H:$H,$IC23,'Existing Customers'!$A:$A,$ID$1),IU23*ID23),0)</f>
        <v>0</v>
      </c>
      <c r="IL23" s="1015" t="e">
        <f>_xlfn.CONCAT('Customer Inputs'!$AG$14,"_",IC23)</f>
        <v>#N/A</v>
      </c>
      <c r="IM23" s="1015">
        <f t="array" ref="IM23">IFERROR(INDEX('Margin Guidence Table'!$A$1:$AG$10000,MATCH(1,('Margin Guidence Table'!$A$1:$A$10000=IL23)*('Margin Guidence Table'!$I$1:$I$10000&lt;=ROUND($ID$3,0))*('Margin Guidence Table'!$J$1:$J$10000&gt;=ROUND($ID$3,0)),0),MATCH("DATA_POINTS",'Margin Guidence Table'!$A$1:$AG$1,0)),0)</f>
        <v>0</v>
      </c>
      <c r="IN23" s="1012" t="str">
        <f t="shared" si="43"/>
        <v>DEFAULT</v>
      </c>
      <c r="IO23" s="1012">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1012">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1016">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1016">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1016">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1016">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1016">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1016">
        <f t="array" ref="IV23">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361"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67">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1012">
        <f>IFERROR(IF(AND($JA$2&lt;&gt;"Enter Spend&gt;&gt;&gt;",$JB$2="EXISTING"),SUMIFS('Existing Customers'!$S:$S,'Existing Customers'!$H:$H,$IZ23,'Existing Customers'!$A:$A,$JA$1),JQ23*JA23),0)</f>
        <v>0</v>
      </c>
      <c r="JH23" s="1012">
        <f>IFERROR(IF(AND($JA$2&lt;&gt;"Enter Spend&gt;&gt;&gt;",$JB$2="EXISTING"),SUMIFS('Existing Customers'!$U:$U,'Existing Customers'!$H:$H,$IZ23,'Existing Customers'!$A:$A,$JA$1),JR23*JA23),0)</f>
        <v>0</v>
      </c>
      <c r="JI23" s="1015" t="e">
        <f>_xlfn.CONCAT('Customer Inputs'!$AG$15,"_",IZ23)</f>
        <v>#N/A</v>
      </c>
      <c r="JJ23" s="1015">
        <f t="array" ref="JJ23">IFERROR(INDEX('Margin Guidence Table'!$A$1:$AG$10000,MATCH(1,('Margin Guidence Table'!$A$1:$A$10000=JI23)*('Margin Guidence Table'!$I$1:$I$10000&lt;=ROUND($JA$3,0))*('Margin Guidence Table'!$J$1:$J$10000&gt;=ROUND($JA$3,0)),0),MATCH("DATA_POINTS",'Margin Guidence Table'!$A$1:$AG$1,0)),0)</f>
        <v>0</v>
      </c>
      <c r="JK23" s="1012" t="str">
        <f t="shared" si="45"/>
        <v>DEFAULT</v>
      </c>
      <c r="JL23" s="1012">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1012">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1016">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1016">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1016">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1016">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1016">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1016">
        <f t="array" ref="JS23">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440">
        <f t="shared" si="9"/>
        <v>0</v>
      </c>
      <c r="D24" s="456">
        <f t="shared" si="10"/>
        <v>0</v>
      </c>
      <c r="E24" s="456">
        <f t="shared" si="11"/>
        <v>0</v>
      </c>
      <c r="F24" s="456">
        <f t="shared" si="12"/>
        <v>0</v>
      </c>
      <c r="G24" s="457">
        <f t="shared" si="13"/>
        <v>0</v>
      </c>
      <c r="H24" s="456">
        <f t="shared" si="14"/>
        <v>0</v>
      </c>
      <c r="I24" s="1010">
        <f t="shared" si="15"/>
        <v>0</v>
      </c>
      <c r="J24" s="1010">
        <f t="shared" si="0"/>
        <v>0</v>
      </c>
      <c r="K24" s="1010">
        <f t="shared" si="16"/>
        <v>0</v>
      </c>
      <c r="L24" s="456">
        <f t="shared" si="1"/>
        <v>0</v>
      </c>
      <c r="M24" s="456">
        <f t="shared" si="17"/>
        <v>0</v>
      </c>
      <c r="N24" s="1011">
        <f t="shared" si="2"/>
        <v>0</v>
      </c>
      <c r="P24" t="str">
        <f>'PIM Model'!E20</f>
        <v>INCLUDE</v>
      </c>
      <c r="Q24">
        <f t="shared" si="18"/>
        <v>0</v>
      </c>
      <c r="R24">
        <f t="shared" si="19"/>
        <v>0</v>
      </c>
      <c r="S24" s="99" t="s">
        <v>97</v>
      </c>
      <c r="T24" s="94">
        <f t="shared" si="20"/>
        <v>0</v>
      </c>
      <c r="U24" s="86">
        <f t="shared" si="3"/>
        <v>0</v>
      </c>
      <c r="V24" s="86">
        <f t="shared" si="4"/>
        <v>0</v>
      </c>
      <c r="W24" s="86">
        <f t="shared" si="5"/>
        <v>0</v>
      </c>
      <c r="X24" s="111">
        <f t="shared" si="6"/>
        <v>0</v>
      </c>
      <c r="Y24" s="114">
        <f t="shared" si="21"/>
        <v>0</v>
      </c>
      <c r="Z24" s="365"/>
      <c r="AA24" s="99" t="s">
        <v>97</v>
      </c>
      <c r="AB24" s="444">
        <f t="shared" si="7"/>
        <v>0</v>
      </c>
      <c r="AC24" s="445">
        <f t="shared" si="7"/>
        <v>0</v>
      </c>
      <c r="AD24" s="445">
        <f t="shared" si="7"/>
        <v>0</v>
      </c>
      <c r="AE24" s="446">
        <f t="shared" si="22"/>
        <v>0</v>
      </c>
      <c r="AF24" s="447">
        <f t="shared" si="23"/>
        <v>0</v>
      </c>
      <c r="AG24" s="365"/>
      <c r="AH24" s="99" t="s">
        <v>97</v>
      </c>
      <c r="AI24" s="444">
        <f t="shared" si="8"/>
        <v>0</v>
      </c>
      <c r="AJ24" s="441">
        <f t="shared" si="24"/>
        <v>0</v>
      </c>
      <c r="AK24" s="447"/>
      <c r="AL24" s="365"/>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65">
        <f>VLOOKUP($AH24&amp;$AM24,'IMargin Quartiles'!$A:$F,6,FALSE)</f>
        <v>0.17</v>
      </c>
      <c r="AO24" s="365"/>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65">
        <f t="shared" si="25"/>
        <v>0</v>
      </c>
      <c r="AR24">
        <f>'PIM Model'!C20</f>
        <v>0</v>
      </c>
      <c r="AS24" s="365"/>
      <c r="AT24" s="365"/>
      <c r="AU24" s="365" t="e">
        <f t="shared" si="46"/>
        <v>#DIV/0!</v>
      </c>
      <c r="AV24" s="365"/>
      <c r="AW24" s="365"/>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361"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67">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1014" t="e">
        <f>_xlfn.CONCAT('Customer Inputs'!$AG$6,"_",BA24)</f>
        <v>#N/A</v>
      </c>
      <c r="BK24" s="1015">
        <f t="array" ref="BK24">IFERROR(INDEX('Margin Guidence Table'!$A$1:$AG$10000,MATCH(1,('Margin Guidence Table'!$A$1:$A$10000=$BJ24)*('Margin Guidence Table'!$I$1:$I$10000&lt;=ROUND($BB$3,0))*('Margin Guidence Table'!$J$1:$J$10000&gt;=ROUND($BB$3,0)),0),MATCH("DATA_POINTS",'Margin Guidence Table'!$A$1:$AG$1,0)),0)</f>
        <v>0</v>
      </c>
      <c r="BL24" s="1012" t="str">
        <f t="shared" si="27"/>
        <v>DEFAULT</v>
      </c>
      <c r="BM24" s="1012">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1012">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1016">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1016">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1016">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1016">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1016">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1016">
        <f t="array" ref="BT24">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361"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1012">
        <f>IFERROR(IF(AND($BY$2&lt;&gt;"Enter Spend&gt;&gt;&gt;",$BZ$2="EXISTING"),SUMIFS('Existing Customers'!$S:$S,'Existing Customers'!$H:$H,$BX24,'Existing Customers'!$A:$A,$BY$1),CO24*BY24),0)</f>
        <v>0</v>
      </c>
      <c r="CF24" s="1012">
        <f>IFERROR(IF(AND($BY$2&lt;&gt;"Enter Spend&gt;&gt;&gt;",$BZ$2="EXISTING"),SUMIFS('Existing Customers'!$U:$U,'Existing Customers'!$H:$H,$BX24,'Existing Customers'!$A:$A,$BY$1),CP24*BY24),0)</f>
        <v>0</v>
      </c>
      <c r="CG24" s="1015" t="e">
        <f>_xlfn.CONCAT('Customer Inputs'!$AG$7,"_",BX24)</f>
        <v>#N/A</v>
      </c>
      <c r="CH24" s="1015">
        <f t="array" ref="CH24">IFERROR(INDEX('Margin Guidence Table'!$A$1:$AG$10000,MATCH(1,('Margin Guidence Table'!$A$1:$A$10000=$CG24)*('Margin Guidence Table'!$I$1:$I$10000&lt;=ROUND($BY$3,0))*('Margin Guidence Table'!$J$1:$J$10000&gt;=ROUND($BY$3,0)),0),MATCH("DATA_POINTS",'Margin Guidence Table'!$A$1:$AG$1,0)),0)</f>
        <v>0</v>
      </c>
      <c r="CI24" s="1012" t="str">
        <f t="shared" si="29"/>
        <v>DEFAULT</v>
      </c>
      <c r="CJ24" s="1012">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1012">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1016">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1016">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1016">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1016">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1016">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1016">
        <f t="array" ref="CQ24">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361"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1012">
        <f>IFERROR(IF(AND($CV$2&lt;&gt;"Enter Spend&gt;&gt;&gt;",$CW$2="EXISTING"),SUMIFS('Existing Customers'!$S:$S,'Existing Customers'!$H:$H,$CU24,'Existing Customers'!$A:$A,$CV$1),DL24*CV24),0)</f>
        <v>0</v>
      </c>
      <c r="DC24" s="1012">
        <f>IFERROR(IF(AND($CV$2&lt;&gt;"Enter Spend&gt;&gt;&gt;",$CW$2="EXISTING"),SUMIFS('Existing Customers'!$U:$U,'Existing Customers'!$H:$H,$CU24,'Existing Customers'!$A:$A,$CV$1),DM24*CV24),0)</f>
        <v>0</v>
      </c>
      <c r="DD24" s="1015" t="e">
        <f>_xlfn.CONCAT('Customer Inputs'!$AG$8,"_",CU24)</f>
        <v>#N/A</v>
      </c>
      <c r="DE24" s="1015">
        <f t="array" ref="DE24">IFERROR(INDEX('Margin Guidence Table'!$A$1:$AG$10000,MATCH(1,('Margin Guidence Table'!$A$1:$A$10000=DD24)*('Margin Guidence Table'!$I$1:$I$10000&lt;=ROUND($CV$3,0))*('Margin Guidence Table'!$J$1:$J$10000&gt;=ROUND($CV$3,0)),0),MATCH("DATA_POINTS",'Margin Guidence Table'!$A$1:$AG$1,0)),0)</f>
        <v>0</v>
      </c>
      <c r="DF24" s="1012" t="str">
        <f t="shared" si="31"/>
        <v>DEFAULT</v>
      </c>
      <c r="DG24" s="1012">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1012">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1016">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1016">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1016">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1016">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1016">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1016">
        <f t="array" ref="DN24">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361"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1012">
        <f>IFERROR(IF(AND($DS$2&lt;&gt;"Enter Spend&gt;&gt;&gt;",$DT$2="EXISTING"),SUMIFS('Existing Customers'!$S:$S,'Existing Customers'!$H:$H,$DT24,'Existing Customers'!$A:$A,$DS$1),EI24*DS24),0)</f>
        <v>0</v>
      </c>
      <c r="DZ24" s="1012">
        <f>IFERROR(IF(AND($DS$2&lt;&gt;"Enter Spend&gt;&gt;&gt;",$DT$2="EXISTING"),SUMIFS('Existing Customers'!$U:$U,'Existing Customers'!$H:$H,$DR24,'Existing Customers'!$A:$A,$DS$1),EJ24*DS24),0)</f>
        <v>0</v>
      </c>
      <c r="EA24" s="1015" t="e">
        <f>_xlfn.CONCAT('Customer Inputs'!$AG$9,"_",DR24)</f>
        <v>#N/A</v>
      </c>
      <c r="EB24" s="1015">
        <f t="array" ref="EB24">IFERROR(INDEX('Margin Guidence Table'!$A$1:$AG$10000,MATCH(1,('Margin Guidence Table'!$A$1:$A$10000=EA24)*('Margin Guidence Table'!$I$1:$I$10000&lt;=ROUND($DS$3,0))*('Margin Guidence Table'!$J$1:$J$10000&gt;=ROUND($DS$3,0)),0),MATCH("DATA_POINTS",'Margin Guidence Table'!$A$1:$AG$1,0)),0)</f>
        <v>0</v>
      </c>
      <c r="EC24" s="1012" t="str">
        <f t="shared" si="33"/>
        <v>DEFAULT</v>
      </c>
      <c r="ED24" s="1012">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1012">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1016">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1016">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1016">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1016">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1016">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1016">
        <f t="array" ref="EK24">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361"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1012">
        <f>IFERROR(IF(AND($EP$2&lt;&gt;"Enter Spend&gt;&gt;&gt;",$EQ$2="EXISTING"),SUMIFS('Existing Customers'!$S:$S,'Existing Customers'!$H:$H,$EO24,'Existing Customers'!$A:$A,$EP$1),FF24*EP24),0)</f>
        <v>0</v>
      </c>
      <c r="EW24" s="1012">
        <f>IFERROR(IF(AND($EP$2&lt;&gt;"Enter Spend&gt;&gt;&gt;",$EQ$2="EXISTING"),SUMIFS('Existing Customers'!$U:$U,'Existing Customers'!$H:$H,$EO24,'Existing Customers'!$A:$A,$EP$1),FG24*EP24),0)</f>
        <v>0</v>
      </c>
      <c r="EX24" s="1015" t="e">
        <f>_xlfn.CONCAT('Customer Inputs'!$AG$10,"_",EO24)</f>
        <v>#N/A</v>
      </c>
      <c r="EY24" s="1015">
        <f t="array" ref="EY24">IFERROR(INDEX('Margin Guidence Table'!$A$1:$AG$10000,MATCH(1,('Margin Guidence Table'!$A$1:$A$10000=EX24)*('Margin Guidence Table'!$I$1:$I$10000&lt;=ROUND($EP$3,0))*('Margin Guidence Table'!$J$1:$J$10000&gt;=ROUND($EP$3,0)),0),MATCH("DATA_POINTS",'Margin Guidence Table'!$A$1:$AG$1,0)),0)</f>
        <v>0</v>
      </c>
      <c r="EZ24" s="1012" t="str">
        <f t="shared" si="35"/>
        <v>DEFAULT</v>
      </c>
      <c r="FA24" s="1012">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1012"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1016">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1016">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1016">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1016">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1016">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1016">
        <f t="array" ref="FH24">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361"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1012">
        <f>IFERROR(IF(AND($FM$2&lt;&gt;"Enter Spend&gt;&gt;&gt;",$FN$2="EXISTING"),SUMIFS('Existing Customers'!$S:$S,'Existing Customers'!$H:$H,$FL24,'Existing Customers'!$A:$A,$FM$1),GC24*FM24),0)</f>
        <v>0</v>
      </c>
      <c r="FT24" s="1012">
        <f>IFERROR(IF(AND($FM$2&lt;&gt;"Enter Spend&gt;&gt;&gt;",$FN$2="EXISTING"),SUMIFS('Existing Customers'!$U:$U,'Existing Customers'!$H:$H,$FL24,'Existing Customers'!$A:$A,$FM$1),GD24*FM24),0)</f>
        <v>0</v>
      </c>
      <c r="FU24" s="1015" t="e">
        <f>_xlfn.CONCAT('Customer Inputs'!$AG$11,"_",FL24)</f>
        <v>#N/A</v>
      </c>
      <c r="FV24" s="1015">
        <f t="array" ref="FV24">IFERROR(INDEX('Margin Guidence Table'!$A$1:$AG$10000,MATCH(1,('Margin Guidence Table'!$A$1:$A$10000=FU24)*('Margin Guidence Table'!$I$1:$I$10000&lt;=ROUND($FM$3,0))*('Margin Guidence Table'!$J$1:$J$10000&gt;=ROUND($FM$3,0)),0),MATCH("DATA_POINTS",'Margin Guidence Table'!$A$1:$AG$1,0)),0)</f>
        <v>0</v>
      </c>
      <c r="FW24" s="1012" t="str">
        <f t="shared" si="37"/>
        <v>DEFAULT</v>
      </c>
      <c r="FX24" s="1012">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1012">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1016">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1016">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1016">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1016">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1016">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1016">
        <f t="array" ref="GE24">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361"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1012">
        <f>IFERROR(IF(AND($GJ$2&lt;&gt;"Enter Spend&gt;&gt;&gt;",$GK$2="EXISTING"),SUMIFS('Existing Customers'!$S:$S,'Existing Customers'!$H:$H,$GI24,'Existing Customers'!$A:$A,$GJ$1),GZ24*GJ24),0)</f>
        <v>0</v>
      </c>
      <c r="GQ24" s="1012">
        <f>IFERROR(IF(AND($GJ$2&lt;&gt;"Enter Spend&gt;&gt;&gt;",$GK$2="EXISTING"),SUMIFS('Existing Customers'!$U:$U,'Existing Customers'!$H:$H,$GI24,'Existing Customers'!$A:$A,$GJ$1),HA24*GJ24),0)</f>
        <v>0</v>
      </c>
      <c r="GR24" s="1015" t="e">
        <f>_xlfn.CONCAT('Customer Inputs'!$AG$12,"_",GI24)</f>
        <v>#N/A</v>
      </c>
      <c r="GS24" s="1015">
        <f t="array" ref="GS24">IFERROR(INDEX('Margin Guidence Table'!$A$1:$AG$10000,MATCH(1,('Margin Guidence Table'!$A$1:$A$10000=GR24)*('Margin Guidence Table'!$I$1:$I$10000&lt;=ROUND($GJ$3,0))*('Margin Guidence Table'!$J$1:$J$10000&gt;=ROUND($GJ$3,0)),0),MATCH("DATA_POINTS",'Margin Guidence Table'!$A$1:$AG$1,0)),0)</f>
        <v>0</v>
      </c>
      <c r="GT24" s="1012" t="str">
        <f t="shared" si="39"/>
        <v>DEFAULT</v>
      </c>
      <c r="GU24" s="1012">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1012">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1016">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1016">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1016">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1016">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1016">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1016">
        <f t="array" ref="HB24">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361"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1012">
        <f>IFERROR(IF(AND($HG$2&lt;&gt;"Enter Spend&gt;&gt;&gt;",$HH$2="EXISTING"),SUMIFS('Existing Customers'!$S:$S,'Existing Customers'!$H:$H,$HF24,'Existing Customers'!$A:$A,$HG$1),HW24*HG24),0)</f>
        <v>0</v>
      </c>
      <c r="HN24" s="1012">
        <f>IFERROR(IF(AND($HG$2&lt;&gt;"Enter Spend&gt;&gt;&gt;",$HH$2="EXISTING"),SUMIFS('Existing Customers'!$U:$U,'Existing Customers'!$H:$H,$HF24,'Existing Customers'!$A:$A,$HG$1),HX24*HG24),0)</f>
        <v>0</v>
      </c>
      <c r="HO24" s="1015" t="e">
        <f>_xlfn.CONCAT('Customer Inputs'!$AG$13,"_",HF24)</f>
        <v>#N/A</v>
      </c>
      <c r="HP24" s="1015">
        <f t="array" ref="HP24">IFERROR(INDEX('Margin Guidence Table'!$A$1:$AG$10000,MATCH(1,('Margin Guidence Table'!$A$1:$A$10000=HO24)*('Margin Guidence Table'!$I$1:$I$10000&lt;=ROUND($HG$3,0))*('Margin Guidence Table'!$J$1:$J$10000&gt;=ROUND($HG$3,0)),0),MATCH("DATA_POINTS",'Margin Guidence Table'!$A$1:$AG$1,0)),0)</f>
        <v>0</v>
      </c>
      <c r="HQ24" s="1012" t="str">
        <f t="shared" si="41"/>
        <v>DEFAULT</v>
      </c>
      <c r="HR24" s="1012">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1012">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1016">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1016">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1016">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1016">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1016">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1016">
        <f t="array" ref="HY24">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361"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67">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1012">
        <f>IFERROR(IF(AND($ID$2&lt;&gt;"Enter Spend&gt;&gt;&gt;",$IE$2="EXISTING"),SUMIFS('Existing Customers'!$S:$S,'Existing Customers'!$H:$H,$IC24,'Existing Customers'!$A:$A,$ID$1),IT24*ID24),0)</f>
        <v>0</v>
      </c>
      <c r="IK24" s="1012">
        <f>IFERROR(IF(AND($ID$2&lt;&gt;"Enter Spend&gt;&gt;&gt;",$IE$2="EXISTING"),SUMIFS('Existing Customers'!$U:$U,'Existing Customers'!$H:$H,$IC24,'Existing Customers'!$A:$A,$ID$1),IU24*ID24),0)</f>
        <v>0</v>
      </c>
      <c r="IL24" s="1015" t="e">
        <f>_xlfn.CONCAT('Customer Inputs'!$AG$14,"_",IC24)</f>
        <v>#N/A</v>
      </c>
      <c r="IM24" s="1015">
        <f t="array" ref="IM24">IFERROR(INDEX('Margin Guidence Table'!$A$1:$AG$10000,MATCH(1,('Margin Guidence Table'!$A$1:$A$10000=IL24)*('Margin Guidence Table'!$I$1:$I$10000&lt;=ROUND($ID$3,0))*('Margin Guidence Table'!$J$1:$J$10000&gt;=ROUND($ID$3,0)),0),MATCH("DATA_POINTS",'Margin Guidence Table'!$A$1:$AG$1,0)),0)</f>
        <v>0</v>
      </c>
      <c r="IN24" s="1012" t="str">
        <f t="shared" si="43"/>
        <v>DEFAULT</v>
      </c>
      <c r="IO24" s="1012">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1012">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1016">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1016">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1016">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1016">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1016">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1016">
        <f t="array" ref="IV24">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361"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67">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1012">
        <f>IFERROR(IF(AND($JA$2&lt;&gt;"Enter Spend&gt;&gt;&gt;",$JB$2="EXISTING"),SUMIFS('Existing Customers'!$S:$S,'Existing Customers'!$H:$H,$IZ24,'Existing Customers'!$A:$A,$JA$1),JQ24*JA24),0)</f>
        <v>0</v>
      </c>
      <c r="JH24" s="1012">
        <f>IFERROR(IF(AND($JA$2&lt;&gt;"Enter Spend&gt;&gt;&gt;",$JB$2="EXISTING"),SUMIFS('Existing Customers'!$U:$U,'Existing Customers'!$H:$H,$IZ24,'Existing Customers'!$A:$A,$JA$1),JR24*JA24),0)</f>
        <v>0</v>
      </c>
      <c r="JI24" s="1015" t="e">
        <f>_xlfn.CONCAT('Customer Inputs'!$AG$15,"_",IZ24)</f>
        <v>#N/A</v>
      </c>
      <c r="JJ24" s="1015">
        <f t="array" ref="JJ24">IFERROR(INDEX('Margin Guidence Table'!$A$1:$AG$10000,MATCH(1,('Margin Guidence Table'!$A$1:$A$10000=JI24)*('Margin Guidence Table'!$I$1:$I$10000&lt;=ROUND($JA$3,0))*('Margin Guidence Table'!$J$1:$J$10000&gt;=ROUND($JA$3,0)),0),MATCH("DATA_POINTS",'Margin Guidence Table'!$A$1:$AG$1,0)),0)</f>
        <v>0</v>
      </c>
      <c r="JK24" s="1012" t="str">
        <f t="shared" si="45"/>
        <v>DEFAULT</v>
      </c>
      <c r="JL24" s="1012">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1012">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1016">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1016">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1016">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1016">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1016">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1016">
        <f t="array" ref="JS24">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440">
        <f t="shared" si="9"/>
        <v>0</v>
      </c>
      <c r="D25" s="456">
        <f t="shared" si="10"/>
        <v>0</v>
      </c>
      <c r="E25" s="456">
        <f t="shared" si="11"/>
        <v>0</v>
      </c>
      <c r="F25" s="456">
        <f t="shared" si="12"/>
        <v>0</v>
      </c>
      <c r="G25" s="457">
        <f t="shared" si="13"/>
        <v>0</v>
      </c>
      <c r="H25" s="456">
        <f t="shared" si="14"/>
        <v>0</v>
      </c>
      <c r="I25" s="1010">
        <f t="shared" si="15"/>
        <v>0</v>
      </c>
      <c r="J25" s="1010">
        <f t="shared" si="0"/>
        <v>0</v>
      </c>
      <c r="K25" s="1010">
        <f t="shared" si="16"/>
        <v>0</v>
      </c>
      <c r="L25" s="456">
        <f t="shared" si="1"/>
        <v>0</v>
      </c>
      <c r="M25" s="456">
        <f t="shared" si="17"/>
        <v>0</v>
      </c>
      <c r="N25" s="1011">
        <f t="shared" si="2"/>
        <v>0</v>
      </c>
      <c r="P25" t="str">
        <f>'PIM Model'!E21</f>
        <v>INCLUDE</v>
      </c>
      <c r="Q25">
        <f>IFERROR(T25/$T$35,0)</f>
        <v>0</v>
      </c>
      <c r="R25">
        <f t="shared" si="19"/>
        <v>0</v>
      </c>
      <c r="S25" s="99" t="s">
        <v>93</v>
      </c>
      <c r="T25" s="94">
        <f t="shared" si="20"/>
        <v>0</v>
      </c>
      <c r="U25" s="86">
        <f t="shared" si="3"/>
        <v>0</v>
      </c>
      <c r="V25" s="86">
        <f t="shared" si="4"/>
        <v>0</v>
      </c>
      <c r="W25" s="86">
        <f t="shared" si="5"/>
        <v>0</v>
      </c>
      <c r="X25" s="111">
        <f t="shared" si="6"/>
        <v>0</v>
      </c>
      <c r="Y25" s="114">
        <f t="shared" si="21"/>
        <v>0</v>
      </c>
      <c r="Z25" s="365"/>
      <c r="AA25" s="99" t="s">
        <v>93</v>
      </c>
      <c r="AB25" s="444">
        <f t="shared" si="7"/>
        <v>0</v>
      </c>
      <c r="AC25" s="445">
        <f t="shared" si="7"/>
        <v>0</v>
      </c>
      <c r="AD25" s="445">
        <f t="shared" si="7"/>
        <v>0</v>
      </c>
      <c r="AE25" s="446">
        <f t="shared" si="22"/>
        <v>0</v>
      </c>
      <c r="AF25" s="447">
        <f t="shared" si="23"/>
        <v>0</v>
      </c>
      <c r="AG25" s="365"/>
      <c r="AH25" s="99" t="s">
        <v>93</v>
      </c>
      <c r="AI25" s="444">
        <f t="shared" si="8"/>
        <v>0</v>
      </c>
      <c r="AJ25" s="441">
        <f t="shared" si="24"/>
        <v>0</v>
      </c>
      <c r="AK25" s="447"/>
      <c r="AL25" s="365"/>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65">
        <f>VLOOKUP($AH25&amp;$AM25,'IMargin Quartiles'!$A:$F,6,FALSE)</f>
        <v>0.18</v>
      </c>
      <c r="AO25" s="365"/>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65">
        <f t="shared" si="25"/>
        <v>0</v>
      </c>
      <c r="AR25">
        <f>'PIM Model'!C21</f>
        <v>0</v>
      </c>
      <c r="AS25" s="365"/>
      <c r="AT25" s="365"/>
      <c r="AU25" s="365" t="e">
        <f t="shared" si="46"/>
        <v>#DIV/0!</v>
      </c>
      <c r="AV25" s="365"/>
      <c r="AW25" s="365"/>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361"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67">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1014" t="e">
        <f>_xlfn.CONCAT('Customer Inputs'!$AG$6,"_",BA25)</f>
        <v>#N/A</v>
      </c>
      <c r="BK25" s="1015">
        <f t="array" ref="BK25">IFERROR(INDEX('Margin Guidence Table'!$A$1:$AG$10000,MATCH(1,('Margin Guidence Table'!$A$1:$A$10000=$BJ25)*('Margin Guidence Table'!$I$1:$I$10000&lt;=ROUND($BB$3,0))*('Margin Guidence Table'!$J$1:$J$10000&gt;=ROUND($BB$3,0)),0),MATCH("DATA_POINTS",'Margin Guidence Table'!$A$1:$AG$1,0)),0)</f>
        <v>0</v>
      </c>
      <c r="BL25" s="1012" t="str">
        <f t="shared" si="27"/>
        <v>DEFAULT</v>
      </c>
      <c r="BM25" s="1012">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1012">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1016">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1016">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1016">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1016">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1016">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1016">
        <f t="array" ref="BT25">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361"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1012">
        <f>IFERROR(IF(AND($BY$2&lt;&gt;"Enter Spend&gt;&gt;&gt;",$BZ$2="EXISTING"),SUMIFS('Existing Customers'!$S:$S,'Existing Customers'!$H:$H,$BX25,'Existing Customers'!$A:$A,$BY$1),CO25*BY25),0)</f>
        <v>0</v>
      </c>
      <c r="CF25" s="1012">
        <f>IFERROR(IF(AND($BY$2&lt;&gt;"Enter Spend&gt;&gt;&gt;",$BZ$2="EXISTING"),SUMIFS('Existing Customers'!$U:$U,'Existing Customers'!$H:$H,$BX25,'Existing Customers'!$A:$A,$BY$1),CP25*BY25),0)</f>
        <v>0</v>
      </c>
      <c r="CG25" s="1015" t="e">
        <f>_xlfn.CONCAT('Customer Inputs'!$AG$7,"_",BX25)</f>
        <v>#N/A</v>
      </c>
      <c r="CH25" s="1015">
        <f t="array" ref="CH25">IFERROR(INDEX('Margin Guidence Table'!$A$1:$AG$10000,MATCH(1,('Margin Guidence Table'!$A$1:$A$10000=$CG25)*('Margin Guidence Table'!$I$1:$I$10000&lt;=ROUND($BY$3,0))*('Margin Guidence Table'!$J$1:$J$10000&gt;=ROUND($BY$3,0)),0),MATCH("DATA_POINTS",'Margin Guidence Table'!$A$1:$AG$1,0)),0)</f>
        <v>0</v>
      </c>
      <c r="CI25" s="1012" t="str">
        <f t="shared" si="29"/>
        <v>DEFAULT</v>
      </c>
      <c r="CJ25" s="1012">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1012">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1016">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1016">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1016">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1016">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1016">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1016">
        <f t="array" ref="CQ25">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361"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1012">
        <f>IFERROR(IF(AND($CV$2&lt;&gt;"Enter Spend&gt;&gt;&gt;",$CW$2="EXISTING"),SUMIFS('Existing Customers'!$S:$S,'Existing Customers'!$H:$H,$CU25,'Existing Customers'!$A:$A,$CV$1),DL25*CV25),0)</f>
        <v>0</v>
      </c>
      <c r="DC25" s="1012">
        <f>IFERROR(IF(AND($CV$2&lt;&gt;"Enter Spend&gt;&gt;&gt;",$CW$2="EXISTING"),SUMIFS('Existing Customers'!$U:$U,'Existing Customers'!$H:$H,$CU25,'Existing Customers'!$A:$A,$CV$1),DM25*CV25),0)</f>
        <v>0</v>
      </c>
      <c r="DD25" s="1015" t="e">
        <f>_xlfn.CONCAT('Customer Inputs'!$AG$8,"_",CU25)</f>
        <v>#N/A</v>
      </c>
      <c r="DE25" s="1015">
        <f t="array" ref="DE25">IFERROR(INDEX('Margin Guidence Table'!$A$1:$AG$10000,MATCH(1,('Margin Guidence Table'!$A$1:$A$10000=DD25)*('Margin Guidence Table'!$I$1:$I$10000&lt;=ROUND($CV$3,0))*('Margin Guidence Table'!$J$1:$J$10000&gt;=ROUND($CV$3,0)),0),MATCH("DATA_POINTS",'Margin Guidence Table'!$A$1:$AG$1,0)),0)</f>
        <v>0</v>
      </c>
      <c r="DF25" s="1012" t="str">
        <f t="shared" si="31"/>
        <v>DEFAULT</v>
      </c>
      <c r="DG25" s="1012">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1012">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1016">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1016">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1016">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1016">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1016">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1016">
        <f t="array" ref="DN25">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361"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1012">
        <f>IFERROR(IF(AND($DS$2&lt;&gt;"Enter Spend&gt;&gt;&gt;",$DT$2="EXISTING"),SUMIFS('Existing Customers'!$S:$S,'Existing Customers'!$H:$H,$DT25,'Existing Customers'!$A:$A,$DS$1),EI25*DS25),0)</f>
        <v>0</v>
      </c>
      <c r="DZ25" s="1012">
        <f>IFERROR(IF(AND($DS$2&lt;&gt;"Enter Spend&gt;&gt;&gt;",$DT$2="EXISTING"),SUMIFS('Existing Customers'!$U:$U,'Existing Customers'!$H:$H,$DR25,'Existing Customers'!$A:$A,$DS$1),EJ25*DS25),0)</f>
        <v>0</v>
      </c>
      <c r="EA25" s="1015" t="e">
        <f>_xlfn.CONCAT('Customer Inputs'!$AG$9,"_",DR25)</f>
        <v>#N/A</v>
      </c>
      <c r="EB25" s="1015">
        <f t="array" ref="EB25">IFERROR(INDEX('Margin Guidence Table'!$A$1:$AG$10000,MATCH(1,('Margin Guidence Table'!$A$1:$A$10000=EA25)*('Margin Guidence Table'!$I$1:$I$10000&lt;=ROUND($DS$3,0))*('Margin Guidence Table'!$J$1:$J$10000&gt;=ROUND($DS$3,0)),0),MATCH("DATA_POINTS",'Margin Guidence Table'!$A$1:$AG$1,0)),0)</f>
        <v>0</v>
      </c>
      <c r="EC25" s="1012" t="str">
        <f t="shared" si="33"/>
        <v>DEFAULT</v>
      </c>
      <c r="ED25" s="1012">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1012">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1016">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1016">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1016">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1016">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1016">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1016">
        <f t="array" ref="EK25">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361"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1012">
        <f>IFERROR(IF(AND($EP$2&lt;&gt;"Enter Spend&gt;&gt;&gt;",$EQ$2="EXISTING"),SUMIFS('Existing Customers'!$S:$S,'Existing Customers'!$H:$H,$EO25,'Existing Customers'!$A:$A,$EP$1),FF25*EP25),0)</f>
        <v>0</v>
      </c>
      <c r="EW25" s="1012">
        <f>IFERROR(IF(AND($EP$2&lt;&gt;"Enter Spend&gt;&gt;&gt;",$EQ$2="EXISTING"),SUMIFS('Existing Customers'!$U:$U,'Existing Customers'!$H:$H,$EO25,'Existing Customers'!$A:$A,$EP$1),FG25*EP25),0)</f>
        <v>0</v>
      </c>
      <c r="EX25" s="1015" t="e">
        <f>_xlfn.CONCAT('Customer Inputs'!$AG$10,"_",EO25)</f>
        <v>#N/A</v>
      </c>
      <c r="EY25" s="1015">
        <f t="array" ref="EY25">IFERROR(INDEX('Margin Guidence Table'!$A$1:$AG$10000,MATCH(1,('Margin Guidence Table'!$A$1:$A$10000=EX25)*('Margin Guidence Table'!$I$1:$I$10000&lt;=ROUND($EP$3,0))*('Margin Guidence Table'!$J$1:$J$10000&gt;=ROUND($EP$3,0)),0),MATCH("DATA_POINTS",'Margin Guidence Table'!$A$1:$AG$1,0)),0)</f>
        <v>0</v>
      </c>
      <c r="EZ25" s="1012" t="str">
        <f t="shared" si="35"/>
        <v>DEFAULT</v>
      </c>
      <c r="FA25" s="1012">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1012"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1016">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1016">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1016">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1016">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1016">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1016">
        <f t="array" ref="FH25">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361"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1012">
        <f>IFERROR(IF(AND($FM$2&lt;&gt;"Enter Spend&gt;&gt;&gt;",$FN$2="EXISTING"),SUMIFS('Existing Customers'!$S:$S,'Existing Customers'!$H:$H,$FL25,'Existing Customers'!$A:$A,$FM$1),GC25*FM25),0)</f>
        <v>0</v>
      </c>
      <c r="FT25" s="1012">
        <f>IFERROR(IF(AND($FM$2&lt;&gt;"Enter Spend&gt;&gt;&gt;",$FN$2="EXISTING"),SUMIFS('Existing Customers'!$U:$U,'Existing Customers'!$H:$H,$FL25,'Existing Customers'!$A:$A,$FM$1),GD25*FM25),0)</f>
        <v>0</v>
      </c>
      <c r="FU25" s="1015" t="e">
        <f>_xlfn.CONCAT('Customer Inputs'!$AG$11,"_",FL25)</f>
        <v>#N/A</v>
      </c>
      <c r="FV25" s="1015">
        <f t="array" ref="FV25">IFERROR(INDEX('Margin Guidence Table'!$A$1:$AG$10000,MATCH(1,('Margin Guidence Table'!$A$1:$A$10000=FU25)*('Margin Guidence Table'!$I$1:$I$10000&lt;=ROUND($FM$3,0))*('Margin Guidence Table'!$J$1:$J$10000&gt;=ROUND($FM$3,0)),0),MATCH("DATA_POINTS",'Margin Guidence Table'!$A$1:$AG$1,0)),0)</f>
        <v>0</v>
      </c>
      <c r="FW25" s="1012" t="str">
        <f t="shared" si="37"/>
        <v>DEFAULT</v>
      </c>
      <c r="FX25" s="1012">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1012">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1016">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1016">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1016">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1016">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1016">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1016">
        <f t="array" ref="GE25">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361"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1012">
        <f>IFERROR(IF(AND($GJ$2&lt;&gt;"Enter Spend&gt;&gt;&gt;",$GK$2="EXISTING"),SUMIFS('Existing Customers'!$S:$S,'Existing Customers'!$H:$H,$GI25,'Existing Customers'!$A:$A,$GJ$1),GZ25*GJ25),0)</f>
        <v>0</v>
      </c>
      <c r="GQ25" s="1012">
        <f>IFERROR(IF(AND($GJ$2&lt;&gt;"Enter Spend&gt;&gt;&gt;",$GK$2="EXISTING"),SUMIFS('Existing Customers'!$U:$U,'Existing Customers'!$H:$H,$GI25,'Existing Customers'!$A:$A,$GJ$1),HA25*GJ25),0)</f>
        <v>0</v>
      </c>
      <c r="GR25" s="1015" t="e">
        <f>_xlfn.CONCAT('Customer Inputs'!$AG$12,"_",GI25)</f>
        <v>#N/A</v>
      </c>
      <c r="GS25" s="1015">
        <f t="array" ref="GS25">IFERROR(INDEX('Margin Guidence Table'!$A$1:$AG$10000,MATCH(1,('Margin Guidence Table'!$A$1:$A$10000=GR25)*('Margin Guidence Table'!$I$1:$I$10000&lt;=ROUND($GJ$3,0))*('Margin Guidence Table'!$J$1:$J$10000&gt;=ROUND($GJ$3,0)),0),MATCH("DATA_POINTS",'Margin Guidence Table'!$A$1:$AG$1,0)),0)</f>
        <v>0</v>
      </c>
      <c r="GT25" s="1012" t="str">
        <f t="shared" si="39"/>
        <v>DEFAULT</v>
      </c>
      <c r="GU25" s="1012">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1012">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1016">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1016">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1016">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1016">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1016">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1016">
        <f t="array" ref="HB25">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361"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1012">
        <f>IFERROR(IF(AND($HG$2&lt;&gt;"Enter Spend&gt;&gt;&gt;",$HH$2="EXISTING"),SUMIFS('Existing Customers'!$S:$S,'Existing Customers'!$H:$H,$HF25,'Existing Customers'!$A:$A,$HG$1),HW25*HG25),0)</f>
        <v>0</v>
      </c>
      <c r="HN25" s="1012">
        <f>IFERROR(IF(AND($HG$2&lt;&gt;"Enter Spend&gt;&gt;&gt;",$HH$2="EXISTING"),SUMIFS('Existing Customers'!$U:$U,'Existing Customers'!$H:$H,$HF25,'Existing Customers'!$A:$A,$HG$1),HX25*HG25),0)</f>
        <v>0</v>
      </c>
      <c r="HO25" s="1015" t="e">
        <f>_xlfn.CONCAT('Customer Inputs'!$AG$13,"_",HF25)</f>
        <v>#N/A</v>
      </c>
      <c r="HP25" s="1015">
        <f t="array" ref="HP25">IFERROR(INDEX('Margin Guidence Table'!$A$1:$AG$10000,MATCH(1,('Margin Guidence Table'!$A$1:$A$10000=HO25)*('Margin Guidence Table'!$I$1:$I$10000&lt;=ROUND($HG$3,0))*('Margin Guidence Table'!$J$1:$J$10000&gt;=ROUND($HG$3,0)),0),MATCH("DATA_POINTS",'Margin Guidence Table'!$A$1:$AG$1,0)),0)</f>
        <v>0</v>
      </c>
      <c r="HQ25" s="1012" t="str">
        <f t="shared" si="41"/>
        <v>DEFAULT</v>
      </c>
      <c r="HR25" s="1012">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1012">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1016">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1016">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1016">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1016">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1016">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1016">
        <f t="array" ref="HY25">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361"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67">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1012">
        <f>IFERROR(IF(AND($ID$2&lt;&gt;"Enter Spend&gt;&gt;&gt;",$IE$2="EXISTING"),SUMIFS('Existing Customers'!$S:$S,'Existing Customers'!$H:$H,$IC25,'Existing Customers'!$A:$A,$ID$1),IT25*ID25),0)</f>
        <v>0</v>
      </c>
      <c r="IK25" s="1012">
        <f>IFERROR(IF(AND($ID$2&lt;&gt;"Enter Spend&gt;&gt;&gt;",$IE$2="EXISTING"),SUMIFS('Existing Customers'!$U:$U,'Existing Customers'!$H:$H,$IC25,'Existing Customers'!$A:$A,$ID$1),IU25*ID25),0)</f>
        <v>0</v>
      </c>
      <c r="IL25" s="1015" t="e">
        <f>_xlfn.CONCAT('Customer Inputs'!$AG$14,"_",IC25)</f>
        <v>#N/A</v>
      </c>
      <c r="IM25" s="1015">
        <f t="array" ref="IM25">IFERROR(INDEX('Margin Guidence Table'!$A$1:$AG$10000,MATCH(1,('Margin Guidence Table'!$A$1:$A$10000=IL25)*('Margin Guidence Table'!$I$1:$I$10000&lt;=ROUND($ID$3,0))*('Margin Guidence Table'!$J$1:$J$10000&gt;=ROUND($ID$3,0)),0),MATCH("DATA_POINTS",'Margin Guidence Table'!$A$1:$AG$1,0)),0)</f>
        <v>0</v>
      </c>
      <c r="IN25" s="1012" t="str">
        <f t="shared" si="43"/>
        <v>DEFAULT</v>
      </c>
      <c r="IO25" s="1012">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1012">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1016">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1016">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1016">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1016">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1016">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1016">
        <f t="array" ref="IV25">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361"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67">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1012">
        <f>IFERROR(IF(AND($JA$2&lt;&gt;"Enter Spend&gt;&gt;&gt;",$JB$2="EXISTING"),SUMIFS('Existing Customers'!$S:$S,'Existing Customers'!$H:$H,$IZ25,'Existing Customers'!$A:$A,$JA$1),JQ25*JA25),0)</f>
        <v>0</v>
      </c>
      <c r="JH25" s="1012">
        <f>IFERROR(IF(AND($JA$2&lt;&gt;"Enter Spend&gt;&gt;&gt;",$JB$2="EXISTING"),SUMIFS('Existing Customers'!$U:$U,'Existing Customers'!$H:$H,$IZ25,'Existing Customers'!$A:$A,$JA$1),JR25*JA25),0)</f>
        <v>0</v>
      </c>
      <c r="JI25" s="1015" t="e">
        <f>_xlfn.CONCAT('Customer Inputs'!$AG$15,"_",IZ25)</f>
        <v>#N/A</v>
      </c>
      <c r="JJ25" s="1015">
        <f t="array" ref="JJ25">IFERROR(INDEX('Margin Guidence Table'!$A$1:$AG$10000,MATCH(1,('Margin Guidence Table'!$A$1:$A$10000=JI25)*('Margin Guidence Table'!$I$1:$I$10000&lt;=ROUND($JA$3,0))*('Margin Guidence Table'!$J$1:$J$10000&gt;=ROUND($JA$3,0)),0),MATCH("DATA_POINTS",'Margin Guidence Table'!$A$1:$AG$1,0)),0)</f>
        <v>0</v>
      </c>
      <c r="JK25" s="1012" t="str">
        <f t="shared" si="45"/>
        <v>DEFAULT</v>
      </c>
      <c r="JL25" s="1012">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1012">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1016">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1016">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1016">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1016">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1016">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1016">
        <f t="array" ref="JS25">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440">
        <f t="shared" si="9"/>
        <v>0</v>
      </c>
      <c r="D26" s="456">
        <f t="shared" si="10"/>
        <v>0</v>
      </c>
      <c r="E26" s="456">
        <f t="shared" si="11"/>
        <v>0</v>
      </c>
      <c r="F26" s="456">
        <f t="shared" si="12"/>
        <v>0</v>
      </c>
      <c r="G26" s="457">
        <f t="shared" si="13"/>
        <v>0</v>
      </c>
      <c r="H26" s="456">
        <f t="shared" si="14"/>
        <v>0</v>
      </c>
      <c r="I26" s="1010">
        <f t="shared" si="15"/>
        <v>0</v>
      </c>
      <c r="J26" s="1010">
        <f t="shared" si="0"/>
        <v>0</v>
      </c>
      <c r="K26" s="1010">
        <f t="shared" si="16"/>
        <v>0</v>
      </c>
      <c r="L26" s="456">
        <f t="shared" si="1"/>
        <v>0</v>
      </c>
      <c r="M26" s="456">
        <f t="shared" si="17"/>
        <v>0</v>
      </c>
      <c r="N26" s="1011">
        <f t="shared" si="2"/>
        <v>0</v>
      </c>
      <c r="P26" t="str">
        <f>'PIM Model'!E22</f>
        <v>INCLUDE</v>
      </c>
      <c r="Q26">
        <f t="shared" si="18"/>
        <v>0</v>
      </c>
      <c r="R26">
        <f t="shared" si="19"/>
        <v>0</v>
      </c>
      <c r="S26" s="99" t="s">
        <v>105</v>
      </c>
      <c r="T26" s="94">
        <f t="shared" si="20"/>
        <v>0</v>
      </c>
      <c r="U26" s="86">
        <f t="shared" si="3"/>
        <v>0</v>
      </c>
      <c r="V26" s="86">
        <f t="shared" si="4"/>
        <v>0</v>
      </c>
      <c r="W26" s="86">
        <f t="shared" si="5"/>
        <v>0</v>
      </c>
      <c r="X26" s="111">
        <f t="shared" si="6"/>
        <v>0</v>
      </c>
      <c r="Y26" s="114">
        <f t="shared" si="21"/>
        <v>0</v>
      </c>
      <c r="Z26" s="365"/>
      <c r="AA26" s="99" t="s">
        <v>105</v>
      </c>
      <c r="AB26" s="444">
        <f t="shared" si="7"/>
        <v>0</v>
      </c>
      <c r="AC26" s="445">
        <f t="shared" si="7"/>
        <v>0</v>
      </c>
      <c r="AD26" s="445">
        <f t="shared" si="7"/>
        <v>0</v>
      </c>
      <c r="AE26" s="446">
        <f t="shared" si="22"/>
        <v>0</v>
      </c>
      <c r="AF26" s="447">
        <f t="shared" si="23"/>
        <v>0</v>
      </c>
      <c r="AG26" s="365"/>
      <c r="AH26" s="99" t="s">
        <v>105</v>
      </c>
      <c r="AI26" s="444">
        <f t="shared" si="8"/>
        <v>0</v>
      </c>
      <c r="AJ26" s="441">
        <f t="shared" si="24"/>
        <v>0</v>
      </c>
      <c r="AK26" s="447"/>
      <c r="AL26" s="365"/>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65">
        <f>VLOOKUP($AH26&amp;$AM26,'IMargin Quartiles'!$A:$F,6,FALSE)</f>
        <v>0.18</v>
      </c>
      <c r="AO26" s="365"/>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65">
        <f t="shared" si="25"/>
        <v>0</v>
      </c>
      <c r="AR26">
        <f>'PIM Model'!C22</f>
        <v>0</v>
      </c>
      <c r="AS26" s="365"/>
      <c r="AT26" s="365"/>
      <c r="AU26" s="365" t="e">
        <f t="shared" si="46"/>
        <v>#DIV/0!</v>
      </c>
      <c r="AV26" s="365"/>
      <c r="AW26" s="365"/>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361"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67">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1014" t="e">
        <f>_xlfn.CONCAT('Customer Inputs'!$AG$6,"_",BA26)</f>
        <v>#N/A</v>
      </c>
      <c r="BK26" s="1015">
        <f t="array" ref="BK26">IFERROR(INDEX('Margin Guidence Table'!$A$1:$AG$10000,MATCH(1,('Margin Guidence Table'!$A$1:$A$10000=$BJ26)*('Margin Guidence Table'!$I$1:$I$10000&lt;=ROUND($BB$3,0))*('Margin Guidence Table'!$J$1:$J$10000&gt;=ROUND($BB$3,0)),0),MATCH("DATA_POINTS",'Margin Guidence Table'!$A$1:$AG$1,0)),0)</f>
        <v>0</v>
      </c>
      <c r="BL26" s="1012" t="str">
        <f t="shared" si="27"/>
        <v>DEFAULT</v>
      </c>
      <c r="BM26" s="1012">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1012">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1016">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1016">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1016">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1016">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1016">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1016">
        <f t="array" ref="BT26">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361"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1012">
        <f>IFERROR(IF(AND($BY$2&lt;&gt;"Enter Spend&gt;&gt;&gt;",$BZ$2="EXISTING"),SUMIFS('Existing Customers'!$S:$S,'Existing Customers'!$H:$H,$BX26,'Existing Customers'!$A:$A,$BY$1),CO26*BY26),0)</f>
        <v>0</v>
      </c>
      <c r="CF26" s="1012">
        <f>IFERROR(IF(AND($BY$2&lt;&gt;"Enter Spend&gt;&gt;&gt;",$BZ$2="EXISTING"),SUMIFS('Existing Customers'!$U:$U,'Existing Customers'!$H:$H,$BX26,'Existing Customers'!$A:$A,$BY$1),CP26*BY26),0)</f>
        <v>0</v>
      </c>
      <c r="CG26" s="1015" t="e">
        <f>_xlfn.CONCAT('Customer Inputs'!$AG$7,"_",BX26)</f>
        <v>#N/A</v>
      </c>
      <c r="CH26" s="1015">
        <f t="array" ref="CH26">IFERROR(INDEX('Margin Guidence Table'!$A$1:$AG$10000,MATCH(1,('Margin Guidence Table'!$A$1:$A$10000=$CG26)*('Margin Guidence Table'!$I$1:$I$10000&lt;=ROUND($BY$3,0))*('Margin Guidence Table'!$J$1:$J$10000&gt;=ROUND($BY$3,0)),0),MATCH("DATA_POINTS",'Margin Guidence Table'!$A$1:$AG$1,0)),0)</f>
        <v>0</v>
      </c>
      <c r="CI26" s="1012" t="str">
        <f t="shared" si="29"/>
        <v>DEFAULT</v>
      </c>
      <c r="CJ26" s="1012">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1012">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1016">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1016">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1016">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1016">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1016">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1016">
        <f t="array" ref="CQ26">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361"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1012">
        <f>IFERROR(IF(AND($CV$2&lt;&gt;"Enter Spend&gt;&gt;&gt;",$CW$2="EXISTING"),SUMIFS('Existing Customers'!$S:$S,'Existing Customers'!$H:$H,$CU26,'Existing Customers'!$A:$A,$CV$1),DL26*CV26),0)</f>
        <v>0</v>
      </c>
      <c r="DC26" s="1012">
        <f>IFERROR(IF(AND($CV$2&lt;&gt;"Enter Spend&gt;&gt;&gt;",$CW$2="EXISTING"),SUMIFS('Existing Customers'!$U:$U,'Existing Customers'!$H:$H,$CU26,'Existing Customers'!$A:$A,$CV$1),DM26*CV26),0)</f>
        <v>0</v>
      </c>
      <c r="DD26" s="1015" t="e">
        <f>_xlfn.CONCAT('Customer Inputs'!$AG$8,"_",CU26)</f>
        <v>#N/A</v>
      </c>
      <c r="DE26" s="1015">
        <f t="array" ref="DE26">IFERROR(INDEX('Margin Guidence Table'!$A$1:$AG$10000,MATCH(1,('Margin Guidence Table'!$A$1:$A$10000=DD26)*('Margin Guidence Table'!$I$1:$I$10000&lt;=ROUND($CV$3,0))*('Margin Guidence Table'!$J$1:$J$10000&gt;=ROUND($CV$3,0)),0),MATCH("DATA_POINTS",'Margin Guidence Table'!$A$1:$AG$1,0)),0)</f>
        <v>0</v>
      </c>
      <c r="DF26" s="1012" t="str">
        <f t="shared" si="31"/>
        <v>DEFAULT</v>
      </c>
      <c r="DG26" s="1012">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1012">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1016">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1016">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1016">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1016">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1016">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1016">
        <f t="array" ref="DN26">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361"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1012">
        <f>IFERROR(IF(AND($DS$2&lt;&gt;"Enter Spend&gt;&gt;&gt;",$DT$2="EXISTING"),SUMIFS('Existing Customers'!$S:$S,'Existing Customers'!$H:$H,$DT26,'Existing Customers'!$A:$A,$DS$1),EI26*DS26),0)</f>
        <v>0</v>
      </c>
      <c r="DZ26" s="1012">
        <f>IFERROR(IF(AND($DS$2&lt;&gt;"Enter Spend&gt;&gt;&gt;",$DT$2="EXISTING"),SUMIFS('Existing Customers'!$U:$U,'Existing Customers'!$H:$H,$DR26,'Existing Customers'!$A:$A,$DS$1),EJ26*DS26),0)</f>
        <v>0</v>
      </c>
      <c r="EA26" s="1015" t="e">
        <f>_xlfn.CONCAT('Customer Inputs'!$AG$9,"_",DR26)</f>
        <v>#N/A</v>
      </c>
      <c r="EB26" s="1015">
        <f t="array" ref="EB26">IFERROR(INDEX('Margin Guidence Table'!$A$1:$AG$10000,MATCH(1,('Margin Guidence Table'!$A$1:$A$10000=EA26)*('Margin Guidence Table'!$I$1:$I$10000&lt;=ROUND($DS$3,0))*('Margin Guidence Table'!$J$1:$J$10000&gt;=ROUND($DS$3,0)),0),MATCH("DATA_POINTS",'Margin Guidence Table'!$A$1:$AG$1,0)),0)</f>
        <v>0</v>
      </c>
      <c r="EC26" s="1012" t="str">
        <f t="shared" si="33"/>
        <v>DEFAULT</v>
      </c>
      <c r="ED26" s="1012">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1012">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1016">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1016">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1016">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1016">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1016">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1016">
        <f t="array" ref="EK26">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361"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1012">
        <f>IFERROR(IF(AND($EP$2&lt;&gt;"Enter Spend&gt;&gt;&gt;",$EQ$2="EXISTING"),SUMIFS('Existing Customers'!$S:$S,'Existing Customers'!$H:$H,$EO26,'Existing Customers'!$A:$A,$EP$1),FF26*EP26),0)</f>
        <v>0</v>
      </c>
      <c r="EW26" s="1012">
        <f>IFERROR(IF(AND($EP$2&lt;&gt;"Enter Spend&gt;&gt;&gt;",$EQ$2="EXISTING"),SUMIFS('Existing Customers'!$U:$U,'Existing Customers'!$H:$H,$EO26,'Existing Customers'!$A:$A,$EP$1),FG26*EP26),0)</f>
        <v>0</v>
      </c>
      <c r="EX26" s="1015" t="e">
        <f>_xlfn.CONCAT('Customer Inputs'!$AG$10,"_",EO26)</f>
        <v>#N/A</v>
      </c>
      <c r="EY26" s="1015">
        <f t="array" ref="EY26">IFERROR(INDEX('Margin Guidence Table'!$A$1:$AG$10000,MATCH(1,('Margin Guidence Table'!$A$1:$A$10000=EX26)*('Margin Guidence Table'!$I$1:$I$10000&lt;=ROUND($EP$3,0))*('Margin Guidence Table'!$J$1:$J$10000&gt;=ROUND($EP$3,0)),0),MATCH("DATA_POINTS",'Margin Guidence Table'!$A$1:$AG$1,0)),0)</f>
        <v>0</v>
      </c>
      <c r="EZ26" s="1012" t="str">
        <f t="shared" si="35"/>
        <v>DEFAULT</v>
      </c>
      <c r="FA26" s="1012">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1012"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1016">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1016">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1016">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1016">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1016">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1016">
        <f t="array" ref="FH26">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361"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1012">
        <f>IFERROR(IF(AND($FM$2&lt;&gt;"Enter Spend&gt;&gt;&gt;",$FN$2="EXISTING"),SUMIFS('Existing Customers'!$S:$S,'Existing Customers'!$H:$H,$FL26,'Existing Customers'!$A:$A,$FM$1),GC26*FM26),0)</f>
        <v>0</v>
      </c>
      <c r="FT26" s="1012">
        <f>IFERROR(IF(AND($FM$2&lt;&gt;"Enter Spend&gt;&gt;&gt;",$FN$2="EXISTING"),SUMIFS('Existing Customers'!$U:$U,'Existing Customers'!$H:$H,$FL26,'Existing Customers'!$A:$A,$FM$1),GD26*FM26),0)</f>
        <v>0</v>
      </c>
      <c r="FU26" s="1015" t="e">
        <f>_xlfn.CONCAT('Customer Inputs'!$AG$11,"_",FL26)</f>
        <v>#N/A</v>
      </c>
      <c r="FV26" s="1015">
        <f t="array" ref="FV26">IFERROR(INDEX('Margin Guidence Table'!$A$1:$AG$10000,MATCH(1,('Margin Guidence Table'!$A$1:$A$10000=FU26)*('Margin Guidence Table'!$I$1:$I$10000&lt;=ROUND($FM$3,0))*('Margin Guidence Table'!$J$1:$J$10000&gt;=ROUND($FM$3,0)),0),MATCH("DATA_POINTS",'Margin Guidence Table'!$A$1:$AG$1,0)),0)</f>
        <v>0</v>
      </c>
      <c r="FW26" s="1012" t="str">
        <f t="shared" si="37"/>
        <v>DEFAULT</v>
      </c>
      <c r="FX26" s="1012">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1012">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1016">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1016">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1016">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1016">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1016">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1016">
        <f t="array" ref="GE26">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361"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1012">
        <f>IFERROR(IF(AND($GJ$2&lt;&gt;"Enter Spend&gt;&gt;&gt;",$GK$2="EXISTING"),SUMIFS('Existing Customers'!$S:$S,'Existing Customers'!$H:$H,$GI26,'Existing Customers'!$A:$A,$GJ$1),GZ26*GJ26),0)</f>
        <v>0</v>
      </c>
      <c r="GQ26" s="1012">
        <f>IFERROR(IF(AND($GJ$2&lt;&gt;"Enter Spend&gt;&gt;&gt;",$GK$2="EXISTING"),SUMIFS('Existing Customers'!$U:$U,'Existing Customers'!$H:$H,$GI26,'Existing Customers'!$A:$A,$GJ$1),HA26*GJ26),0)</f>
        <v>0</v>
      </c>
      <c r="GR26" s="1015" t="e">
        <f>_xlfn.CONCAT('Customer Inputs'!$AG$12,"_",GI26)</f>
        <v>#N/A</v>
      </c>
      <c r="GS26" s="1015">
        <f t="array" ref="GS26">IFERROR(INDEX('Margin Guidence Table'!$A$1:$AG$10000,MATCH(1,('Margin Guidence Table'!$A$1:$A$10000=GR26)*('Margin Guidence Table'!$I$1:$I$10000&lt;=ROUND($GJ$3,0))*('Margin Guidence Table'!$J$1:$J$10000&gt;=ROUND($GJ$3,0)),0),MATCH("DATA_POINTS",'Margin Guidence Table'!$A$1:$AG$1,0)),0)</f>
        <v>0</v>
      </c>
      <c r="GT26" s="1012" t="str">
        <f t="shared" si="39"/>
        <v>DEFAULT</v>
      </c>
      <c r="GU26" s="1012">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1012">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1016">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1016">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1016">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1016">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1016">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1016">
        <f t="array" ref="HB26">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361"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1012">
        <f>IFERROR(IF(AND($HG$2&lt;&gt;"Enter Spend&gt;&gt;&gt;",$HH$2="EXISTING"),SUMIFS('Existing Customers'!$S:$S,'Existing Customers'!$H:$H,$HF26,'Existing Customers'!$A:$A,$HG$1),HW26*HG26),0)</f>
        <v>0</v>
      </c>
      <c r="HN26" s="1012">
        <f>IFERROR(IF(AND($HG$2&lt;&gt;"Enter Spend&gt;&gt;&gt;",$HH$2="EXISTING"),SUMIFS('Existing Customers'!$U:$U,'Existing Customers'!$H:$H,$HF26,'Existing Customers'!$A:$A,$HG$1),HX26*HG26),0)</f>
        <v>0</v>
      </c>
      <c r="HO26" s="1015" t="e">
        <f>_xlfn.CONCAT('Customer Inputs'!$AG$13,"_",HF26)</f>
        <v>#N/A</v>
      </c>
      <c r="HP26" s="1015">
        <f t="array" ref="HP26">IFERROR(INDEX('Margin Guidence Table'!$A$1:$AG$10000,MATCH(1,('Margin Guidence Table'!$A$1:$A$10000=HO26)*('Margin Guidence Table'!$I$1:$I$10000&lt;=ROUND($HG$3,0))*('Margin Guidence Table'!$J$1:$J$10000&gt;=ROUND($HG$3,0)),0),MATCH("DATA_POINTS",'Margin Guidence Table'!$A$1:$AG$1,0)),0)</f>
        <v>0</v>
      </c>
      <c r="HQ26" s="1012" t="str">
        <f t="shared" si="41"/>
        <v>DEFAULT</v>
      </c>
      <c r="HR26" s="1012">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1012">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1016">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1016">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1016">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1016">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1016">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1016">
        <f t="array" ref="HY26">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361"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67">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1012">
        <f>IFERROR(IF(AND($ID$2&lt;&gt;"Enter Spend&gt;&gt;&gt;",$IE$2="EXISTING"),SUMIFS('Existing Customers'!$S:$S,'Existing Customers'!$H:$H,$IC26,'Existing Customers'!$A:$A,$ID$1),IT26*ID26),0)</f>
        <v>0</v>
      </c>
      <c r="IK26" s="1012">
        <f>IFERROR(IF(AND($ID$2&lt;&gt;"Enter Spend&gt;&gt;&gt;",$IE$2="EXISTING"),SUMIFS('Existing Customers'!$U:$U,'Existing Customers'!$H:$H,$IC26,'Existing Customers'!$A:$A,$ID$1),IU26*ID26),0)</f>
        <v>0</v>
      </c>
      <c r="IL26" s="1015" t="e">
        <f>_xlfn.CONCAT('Customer Inputs'!$AG$14,"_",IC26)</f>
        <v>#N/A</v>
      </c>
      <c r="IM26" s="1015">
        <f t="array" ref="IM26">IFERROR(INDEX('Margin Guidence Table'!$A$1:$AG$10000,MATCH(1,('Margin Guidence Table'!$A$1:$A$10000=IL26)*('Margin Guidence Table'!$I$1:$I$10000&lt;=ROUND($ID$3,0))*('Margin Guidence Table'!$J$1:$J$10000&gt;=ROUND($ID$3,0)),0),MATCH("DATA_POINTS",'Margin Guidence Table'!$A$1:$AG$1,0)),0)</f>
        <v>0</v>
      </c>
      <c r="IN26" s="1012" t="str">
        <f t="shared" si="43"/>
        <v>DEFAULT</v>
      </c>
      <c r="IO26" s="1012">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1012">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1016">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1016">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1016">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1016">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1016">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1016">
        <f t="array" ref="IV26">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361"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67">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1012">
        <f>IFERROR(IF(AND($JA$2&lt;&gt;"Enter Spend&gt;&gt;&gt;",$JB$2="EXISTING"),SUMIFS('Existing Customers'!$S:$S,'Existing Customers'!$H:$H,$IZ26,'Existing Customers'!$A:$A,$JA$1),JQ26*JA26),0)</f>
        <v>0</v>
      </c>
      <c r="JH26" s="1012">
        <f>IFERROR(IF(AND($JA$2&lt;&gt;"Enter Spend&gt;&gt;&gt;",$JB$2="EXISTING"),SUMIFS('Existing Customers'!$U:$U,'Existing Customers'!$H:$H,$IZ26,'Existing Customers'!$A:$A,$JA$1),JR26*JA26),0)</f>
        <v>0</v>
      </c>
      <c r="JI26" s="1015" t="e">
        <f>_xlfn.CONCAT('Customer Inputs'!$AG$15,"_",IZ26)</f>
        <v>#N/A</v>
      </c>
      <c r="JJ26" s="1015">
        <f t="array" ref="JJ26">IFERROR(INDEX('Margin Guidence Table'!$A$1:$AG$10000,MATCH(1,('Margin Guidence Table'!$A$1:$A$10000=JI26)*('Margin Guidence Table'!$I$1:$I$10000&lt;=ROUND($JA$3,0))*('Margin Guidence Table'!$J$1:$J$10000&gt;=ROUND($JA$3,0)),0),MATCH("DATA_POINTS",'Margin Guidence Table'!$A$1:$AG$1,0)),0)</f>
        <v>0</v>
      </c>
      <c r="JK26" s="1012" t="str">
        <f t="shared" si="45"/>
        <v>DEFAULT</v>
      </c>
      <c r="JL26" s="1012">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1012">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1016">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1016">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1016">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1016">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1016">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1016">
        <f t="array" ref="JS26">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440">
        <f t="shared" si="9"/>
        <v>0</v>
      </c>
      <c r="D27" s="456">
        <f t="shared" si="10"/>
        <v>0</v>
      </c>
      <c r="E27" s="456">
        <f t="shared" si="11"/>
        <v>0</v>
      </c>
      <c r="F27" s="456">
        <f t="shared" si="12"/>
        <v>0</v>
      </c>
      <c r="G27" s="457">
        <f t="shared" si="13"/>
        <v>0</v>
      </c>
      <c r="H27" s="456">
        <f t="shared" si="14"/>
        <v>0</v>
      </c>
      <c r="I27" s="1010">
        <f t="shared" si="15"/>
        <v>0</v>
      </c>
      <c r="J27" s="1010">
        <f t="shared" si="0"/>
        <v>0</v>
      </c>
      <c r="K27" s="1010">
        <f t="shared" si="16"/>
        <v>0</v>
      </c>
      <c r="L27" s="456">
        <f t="shared" si="1"/>
        <v>0</v>
      </c>
      <c r="M27" s="456">
        <f t="shared" si="17"/>
        <v>0</v>
      </c>
      <c r="N27" s="1011">
        <f t="shared" si="2"/>
        <v>0</v>
      </c>
      <c r="P27" t="str">
        <f>'PIM Model'!E23</f>
        <v>INCLUDE</v>
      </c>
      <c r="Q27">
        <f t="shared" si="18"/>
        <v>0</v>
      </c>
      <c r="R27">
        <f t="shared" si="19"/>
        <v>0</v>
      </c>
      <c r="S27" s="99" t="s">
        <v>92</v>
      </c>
      <c r="T27" s="94">
        <f t="shared" si="20"/>
        <v>0</v>
      </c>
      <c r="U27" s="86">
        <f t="shared" si="3"/>
        <v>0</v>
      </c>
      <c r="V27" s="86">
        <f t="shared" si="4"/>
        <v>0</v>
      </c>
      <c r="W27" s="86">
        <f t="shared" si="5"/>
        <v>0</v>
      </c>
      <c r="X27" s="111">
        <f t="shared" si="6"/>
        <v>0</v>
      </c>
      <c r="Y27" s="114">
        <f t="shared" si="21"/>
        <v>0</v>
      </c>
      <c r="Z27" s="365"/>
      <c r="AA27" s="99" t="s">
        <v>92</v>
      </c>
      <c r="AB27" s="444">
        <f t="shared" si="7"/>
        <v>0</v>
      </c>
      <c r="AC27" s="445">
        <f t="shared" si="7"/>
        <v>0</v>
      </c>
      <c r="AD27" s="445">
        <f t="shared" si="7"/>
        <v>0</v>
      </c>
      <c r="AE27" s="446">
        <f t="shared" si="22"/>
        <v>0</v>
      </c>
      <c r="AF27" s="447">
        <f t="shared" si="23"/>
        <v>0</v>
      </c>
      <c r="AG27" s="365"/>
      <c r="AH27" s="99" t="s">
        <v>92</v>
      </c>
      <c r="AI27" s="444">
        <f t="shared" si="8"/>
        <v>0</v>
      </c>
      <c r="AJ27" s="441">
        <f t="shared" si="24"/>
        <v>0</v>
      </c>
      <c r="AK27" s="447"/>
      <c r="AL27" s="365"/>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65">
        <f>VLOOKUP($AH27&amp;$AM27,'IMargin Quartiles'!$A:$F,6,FALSE)</f>
        <v>0.13</v>
      </c>
      <c r="AO27" s="365"/>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65">
        <f t="shared" si="25"/>
        <v>0</v>
      </c>
      <c r="AR27">
        <f>'PIM Model'!C23</f>
        <v>0</v>
      </c>
      <c r="AS27" s="365"/>
      <c r="AT27" s="365"/>
      <c r="AU27" s="365" t="e">
        <f t="shared" si="46"/>
        <v>#DIV/0!</v>
      </c>
      <c r="AV27" s="365"/>
      <c r="AW27" s="365"/>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361"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67">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1014" t="e">
        <f>_xlfn.CONCAT('Customer Inputs'!$AG$6,"_",BA27)</f>
        <v>#N/A</v>
      </c>
      <c r="BK27" s="1015">
        <f t="array" ref="BK27">IFERROR(INDEX('Margin Guidence Table'!$A$1:$AG$10000,MATCH(1,('Margin Guidence Table'!$A$1:$A$10000=$BJ27)*('Margin Guidence Table'!$I$1:$I$10000&lt;=ROUND($BB$3,0))*('Margin Guidence Table'!$J$1:$J$10000&gt;=ROUND($BB$3,0)),0),MATCH("DATA_POINTS",'Margin Guidence Table'!$A$1:$AG$1,0)),0)</f>
        <v>0</v>
      </c>
      <c r="BL27" s="1012" t="str">
        <f t="shared" si="27"/>
        <v>DEFAULT</v>
      </c>
      <c r="BM27" s="1012">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1012">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1016">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1016">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1016">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1016">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1016">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1016">
        <f t="array" ref="BT27">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361"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1012">
        <f>IFERROR(IF(AND($BY$2&lt;&gt;"Enter Spend&gt;&gt;&gt;",$BZ$2="EXISTING"),SUMIFS('Existing Customers'!$S:$S,'Existing Customers'!$H:$H,$BX27,'Existing Customers'!$A:$A,$BY$1),CO27*BY27),0)</f>
        <v>0</v>
      </c>
      <c r="CF27" s="1012">
        <f>IFERROR(IF(AND($BY$2&lt;&gt;"Enter Spend&gt;&gt;&gt;",$BZ$2="EXISTING"),SUMIFS('Existing Customers'!$U:$U,'Existing Customers'!$H:$H,$BX27,'Existing Customers'!$A:$A,$BY$1),CP27*BY27),0)</f>
        <v>0</v>
      </c>
      <c r="CG27" s="1015" t="e">
        <f>_xlfn.CONCAT('Customer Inputs'!$AG$7,"_",BX27)</f>
        <v>#N/A</v>
      </c>
      <c r="CH27" s="1015">
        <f t="array" ref="CH27">IFERROR(INDEX('Margin Guidence Table'!$A$1:$AG$10000,MATCH(1,('Margin Guidence Table'!$A$1:$A$10000=$CG27)*('Margin Guidence Table'!$I$1:$I$10000&lt;=ROUND($BY$3,0))*('Margin Guidence Table'!$J$1:$J$10000&gt;=ROUND($BY$3,0)),0),MATCH("DATA_POINTS",'Margin Guidence Table'!$A$1:$AG$1,0)),0)</f>
        <v>0</v>
      </c>
      <c r="CI27" s="1012" t="str">
        <f t="shared" si="29"/>
        <v>DEFAULT</v>
      </c>
      <c r="CJ27" s="1012">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1012">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1016">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1016">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1016">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1016">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1016">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1016">
        <f t="array" ref="CQ27">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361"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1012">
        <f>IFERROR(IF(AND($CV$2&lt;&gt;"Enter Spend&gt;&gt;&gt;",$CW$2="EXISTING"),SUMIFS('Existing Customers'!$S:$S,'Existing Customers'!$H:$H,$CU27,'Existing Customers'!$A:$A,$CV$1),DL27*CV27),0)</f>
        <v>0</v>
      </c>
      <c r="DC27" s="1012">
        <f>IFERROR(IF(AND($CV$2&lt;&gt;"Enter Spend&gt;&gt;&gt;",$CW$2="EXISTING"),SUMIFS('Existing Customers'!$U:$U,'Existing Customers'!$H:$H,$CU27,'Existing Customers'!$A:$A,$CV$1),DM27*CV27),0)</f>
        <v>0</v>
      </c>
      <c r="DD27" s="1015" t="e">
        <f>_xlfn.CONCAT('Customer Inputs'!$AG$8,"_",CU27)</f>
        <v>#N/A</v>
      </c>
      <c r="DE27" s="1015">
        <f t="array" ref="DE27">IFERROR(INDEX('Margin Guidence Table'!$A$1:$AG$10000,MATCH(1,('Margin Guidence Table'!$A$1:$A$10000=DD27)*('Margin Guidence Table'!$I$1:$I$10000&lt;=ROUND($CV$3,0))*('Margin Guidence Table'!$J$1:$J$10000&gt;=ROUND($CV$3,0)),0),MATCH("DATA_POINTS",'Margin Guidence Table'!$A$1:$AG$1,0)),0)</f>
        <v>0</v>
      </c>
      <c r="DF27" s="1012" t="str">
        <f t="shared" si="31"/>
        <v>DEFAULT</v>
      </c>
      <c r="DG27" s="1012">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1012">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1016">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1016">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1016">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1016">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1016">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1016">
        <f t="array" ref="DN27">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361"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1012">
        <f>IFERROR(IF(AND($DS$2&lt;&gt;"Enter Spend&gt;&gt;&gt;",$DT$2="EXISTING"),SUMIFS('Existing Customers'!$S:$S,'Existing Customers'!$H:$H,$DT27,'Existing Customers'!$A:$A,$DS$1),EI27*DS27),0)</f>
        <v>0</v>
      </c>
      <c r="DZ27" s="1012">
        <f>IFERROR(IF(AND($DS$2&lt;&gt;"Enter Spend&gt;&gt;&gt;",$DT$2="EXISTING"),SUMIFS('Existing Customers'!$U:$U,'Existing Customers'!$H:$H,$DR27,'Existing Customers'!$A:$A,$DS$1),EJ27*DS27),0)</f>
        <v>0</v>
      </c>
      <c r="EA27" s="1015" t="e">
        <f>_xlfn.CONCAT('Customer Inputs'!$AG$9,"_",DR27)</f>
        <v>#N/A</v>
      </c>
      <c r="EB27" s="1015">
        <f t="array" ref="EB27">IFERROR(INDEX('Margin Guidence Table'!$A$1:$AG$10000,MATCH(1,('Margin Guidence Table'!$A$1:$A$10000=EA27)*('Margin Guidence Table'!$I$1:$I$10000&lt;=ROUND($DS$3,0))*('Margin Guidence Table'!$J$1:$J$10000&gt;=ROUND($DS$3,0)),0),MATCH("DATA_POINTS",'Margin Guidence Table'!$A$1:$AG$1,0)),0)</f>
        <v>0</v>
      </c>
      <c r="EC27" s="1012" t="str">
        <f t="shared" si="33"/>
        <v>DEFAULT</v>
      </c>
      <c r="ED27" s="1012">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1012">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1016">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1016">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1016">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1016">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1016">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1016">
        <f t="array" ref="EK27">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361"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1012">
        <f>IFERROR(IF(AND($EP$2&lt;&gt;"Enter Spend&gt;&gt;&gt;",$EQ$2="EXISTING"),SUMIFS('Existing Customers'!$S:$S,'Existing Customers'!$H:$H,$EO27,'Existing Customers'!$A:$A,$EP$1),FF27*EP27),0)</f>
        <v>0</v>
      </c>
      <c r="EW27" s="1012">
        <f>IFERROR(IF(AND($EP$2&lt;&gt;"Enter Spend&gt;&gt;&gt;",$EQ$2="EXISTING"),SUMIFS('Existing Customers'!$U:$U,'Existing Customers'!$H:$H,$EO27,'Existing Customers'!$A:$A,$EP$1),FG27*EP27),0)</f>
        <v>0</v>
      </c>
      <c r="EX27" s="1015" t="e">
        <f>_xlfn.CONCAT('Customer Inputs'!$AG$10,"_",EO27)</f>
        <v>#N/A</v>
      </c>
      <c r="EY27" s="1015">
        <f t="array" ref="EY27">IFERROR(INDEX('Margin Guidence Table'!$A$1:$AG$10000,MATCH(1,('Margin Guidence Table'!$A$1:$A$10000=EX27)*('Margin Guidence Table'!$I$1:$I$10000&lt;=ROUND($EP$3,0))*('Margin Guidence Table'!$J$1:$J$10000&gt;=ROUND($EP$3,0)),0),MATCH("DATA_POINTS",'Margin Guidence Table'!$A$1:$AG$1,0)),0)</f>
        <v>0</v>
      </c>
      <c r="EZ27" s="1012" t="str">
        <f t="shared" si="35"/>
        <v>DEFAULT</v>
      </c>
      <c r="FA27" s="1012">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1012"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1016">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1016">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1016">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1016">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1016">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1016">
        <f t="array" ref="FH27">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361"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1012">
        <f>IFERROR(IF(AND($FM$2&lt;&gt;"Enter Spend&gt;&gt;&gt;",$FN$2="EXISTING"),SUMIFS('Existing Customers'!$S:$S,'Existing Customers'!$H:$H,$FL27,'Existing Customers'!$A:$A,$FM$1),GC27*FM27),0)</f>
        <v>0</v>
      </c>
      <c r="FT27" s="1012">
        <f>IFERROR(IF(AND($FM$2&lt;&gt;"Enter Spend&gt;&gt;&gt;",$FN$2="EXISTING"),SUMIFS('Existing Customers'!$U:$U,'Existing Customers'!$H:$H,$FL27,'Existing Customers'!$A:$A,$FM$1),GD27*FM27),0)</f>
        <v>0</v>
      </c>
      <c r="FU27" s="1015" t="e">
        <f>_xlfn.CONCAT('Customer Inputs'!$AG$11,"_",FL27)</f>
        <v>#N/A</v>
      </c>
      <c r="FV27" s="1015">
        <f t="array" ref="FV27">IFERROR(INDEX('Margin Guidence Table'!$A$1:$AG$10000,MATCH(1,('Margin Guidence Table'!$A$1:$A$10000=FU27)*('Margin Guidence Table'!$I$1:$I$10000&lt;=ROUND($FM$3,0))*('Margin Guidence Table'!$J$1:$J$10000&gt;=ROUND($FM$3,0)),0),MATCH("DATA_POINTS",'Margin Guidence Table'!$A$1:$AG$1,0)),0)</f>
        <v>0</v>
      </c>
      <c r="FW27" s="1012" t="str">
        <f t="shared" si="37"/>
        <v>DEFAULT</v>
      </c>
      <c r="FX27" s="1012">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1012">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1016">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1016">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1016">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1016">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1016">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1016">
        <f t="array" ref="GE27">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361"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1012">
        <f>IFERROR(IF(AND($GJ$2&lt;&gt;"Enter Spend&gt;&gt;&gt;",$GK$2="EXISTING"),SUMIFS('Existing Customers'!$S:$S,'Existing Customers'!$H:$H,$GI27,'Existing Customers'!$A:$A,$GJ$1),GZ27*GJ27),0)</f>
        <v>0</v>
      </c>
      <c r="GQ27" s="1012">
        <f>IFERROR(IF(AND($GJ$2&lt;&gt;"Enter Spend&gt;&gt;&gt;",$GK$2="EXISTING"),SUMIFS('Existing Customers'!$U:$U,'Existing Customers'!$H:$H,$GI27,'Existing Customers'!$A:$A,$GJ$1),HA27*GJ27),0)</f>
        <v>0</v>
      </c>
      <c r="GR27" s="1015" t="e">
        <f>_xlfn.CONCAT('Customer Inputs'!$AG$12,"_",GI27)</f>
        <v>#N/A</v>
      </c>
      <c r="GS27" s="1015">
        <f t="array" ref="GS27">IFERROR(INDEX('Margin Guidence Table'!$A$1:$AG$10000,MATCH(1,('Margin Guidence Table'!$A$1:$A$10000=GR27)*('Margin Guidence Table'!$I$1:$I$10000&lt;=ROUND($GJ$3,0))*('Margin Guidence Table'!$J$1:$J$10000&gt;=ROUND($GJ$3,0)),0),MATCH("DATA_POINTS",'Margin Guidence Table'!$A$1:$AG$1,0)),0)</f>
        <v>0</v>
      </c>
      <c r="GT27" s="1012" t="str">
        <f t="shared" si="39"/>
        <v>DEFAULT</v>
      </c>
      <c r="GU27" s="1012">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1012">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1016">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1016">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1016">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1016">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1016">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1016">
        <f t="array" ref="HB27">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361"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1012">
        <f>IFERROR(IF(AND($HG$2&lt;&gt;"Enter Spend&gt;&gt;&gt;",$HH$2="EXISTING"),SUMIFS('Existing Customers'!$S:$S,'Existing Customers'!$H:$H,$HF27,'Existing Customers'!$A:$A,$HG$1),HW27*HG27),0)</f>
        <v>0</v>
      </c>
      <c r="HN27" s="1012">
        <f>IFERROR(IF(AND($HG$2&lt;&gt;"Enter Spend&gt;&gt;&gt;",$HH$2="EXISTING"),SUMIFS('Existing Customers'!$U:$U,'Existing Customers'!$H:$H,$HF27,'Existing Customers'!$A:$A,$HG$1),HX27*HG27),0)</f>
        <v>0</v>
      </c>
      <c r="HO27" s="1015" t="e">
        <f>_xlfn.CONCAT('Customer Inputs'!$AG$13,"_",HF27)</f>
        <v>#N/A</v>
      </c>
      <c r="HP27" s="1015">
        <f t="array" ref="HP27">IFERROR(INDEX('Margin Guidence Table'!$A$1:$AG$10000,MATCH(1,('Margin Guidence Table'!$A$1:$A$10000=HO27)*('Margin Guidence Table'!$I$1:$I$10000&lt;=ROUND($HG$3,0))*('Margin Guidence Table'!$J$1:$J$10000&gt;=ROUND($HG$3,0)),0),MATCH("DATA_POINTS",'Margin Guidence Table'!$A$1:$AG$1,0)),0)</f>
        <v>0</v>
      </c>
      <c r="HQ27" s="1012" t="str">
        <f t="shared" si="41"/>
        <v>DEFAULT</v>
      </c>
      <c r="HR27" s="1012">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1012">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1016">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1016">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1016">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1016">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1016">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1016">
        <f t="array" ref="HY27">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361"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67">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1012">
        <f>IFERROR(IF(AND($ID$2&lt;&gt;"Enter Spend&gt;&gt;&gt;",$IE$2="EXISTING"),SUMIFS('Existing Customers'!$S:$S,'Existing Customers'!$H:$H,$IC27,'Existing Customers'!$A:$A,$ID$1),IT27*ID27),0)</f>
        <v>0</v>
      </c>
      <c r="IK27" s="1012">
        <f>IFERROR(IF(AND($ID$2&lt;&gt;"Enter Spend&gt;&gt;&gt;",$IE$2="EXISTING"),SUMIFS('Existing Customers'!$U:$U,'Existing Customers'!$H:$H,$IC27,'Existing Customers'!$A:$A,$ID$1),IU27*ID27),0)</f>
        <v>0</v>
      </c>
      <c r="IL27" s="1015" t="e">
        <f>_xlfn.CONCAT('Customer Inputs'!$AG$14,"_",IC27)</f>
        <v>#N/A</v>
      </c>
      <c r="IM27" s="1015">
        <f t="array" ref="IM27">IFERROR(INDEX('Margin Guidence Table'!$A$1:$AG$10000,MATCH(1,('Margin Guidence Table'!$A$1:$A$10000=IL27)*('Margin Guidence Table'!$I$1:$I$10000&lt;=ROUND($ID$3,0))*('Margin Guidence Table'!$J$1:$J$10000&gt;=ROUND($ID$3,0)),0),MATCH("DATA_POINTS",'Margin Guidence Table'!$A$1:$AG$1,0)),0)</f>
        <v>0</v>
      </c>
      <c r="IN27" s="1012" t="str">
        <f t="shared" si="43"/>
        <v>DEFAULT</v>
      </c>
      <c r="IO27" s="1012">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1012">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1016">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1016">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1016">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1016">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1016">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1016">
        <f t="array" ref="IV27">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361"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67">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1012">
        <f>IFERROR(IF(AND($JA$2&lt;&gt;"Enter Spend&gt;&gt;&gt;",$JB$2="EXISTING"),SUMIFS('Existing Customers'!$S:$S,'Existing Customers'!$H:$H,$IZ27,'Existing Customers'!$A:$A,$JA$1),JQ27*JA27),0)</f>
        <v>0</v>
      </c>
      <c r="JH27" s="1012">
        <f>IFERROR(IF(AND($JA$2&lt;&gt;"Enter Spend&gt;&gt;&gt;",$JB$2="EXISTING"),SUMIFS('Existing Customers'!$U:$U,'Existing Customers'!$H:$H,$IZ27,'Existing Customers'!$A:$A,$JA$1),JR27*JA27),0)</f>
        <v>0</v>
      </c>
      <c r="JI27" s="1015" t="e">
        <f>_xlfn.CONCAT('Customer Inputs'!$AG$15,"_",IZ27)</f>
        <v>#N/A</v>
      </c>
      <c r="JJ27" s="1015">
        <f t="array" ref="JJ27">IFERROR(INDEX('Margin Guidence Table'!$A$1:$AG$10000,MATCH(1,('Margin Guidence Table'!$A$1:$A$10000=JI27)*('Margin Guidence Table'!$I$1:$I$10000&lt;=ROUND($JA$3,0))*('Margin Guidence Table'!$J$1:$J$10000&gt;=ROUND($JA$3,0)),0),MATCH("DATA_POINTS",'Margin Guidence Table'!$A$1:$AG$1,0)),0)</f>
        <v>0</v>
      </c>
      <c r="JK27" s="1012" t="str">
        <f t="shared" si="45"/>
        <v>DEFAULT</v>
      </c>
      <c r="JL27" s="1012">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1012">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1016">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1016">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1016">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1016">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1016">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1016">
        <f t="array" ref="JS27">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440">
        <f t="shared" si="9"/>
        <v>0</v>
      </c>
      <c r="D28" s="456">
        <f t="shared" si="10"/>
        <v>0</v>
      </c>
      <c r="E28" s="456">
        <f t="shared" si="11"/>
        <v>0</v>
      </c>
      <c r="F28" s="456">
        <f t="shared" si="12"/>
        <v>0</v>
      </c>
      <c r="G28" s="457">
        <f t="shared" si="13"/>
        <v>0</v>
      </c>
      <c r="H28" s="456">
        <f t="shared" si="14"/>
        <v>0</v>
      </c>
      <c r="I28" s="1010">
        <f t="shared" si="15"/>
        <v>0</v>
      </c>
      <c r="J28" s="1010">
        <f t="shared" si="0"/>
        <v>0</v>
      </c>
      <c r="K28" s="1010">
        <f t="shared" si="16"/>
        <v>0</v>
      </c>
      <c r="L28" s="456">
        <f t="shared" si="1"/>
        <v>0</v>
      </c>
      <c r="M28" s="456">
        <f t="shared" si="17"/>
        <v>0</v>
      </c>
      <c r="N28" s="1011">
        <f t="shared" si="2"/>
        <v>0</v>
      </c>
      <c r="P28" t="str">
        <f>'PIM Model'!E24</f>
        <v>INCLUDE</v>
      </c>
      <c r="Q28">
        <f t="shared" si="18"/>
        <v>0</v>
      </c>
      <c r="R28">
        <f t="shared" si="19"/>
        <v>0</v>
      </c>
      <c r="S28" s="99" t="s">
        <v>91</v>
      </c>
      <c r="T28" s="94">
        <f t="shared" si="20"/>
        <v>0</v>
      </c>
      <c r="U28" s="86">
        <f t="shared" si="3"/>
        <v>0</v>
      </c>
      <c r="V28" s="86">
        <f t="shared" si="4"/>
        <v>0</v>
      </c>
      <c r="W28" s="86">
        <f t="shared" si="5"/>
        <v>0</v>
      </c>
      <c r="X28" s="111">
        <f t="shared" si="6"/>
        <v>0</v>
      </c>
      <c r="Y28" s="114">
        <f t="shared" si="21"/>
        <v>0</v>
      </c>
      <c r="Z28" s="365"/>
      <c r="AA28" s="99" t="s">
        <v>91</v>
      </c>
      <c r="AB28" s="444">
        <f t="shared" si="7"/>
        <v>0</v>
      </c>
      <c r="AC28" s="445">
        <f t="shared" si="7"/>
        <v>0</v>
      </c>
      <c r="AD28" s="445">
        <f t="shared" si="7"/>
        <v>0</v>
      </c>
      <c r="AE28" s="446">
        <f t="shared" si="22"/>
        <v>0</v>
      </c>
      <c r="AF28" s="447">
        <f t="shared" si="23"/>
        <v>0</v>
      </c>
      <c r="AG28" s="365"/>
      <c r="AH28" s="99" t="s">
        <v>91</v>
      </c>
      <c r="AI28" s="444">
        <f t="shared" si="8"/>
        <v>0</v>
      </c>
      <c r="AJ28" s="441">
        <f t="shared" si="24"/>
        <v>0</v>
      </c>
      <c r="AK28" s="447"/>
      <c r="AL28" s="365"/>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65">
        <f>VLOOKUP($AH28&amp;$AM28,'IMargin Quartiles'!$A:$F,6,FALSE)</f>
        <v>0.16</v>
      </c>
      <c r="AO28" s="365"/>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65">
        <f t="shared" si="25"/>
        <v>0</v>
      </c>
      <c r="AR28">
        <f>'PIM Model'!C24</f>
        <v>0</v>
      </c>
      <c r="AS28" s="365"/>
      <c r="AT28" s="365"/>
      <c r="AU28" s="365" t="e">
        <f t="shared" si="46"/>
        <v>#DIV/0!</v>
      </c>
      <c r="AV28" s="365"/>
      <c r="AW28" s="365"/>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361"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67">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1014" t="e">
        <f>_xlfn.CONCAT('Customer Inputs'!$AG$6,"_",BA28)</f>
        <v>#N/A</v>
      </c>
      <c r="BK28" s="1015">
        <f t="array" ref="BK28">IFERROR(INDEX('Margin Guidence Table'!$A$1:$AG$10000,MATCH(1,('Margin Guidence Table'!$A$1:$A$10000=$BJ28)*('Margin Guidence Table'!$I$1:$I$10000&lt;=ROUND($BB$3,0))*('Margin Guidence Table'!$J$1:$J$10000&gt;=ROUND($BB$3,0)),0),MATCH("DATA_POINTS",'Margin Guidence Table'!$A$1:$AG$1,0)),0)</f>
        <v>0</v>
      </c>
      <c r="BL28" s="1012" t="str">
        <f t="shared" si="27"/>
        <v>DEFAULT</v>
      </c>
      <c r="BM28" s="1012">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1012">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1016">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1016">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1016">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1016">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1016">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1016">
        <f t="array" ref="BT28">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361"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1012">
        <f>IFERROR(IF(AND($BY$2&lt;&gt;"Enter Spend&gt;&gt;&gt;",$BZ$2="EXISTING"),SUMIFS('Existing Customers'!$S:$S,'Existing Customers'!$H:$H,$BX28,'Existing Customers'!$A:$A,$BY$1),CO28*BY28),0)</f>
        <v>0</v>
      </c>
      <c r="CF28" s="1012">
        <f>IFERROR(IF(AND($BY$2&lt;&gt;"Enter Spend&gt;&gt;&gt;",$BZ$2="EXISTING"),SUMIFS('Existing Customers'!$U:$U,'Existing Customers'!$H:$H,$BX28,'Existing Customers'!$A:$A,$BY$1),CP28*BY28),0)</f>
        <v>0</v>
      </c>
      <c r="CG28" s="1015" t="e">
        <f>_xlfn.CONCAT('Customer Inputs'!$AG$7,"_",BX28)</f>
        <v>#N/A</v>
      </c>
      <c r="CH28" s="1015">
        <f t="array" ref="CH28">IFERROR(INDEX('Margin Guidence Table'!$A$1:$AG$10000,MATCH(1,('Margin Guidence Table'!$A$1:$A$10000=$CG28)*('Margin Guidence Table'!$I$1:$I$10000&lt;=ROUND($BY$3,0))*('Margin Guidence Table'!$J$1:$J$10000&gt;=ROUND($BY$3,0)),0),MATCH("DATA_POINTS",'Margin Guidence Table'!$A$1:$AG$1,0)),0)</f>
        <v>0</v>
      </c>
      <c r="CI28" s="1012" t="str">
        <f t="shared" si="29"/>
        <v>DEFAULT</v>
      </c>
      <c r="CJ28" s="1012">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1012">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1016">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1016">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1016">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1016">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1016">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1016">
        <f t="array" ref="CQ28">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361"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1012">
        <f>IFERROR(IF(AND($CV$2&lt;&gt;"Enter Spend&gt;&gt;&gt;",$CW$2="EXISTING"),SUMIFS('Existing Customers'!$S:$S,'Existing Customers'!$H:$H,$CU28,'Existing Customers'!$A:$A,$CV$1),DL28*CV28),0)</f>
        <v>0</v>
      </c>
      <c r="DC28" s="1012">
        <f>IFERROR(IF(AND($CV$2&lt;&gt;"Enter Spend&gt;&gt;&gt;",$CW$2="EXISTING"),SUMIFS('Existing Customers'!$U:$U,'Existing Customers'!$H:$H,$CU28,'Existing Customers'!$A:$A,$CV$1),DM28*CV28),0)</f>
        <v>0</v>
      </c>
      <c r="DD28" s="1015" t="e">
        <f>_xlfn.CONCAT('Customer Inputs'!$AG$8,"_",CU28)</f>
        <v>#N/A</v>
      </c>
      <c r="DE28" s="1015">
        <f t="array" ref="DE28">IFERROR(INDEX('Margin Guidence Table'!$A$1:$AG$10000,MATCH(1,('Margin Guidence Table'!$A$1:$A$10000=DD28)*('Margin Guidence Table'!$I$1:$I$10000&lt;=ROUND($CV$3,0))*('Margin Guidence Table'!$J$1:$J$10000&gt;=ROUND($CV$3,0)),0),MATCH("DATA_POINTS",'Margin Guidence Table'!$A$1:$AG$1,0)),0)</f>
        <v>0</v>
      </c>
      <c r="DF28" s="1012" t="str">
        <f t="shared" si="31"/>
        <v>DEFAULT</v>
      </c>
      <c r="DG28" s="1012">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1012">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1016">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1016">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1016">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1016">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1016">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1016">
        <f t="array" ref="DN28">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361"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1012">
        <f>IFERROR(IF(AND($DS$2&lt;&gt;"Enter Spend&gt;&gt;&gt;",$DT$2="EXISTING"),SUMIFS('Existing Customers'!$S:$S,'Existing Customers'!$H:$H,$DT28,'Existing Customers'!$A:$A,$DS$1),EI28*DS28),0)</f>
        <v>0</v>
      </c>
      <c r="DZ28" s="1012">
        <f>IFERROR(IF(AND($DS$2&lt;&gt;"Enter Spend&gt;&gt;&gt;",$DT$2="EXISTING"),SUMIFS('Existing Customers'!$U:$U,'Existing Customers'!$H:$H,$DR28,'Existing Customers'!$A:$A,$DS$1),EJ28*DS28),0)</f>
        <v>0</v>
      </c>
      <c r="EA28" s="1015" t="e">
        <f>_xlfn.CONCAT('Customer Inputs'!$AG$9,"_",DR28)</f>
        <v>#N/A</v>
      </c>
      <c r="EB28" s="1015">
        <f t="array" ref="EB28">IFERROR(INDEX('Margin Guidence Table'!$A$1:$AG$10000,MATCH(1,('Margin Guidence Table'!$A$1:$A$10000=EA28)*('Margin Guidence Table'!$I$1:$I$10000&lt;=ROUND($DS$3,0))*('Margin Guidence Table'!$J$1:$J$10000&gt;=ROUND($DS$3,0)),0),MATCH("DATA_POINTS",'Margin Guidence Table'!$A$1:$AG$1,0)),0)</f>
        <v>0</v>
      </c>
      <c r="EC28" s="1012" t="str">
        <f t="shared" si="33"/>
        <v>DEFAULT</v>
      </c>
      <c r="ED28" s="1012">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1012">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1016">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1016">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1016">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1016">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1016">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1016">
        <f t="array" ref="EK28">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361"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1012">
        <f>IFERROR(IF(AND($EP$2&lt;&gt;"Enter Spend&gt;&gt;&gt;",$EQ$2="EXISTING"),SUMIFS('Existing Customers'!$S:$S,'Existing Customers'!$H:$H,$EO28,'Existing Customers'!$A:$A,$EP$1),FF28*EP28),0)</f>
        <v>0</v>
      </c>
      <c r="EW28" s="1012">
        <f>IFERROR(IF(AND($EP$2&lt;&gt;"Enter Spend&gt;&gt;&gt;",$EQ$2="EXISTING"),SUMIFS('Existing Customers'!$U:$U,'Existing Customers'!$H:$H,$EO28,'Existing Customers'!$A:$A,$EP$1),FG28*EP28),0)</f>
        <v>0</v>
      </c>
      <c r="EX28" s="1015" t="e">
        <f>_xlfn.CONCAT('Customer Inputs'!$AG$10,"_",EO28)</f>
        <v>#N/A</v>
      </c>
      <c r="EY28" s="1015">
        <f t="array" ref="EY28">IFERROR(INDEX('Margin Guidence Table'!$A$1:$AG$10000,MATCH(1,('Margin Guidence Table'!$A$1:$A$10000=EX28)*('Margin Guidence Table'!$I$1:$I$10000&lt;=ROUND($EP$3,0))*('Margin Guidence Table'!$J$1:$J$10000&gt;=ROUND($EP$3,0)),0),MATCH("DATA_POINTS",'Margin Guidence Table'!$A$1:$AG$1,0)),0)</f>
        <v>0</v>
      </c>
      <c r="EZ28" s="1012" t="str">
        <f t="shared" si="35"/>
        <v>DEFAULT</v>
      </c>
      <c r="FA28" s="1012">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1012"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1016">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1016">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1016">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1016">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1016">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1016">
        <f t="array" ref="FH28">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361"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1012">
        <f>IFERROR(IF(AND($FM$2&lt;&gt;"Enter Spend&gt;&gt;&gt;",$FN$2="EXISTING"),SUMIFS('Existing Customers'!$S:$S,'Existing Customers'!$H:$H,$FL28,'Existing Customers'!$A:$A,$FM$1),GC28*FM28),0)</f>
        <v>0</v>
      </c>
      <c r="FT28" s="1012">
        <f>IFERROR(IF(AND($FM$2&lt;&gt;"Enter Spend&gt;&gt;&gt;",$FN$2="EXISTING"),SUMIFS('Existing Customers'!$U:$U,'Existing Customers'!$H:$H,$FL28,'Existing Customers'!$A:$A,$FM$1),GD28*FM28),0)</f>
        <v>0</v>
      </c>
      <c r="FU28" s="1015" t="e">
        <f>_xlfn.CONCAT('Customer Inputs'!$AG$11,"_",FL28)</f>
        <v>#N/A</v>
      </c>
      <c r="FV28" s="1015">
        <f t="array" ref="FV28">IFERROR(INDEX('Margin Guidence Table'!$A$1:$AG$10000,MATCH(1,('Margin Guidence Table'!$A$1:$A$10000=FU28)*('Margin Guidence Table'!$I$1:$I$10000&lt;=ROUND($FM$3,0))*('Margin Guidence Table'!$J$1:$J$10000&gt;=ROUND($FM$3,0)),0),MATCH("DATA_POINTS",'Margin Guidence Table'!$A$1:$AG$1,0)),0)</f>
        <v>0</v>
      </c>
      <c r="FW28" s="1012" t="str">
        <f t="shared" si="37"/>
        <v>DEFAULT</v>
      </c>
      <c r="FX28" s="1012">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1012">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1016">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1016">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1016">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1016">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1016">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1016">
        <f t="array" ref="GE28">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361"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1012">
        <f>IFERROR(IF(AND($GJ$2&lt;&gt;"Enter Spend&gt;&gt;&gt;",$GK$2="EXISTING"),SUMIFS('Existing Customers'!$S:$S,'Existing Customers'!$H:$H,$GI28,'Existing Customers'!$A:$A,$GJ$1),GZ28*GJ28),0)</f>
        <v>0</v>
      </c>
      <c r="GQ28" s="1012">
        <f>IFERROR(IF(AND($GJ$2&lt;&gt;"Enter Spend&gt;&gt;&gt;",$GK$2="EXISTING"),SUMIFS('Existing Customers'!$U:$U,'Existing Customers'!$H:$H,$GI28,'Existing Customers'!$A:$A,$GJ$1),HA28*GJ28),0)</f>
        <v>0</v>
      </c>
      <c r="GR28" s="1015" t="e">
        <f>_xlfn.CONCAT('Customer Inputs'!$AG$12,"_",GI28)</f>
        <v>#N/A</v>
      </c>
      <c r="GS28" s="1015">
        <f t="array" ref="GS28">IFERROR(INDEX('Margin Guidence Table'!$A$1:$AG$10000,MATCH(1,('Margin Guidence Table'!$A$1:$A$10000=GR28)*('Margin Guidence Table'!$I$1:$I$10000&lt;=ROUND($GJ$3,0))*('Margin Guidence Table'!$J$1:$J$10000&gt;=ROUND($GJ$3,0)),0),MATCH("DATA_POINTS",'Margin Guidence Table'!$A$1:$AG$1,0)),0)</f>
        <v>0</v>
      </c>
      <c r="GT28" s="1012" t="str">
        <f t="shared" si="39"/>
        <v>DEFAULT</v>
      </c>
      <c r="GU28" s="1012">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1012">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1016">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1016">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1016">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1016">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1016">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1016">
        <f t="array" ref="HB28">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361"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1012">
        <f>IFERROR(IF(AND($HG$2&lt;&gt;"Enter Spend&gt;&gt;&gt;",$HH$2="EXISTING"),SUMIFS('Existing Customers'!$S:$S,'Existing Customers'!$H:$H,$HF28,'Existing Customers'!$A:$A,$HG$1),HW28*HG28),0)</f>
        <v>0</v>
      </c>
      <c r="HN28" s="1012">
        <f>IFERROR(IF(AND($HG$2&lt;&gt;"Enter Spend&gt;&gt;&gt;",$HH$2="EXISTING"),SUMIFS('Existing Customers'!$U:$U,'Existing Customers'!$H:$H,$HF28,'Existing Customers'!$A:$A,$HG$1),HX28*HG28),0)</f>
        <v>0</v>
      </c>
      <c r="HO28" s="1015" t="e">
        <f>_xlfn.CONCAT('Customer Inputs'!$AG$13,"_",HF28)</f>
        <v>#N/A</v>
      </c>
      <c r="HP28" s="1015">
        <f t="array" ref="HP28">IFERROR(INDEX('Margin Guidence Table'!$A$1:$AG$10000,MATCH(1,('Margin Guidence Table'!$A$1:$A$10000=HO28)*('Margin Guidence Table'!$I$1:$I$10000&lt;=ROUND($HG$3,0))*('Margin Guidence Table'!$J$1:$J$10000&gt;=ROUND($HG$3,0)),0),MATCH("DATA_POINTS",'Margin Guidence Table'!$A$1:$AG$1,0)),0)</f>
        <v>0</v>
      </c>
      <c r="HQ28" s="1012" t="str">
        <f t="shared" si="41"/>
        <v>DEFAULT</v>
      </c>
      <c r="HR28" s="1012">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1012">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1016">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1016">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1016">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1016">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1016">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1016">
        <f t="array" ref="HY28">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361"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67">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1012">
        <f>IFERROR(IF(AND($ID$2&lt;&gt;"Enter Spend&gt;&gt;&gt;",$IE$2="EXISTING"),SUMIFS('Existing Customers'!$S:$S,'Existing Customers'!$H:$H,$IC28,'Existing Customers'!$A:$A,$ID$1),IT28*ID28),0)</f>
        <v>0</v>
      </c>
      <c r="IK28" s="1012">
        <f>IFERROR(IF(AND($ID$2&lt;&gt;"Enter Spend&gt;&gt;&gt;",$IE$2="EXISTING"),SUMIFS('Existing Customers'!$U:$U,'Existing Customers'!$H:$H,$IC28,'Existing Customers'!$A:$A,$ID$1),IU28*ID28),0)</f>
        <v>0</v>
      </c>
      <c r="IL28" s="1015" t="e">
        <f>_xlfn.CONCAT('Customer Inputs'!$AG$14,"_",IC28)</f>
        <v>#N/A</v>
      </c>
      <c r="IM28" s="1015">
        <f t="array" ref="IM28">IFERROR(INDEX('Margin Guidence Table'!$A$1:$AG$10000,MATCH(1,('Margin Guidence Table'!$A$1:$A$10000=IL28)*('Margin Guidence Table'!$I$1:$I$10000&lt;=ROUND($ID$3,0))*('Margin Guidence Table'!$J$1:$J$10000&gt;=ROUND($ID$3,0)),0),MATCH("DATA_POINTS",'Margin Guidence Table'!$A$1:$AG$1,0)),0)</f>
        <v>0</v>
      </c>
      <c r="IN28" s="1012" t="str">
        <f t="shared" si="43"/>
        <v>DEFAULT</v>
      </c>
      <c r="IO28" s="1012">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1012">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1016">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1016">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1016">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1016">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1016">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1016">
        <f t="array" ref="IV28">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361"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67">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1012">
        <f>IFERROR(IF(AND($JA$2&lt;&gt;"Enter Spend&gt;&gt;&gt;",$JB$2="EXISTING"),SUMIFS('Existing Customers'!$S:$S,'Existing Customers'!$H:$H,$IZ28,'Existing Customers'!$A:$A,$JA$1),JQ28*JA28),0)</f>
        <v>0</v>
      </c>
      <c r="JH28" s="1012">
        <f>IFERROR(IF(AND($JA$2&lt;&gt;"Enter Spend&gt;&gt;&gt;",$JB$2="EXISTING"),SUMIFS('Existing Customers'!$U:$U,'Existing Customers'!$H:$H,$IZ28,'Existing Customers'!$A:$A,$JA$1),JR28*JA28),0)</f>
        <v>0</v>
      </c>
      <c r="JI28" s="1015" t="e">
        <f>_xlfn.CONCAT('Customer Inputs'!$AG$15,"_",IZ28)</f>
        <v>#N/A</v>
      </c>
      <c r="JJ28" s="1015">
        <f t="array" ref="JJ28">IFERROR(INDEX('Margin Guidence Table'!$A$1:$AG$10000,MATCH(1,('Margin Guidence Table'!$A$1:$A$10000=JI28)*('Margin Guidence Table'!$I$1:$I$10000&lt;=ROUND($JA$3,0))*('Margin Guidence Table'!$J$1:$J$10000&gt;=ROUND($JA$3,0)),0),MATCH("DATA_POINTS",'Margin Guidence Table'!$A$1:$AG$1,0)),0)</f>
        <v>0</v>
      </c>
      <c r="JK28" s="1012" t="str">
        <f t="shared" si="45"/>
        <v>DEFAULT</v>
      </c>
      <c r="JL28" s="1012">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1012">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1016">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1016">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1016">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1016">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1016">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1016">
        <f t="array" ref="JS28">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440">
        <f t="shared" si="9"/>
        <v>0</v>
      </c>
      <c r="D29" s="456">
        <f t="shared" si="10"/>
        <v>0</v>
      </c>
      <c r="E29" s="456">
        <f t="shared" si="11"/>
        <v>0</v>
      </c>
      <c r="F29" s="456">
        <f t="shared" si="12"/>
        <v>0</v>
      </c>
      <c r="G29" s="457">
        <f t="shared" si="13"/>
        <v>0</v>
      </c>
      <c r="H29" s="456">
        <f t="shared" si="14"/>
        <v>0</v>
      </c>
      <c r="I29" s="1010">
        <f t="shared" si="15"/>
        <v>0</v>
      </c>
      <c r="J29" s="1010">
        <f t="shared" si="0"/>
        <v>0</v>
      </c>
      <c r="K29" s="1010">
        <f t="shared" si="16"/>
        <v>0</v>
      </c>
      <c r="L29" s="456">
        <f t="shared" si="1"/>
        <v>0</v>
      </c>
      <c r="M29" s="456">
        <f t="shared" si="17"/>
        <v>0</v>
      </c>
      <c r="N29" s="1011">
        <f t="shared" si="2"/>
        <v>0</v>
      </c>
      <c r="P29" t="str">
        <f>'PIM Model'!E25</f>
        <v>INCLUDE</v>
      </c>
      <c r="Q29">
        <f t="shared" si="18"/>
        <v>0</v>
      </c>
      <c r="R29">
        <f t="shared" si="19"/>
        <v>0</v>
      </c>
      <c r="S29" s="99" t="s">
        <v>90</v>
      </c>
      <c r="T29" s="94">
        <f t="shared" si="20"/>
        <v>0</v>
      </c>
      <c r="U29" s="86">
        <f t="shared" si="3"/>
        <v>0</v>
      </c>
      <c r="V29" s="86">
        <f t="shared" si="4"/>
        <v>0</v>
      </c>
      <c r="W29" s="86">
        <f t="shared" si="5"/>
        <v>0</v>
      </c>
      <c r="X29" s="111">
        <f t="shared" si="6"/>
        <v>0</v>
      </c>
      <c r="Y29" s="114">
        <f t="shared" si="21"/>
        <v>0</v>
      </c>
      <c r="Z29" s="365"/>
      <c r="AA29" s="99" t="s">
        <v>90</v>
      </c>
      <c r="AB29" s="444">
        <f t="shared" si="7"/>
        <v>0</v>
      </c>
      <c r="AC29" s="445">
        <f t="shared" si="7"/>
        <v>0</v>
      </c>
      <c r="AD29" s="445">
        <f t="shared" si="7"/>
        <v>0</v>
      </c>
      <c r="AE29" s="446">
        <f t="shared" si="22"/>
        <v>0</v>
      </c>
      <c r="AF29" s="447">
        <f t="shared" si="23"/>
        <v>0</v>
      </c>
      <c r="AG29" s="365"/>
      <c r="AH29" s="99" t="s">
        <v>90</v>
      </c>
      <c r="AI29" s="444">
        <f t="shared" si="8"/>
        <v>0</v>
      </c>
      <c r="AJ29" s="441">
        <f t="shared" si="24"/>
        <v>0</v>
      </c>
      <c r="AK29" s="447"/>
      <c r="AL29" s="365"/>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65">
        <f>VLOOKUP($AH29&amp;$AM29,'IMargin Quartiles'!$A:$F,6,FALSE)</f>
        <v>0.11</v>
      </c>
      <c r="AO29" s="365"/>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65">
        <f t="shared" si="25"/>
        <v>0</v>
      </c>
      <c r="AR29">
        <f>'PIM Model'!C25</f>
        <v>0</v>
      </c>
      <c r="AS29" s="365"/>
      <c r="AT29" s="365"/>
      <c r="AU29" s="365" t="e">
        <f t="shared" si="46"/>
        <v>#DIV/0!</v>
      </c>
      <c r="AV29" s="365"/>
      <c r="AW29" s="365"/>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361"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67">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1014" t="e">
        <f>_xlfn.CONCAT('Customer Inputs'!$AG$6,"_",BA29)</f>
        <v>#N/A</v>
      </c>
      <c r="BK29" s="1015">
        <f t="array" ref="BK29">IFERROR(INDEX('Margin Guidence Table'!$A$1:$AG$10000,MATCH(1,('Margin Guidence Table'!$A$1:$A$10000=$BJ29)*('Margin Guidence Table'!$I$1:$I$10000&lt;=ROUND($BB$3,0))*('Margin Guidence Table'!$J$1:$J$10000&gt;=ROUND($BB$3,0)),0),MATCH("DATA_POINTS",'Margin Guidence Table'!$A$1:$AG$1,0)),0)</f>
        <v>0</v>
      </c>
      <c r="BL29" s="1012" t="str">
        <f t="shared" si="27"/>
        <v>DEFAULT</v>
      </c>
      <c r="BM29" s="1012">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1012">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1016">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1016">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1016">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1016">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1016">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1016">
        <f t="array" ref="BT29">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361"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1012">
        <f>IFERROR(IF(AND($BY$2&lt;&gt;"Enter Spend&gt;&gt;&gt;",$BZ$2="EXISTING"),SUMIFS('Existing Customers'!$S:$S,'Existing Customers'!$H:$H,$BX29,'Existing Customers'!$A:$A,$BY$1),CO29*BY29),0)</f>
        <v>0</v>
      </c>
      <c r="CF29" s="1012">
        <f>IFERROR(IF(AND($BY$2&lt;&gt;"Enter Spend&gt;&gt;&gt;",$BZ$2="EXISTING"),SUMIFS('Existing Customers'!$U:$U,'Existing Customers'!$H:$H,$BX29,'Existing Customers'!$A:$A,$BY$1),CP29*BY29),0)</f>
        <v>0</v>
      </c>
      <c r="CG29" s="1015" t="e">
        <f>_xlfn.CONCAT('Customer Inputs'!$AG$7,"_",BX29)</f>
        <v>#N/A</v>
      </c>
      <c r="CH29" s="1015">
        <f t="array" ref="CH29">IFERROR(INDEX('Margin Guidence Table'!$A$1:$AG$10000,MATCH(1,('Margin Guidence Table'!$A$1:$A$10000=$CG29)*('Margin Guidence Table'!$I$1:$I$10000&lt;=ROUND($BY$3,0))*('Margin Guidence Table'!$J$1:$J$10000&gt;=ROUND($BY$3,0)),0),MATCH("DATA_POINTS",'Margin Guidence Table'!$A$1:$AG$1,0)),0)</f>
        <v>0</v>
      </c>
      <c r="CI29" s="1012" t="str">
        <f t="shared" si="29"/>
        <v>DEFAULT</v>
      </c>
      <c r="CJ29" s="1012">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1012">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1016">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1016">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1016">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1016">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1016">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1016">
        <f t="array" ref="CQ29">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361"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1012">
        <f>IFERROR(IF(AND($CV$2&lt;&gt;"Enter Spend&gt;&gt;&gt;",$CW$2="EXISTING"),SUMIFS('Existing Customers'!$S:$S,'Existing Customers'!$H:$H,$CU29,'Existing Customers'!$A:$A,$CV$1),DL29*CV29),0)</f>
        <v>0</v>
      </c>
      <c r="DC29" s="1012">
        <f>IFERROR(IF(AND($CV$2&lt;&gt;"Enter Spend&gt;&gt;&gt;",$CW$2="EXISTING"),SUMIFS('Existing Customers'!$U:$U,'Existing Customers'!$H:$H,$CU29,'Existing Customers'!$A:$A,$CV$1),DM29*CV29),0)</f>
        <v>0</v>
      </c>
      <c r="DD29" s="1015" t="e">
        <f>_xlfn.CONCAT('Customer Inputs'!$AG$8,"_",CU29)</f>
        <v>#N/A</v>
      </c>
      <c r="DE29" s="1015">
        <f t="array" ref="DE29">IFERROR(INDEX('Margin Guidence Table'!$A$1:$AG$10000,MATCH(1,('Margin Guidence Table'!$A$1:$A$10000=DD29)*('Margin Guidence Table'!$I$1:$I$10000&lt;=ROUND($CV$3,0))*('Margin Guidence Table'!$J$1:$J$10000&gt;=ROUND($CV$3,0)),0),MATCH("DATA_POINTS",'Margin Guidence Table'!$A$1:$AG$1,0)),0)</f>
        <v>0</v>
      </c>
      <c r="DF29" s="1012" t="str">
        <f t="shared" si="31"/>
        <v>DEFAULT</v>
      </c>
      <c r="DG29" s="1012">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1012">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1016">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1016">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1016">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1016">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1016">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1016">
        <f t="array" ref="DN29">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361"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1012">
        <f>IFERROR(IF(AND($DS$2&lt;&gt;"Enter Spend&gt;&gt;&gt;",$DT$2="EXISTING"),SUMIFS('Existing Customers'!$S:$S,'Existing Customers'!$H:$H,$DT29,'Existing Customers'!$A:$A,$DS$1),EI29*DS29),0)</f>
        <v>0</v>
      </c>
      <c r="DZ29" s="1012">
        <f>IFERROR(IF(AND($DS$2&lt;&gt;"Enter Spend&gt;&gt;&gt;",$DT$2="EXISTING"),SUMIFS('Existing Customers'!$U:$U,'Existing Customers'!$H:$H,$DR29,'Existing Customers'!$A:$A,$DS$1),EJ29*DS29),0)</f>
        <v>0</v>
      </c>
      <c r="EA29" s="1015" t="e">
        <f>_xlfn.CONCAT('Customer Inputs'!$AG$9,"_",DR29)</f>
        <v>#N/A</v>
      </c>
      <c r="EB29" s="1015">
        <f t="array" ref="EB29">IFERROR(INDEX('Margin Guidence Table'!$A$1:$AG$10000,MATCH(1,('Margin Guidence Table'!$A$1:$A$10000=EA29)*('Margin Guidence Table'!$I$1:$I$10000&lt;=ROUND($DS$3,0))*('Margin Guidence Table'!$J$1:$J$10000&gt;=ROUND($DS$3,0)),0),MATCH("DATA_POINTS",'Margin Guidence Table'!$A$1:$AG$1,0)),0)</f>
        <v>0</v>
      </c>
      <c r="EC29" s="1012" t="str">
        <f t="shared" si="33"/>
        <v>DEFAULT</v>
      </c>
      <c r="ED29" s="1012">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1012">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1016">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1016">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1016">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1016">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1016">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1016">
        <f t="array" ref="EK29">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361"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1012">
        <f>IFERROR(IF(AND($EP$2&lt;&gt;"Enter Spend&gt;&gt;&gt;",$EQ$2="EXISTING"),SUMIFS('Existing Customers'!$S:$S,'Existing Customers'!$H:$H,$EO29,'Existing Customers'!$A:$A,$EP$1),FF29*EP29),0)</f>
        <v>0</v>
      </c>
      <c r="EW29" s="1012">
        <f>IFERROR(IF(AND($EP$2&lt;&gt;"Enter Spend&gt;&gt;&gt;",$EQ$2="EXISTING"),SUMIFS('Existing Customers'!$U:$U,'Existing Customers'!$H:$H,$EO29,'Existing Customers'!$A:$A,$EP$1),FG29*EP29),0)</f>
        <v>0</v>
      </c>
      <c r="EX29" s="1015" t="e">
        <f>_xlfn.CONCAT('Customer Inputs'!$AG$10,"_",EO29)</f>
        <v>#N/A</v>
      </c>
      <c r="EY29" s="1015">
        <f t="array" ref="EY29">IFERROR(INDEX('Margin Guidence Table'!$A$1:$AG$10000,MATCH(1,('Margin Guidence Table'!$A$1:$A$10000=EX29)*('Margin Guidence Table'!$I$1:$I$10000&lt;=ROUND($EP$3,0))*('Margin Guidence Table'!$J$1:$J$10000&gt;=ROUND($EP$3,0)),0),MATCH("DATA_POINTS",'Margin Guidence Table'!$A$1:$AG$1,0)),0)</f>
        <v>0</v>
      </c>
      <c r="EZ29" s="1012" t="str">
        <f t="shared" si="35"/>
        <v>DEFAULT</v>
      </c>
      <c r="FA29" s="1012">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1012"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1016">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1016">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1016">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1016">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1016">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1016">
        <f t="array" ref="FH29">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361"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1012">
        <f>IFERROR(IF(AND($FM$2&lt;&gt;"Enter Spend&gt;&gt;&gt;",$FN$2="EXISTING"),SUMIFS('Existing Customers'!$S:$S,'Existing Customers'!$H:$H,$FL29,'Existing Customers'!$A:$A,$FM$1),GC29*FM29),0)</f>
        <v>0</v>
      </c>
      <c r="FT29" s="1012">
        <f>IFERROR(IF(AND($FM$2&lt;&gt;"Enter Spend&gt;&gt;&gt;",$FN$2="EXISTING"),SUMIFS('Existing Customers'!$U:$U,'Existing Customers'!$H:$H,$FL29,'Existing Customers'!$A:$A,$FM$1),GD29*FM29),0)</f>
        <v>0</v>
      </c>
      <c r="FU29" s="1015" t="e">
        <f>_xlfn.CONCAT('Customer Inputs'!$AG$11,"_",FL29)</f>
        <v>#N/A</v>
      </c>
      <c r="FV29" s="1015">
        <f t="array" ref="FV29">IFERROR(INDEX('Margin Guidence Table'!$A$1:$AG$10000,MATCH(1,('Margin Guidence Table'!$A$1:$A$10000=FU29)*('Margin Guidence Table'!$I$1:$I$10000&lt;=ROUND($FM$3,0))*('Margin Guidence Table'!$J$1:$J$10000&gt;=ROUND($FM$3,0)),0),MATCH("DATA_POINTS",'Margin Guidence Table'!$A$1:$AG$1,0)),0)</f>
        <v>0</v>
      </c>
      <c r="FW29" s="1012" t="str">
        <f t="shared" si="37"/>
        <v>DEFAULT</v>
      </c>
      <c r="FX29" s="1012">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1012">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1016">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1016">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1016">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1016">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1016">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1016">
        <f t="array" ref="GE29">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361"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1012">
        <f>IFERROR(IF(AND($GJ$2&lt;&gt;"Enter Spend&gt;&gt;&gt;",$GK$2="EXISTING"),SUMIFS('Existing Customers'!$S:$S,'Existing Customers'!$H:$H,$GI29,'Existing Customers'!$A:$A,$GJ$1),GZ29*GJ29),0)</f>
        <v>0</v>
      </c>
      <c r="GQ29" s="1012">
        <f>IFERROR(IF(AND($GJ$2&lt;&gt;"Enter Spend&gt;&gt;&gt;",$GK$2="EXISTING"),SUMIFS('Existing Customers'!$U:$U,'Existing Customers'!$H:$H,$GI29,'Existing Customers'!$A:$A,$GJ$1),HA29*GJ29),0)</f>
        <v>0</v>
      </c>
      <c r="GR29" s="1015" t="e">
        <f>_xlfn.CONCAT('Customer Inputs'!$AG$12,"_",GI29)</f>
        <v>#N/A</v>
      </c>
      <c r="GS29" s="1015">
        <f t="array" ref="GS29">IFERROR(INDEX('Margin Guidence Table'!$A$1:$AG$10000,MATCH(1,('Margin Guidence Table'!$A$1:$A$10000=GR29)*('Margin Guidence Table'!$I$1:$I$10000&lt;=ROUND($GJ$3,0))*('Margin Guidence Table'!$J$1:$J$10000&gt;=ROUND($GJ$3,0)),0),MATCH("DATA_POINTS",'Margin Guidence Table'!$A$1:$AG$1,0)),0)</f>
        <v>0</v>
      </c>
      <c r="GT29" s="1012" t="str">
        <f t="shared" si="39"/>
        <v>DEFAULT</v>
      </c>
      <c r="GU29" s="1012">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1012">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1016">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1016">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1016">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1016">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1016">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1016">
        <f t="array" ref="HB29">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361"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1012">
        <f>IFERROR(IF(AND($HG$2&lt;&gt;"Enter Spend&gt;&gt;&gt;",$HH$2="EXISTING"),SUMIFS('Existing Customers'!$S:$S,'Existing Customers'!$H:$H,$HF29,'Existing Customers'!$A:$A,$HG$1),HW29*HG29),0)</f>
        <v>0</v>
      </c>
      <c r="HN29" s="1012">
        <f>IFERROR(IF(AND($HG$2&lt;&gt;"Enter Spend&gt;&gt;&gt;",$HH$2="EXISTING"),SUMIFS('Existing Customers'!$U:$U,'Existing Customers'!$H:$H,$HF29,'Existing Customers'!$A:$A,$HG$1),HX29*HG29),0)</f>
        <v>0</v>
      </c>
      <c r="HO29" s="1015" t="e">
        <f>_xlfn.CONCAT('Customer Inputs'!$AG$13,"_",HF29)</f>
        <v>#N/A</v>
      </c>
      <c r="HP29" s="1015">
        <f t="array" ref="HP29">IFERROR(INDEX('Margin Guidence Table'!$A$1:$AG$10000,MATCH(1,('Margin Guidence Table'!$A$1:$A$10000=HO29)*('Margin Guidence Table'!$I$1:$I$10000&lt;=ROUND($HG$3,0))*('Margin Guidence Table'!$J$1:$J$10000&gt;=ROUND($HG$3,0)),0),MATCH("DATA_POINTS",'Margin Guidence Table'!$A$1:$AG$1,0)),0)</f>
        <v>0</v>
      </c>
      <c r="HQ29" s="1012" t="str">
        <f t="shared" si="41"/>
        <v>DEFAULT</v>
      </c>
      <c r="HR29" s="1012">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1012">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1016">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1016">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1016">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1016">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1016">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1016">
        <f t="array" ref="HY29">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361"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67">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1012">
        <f>IFERROR(IF(AND($ID$2&lt;&gt;"Enter Spend&gt;&gt;&gt;",$IE$2="EXISTING"),SUMIFS('Existing Customers'!$S:$S,'Existing Customers'!$H:$H,$IC29,'Existing Customers'!$A:$A,$ID$1),IT29*ID29),0)</f>
        <v>0</v>
      </c>
      <c r="IK29" s="1012">
        <f>IFERROR(IF(AND($ID$2&lt;&gt;"Enter Spend&gt;&gt;&gt;",$IE$2="EXISTING"),SUMIFS('Existing Customers'!$U:$U,'Existing Customers'!$H:$H,$IC29,'Existing Customers'!$A:$A,$ID$1),IU29*ID29),0)</f>
        <v>0</v>
      </c>
      <c r="IL29" s="1015" t="e">
        <f>_xlfn.CONCAT('Customer Inputs'!$AG$14,"_",IC29)</f>
        <v>#N/A</v>
      </c>
      <c r="IM29" s="1015">
        <f t="array" ref="IM29">IFERROR(INDEX('Margin Guidence Table'!$A$1:$AG$10000,MATCH(1,('Margin Guidence Table'!$A$1:$A$10000=IL29)*('Margin Guidence Table'!$I$1:$I$10000&lt;=ROUND($ID$3,0))*('Margin Guidence Table'!$J$1:$J$10000&gt;=ROUND($ID$3,0)),0),MATCH("DATA_POINTS",'Margin Guidence Table'!$A$1:$AG$1,0)),0)</f>
        <v>0</v>
      </c>
      <c r="IN29" s="1012" t="str">
        <f t="shared" si="43"/>
        <v>DEFAULT</v>
      </c>
      <c r="IO29" s="1012">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1012">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1016">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1016">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1016">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1016">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1016">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1016">
        <f t="array" ref="IV29">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361"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67">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1012">
        <f>IFERROR(IF(AND($JA$2&lt;&gt;"Enter Spend&gt;&gt;&gt;",$JB$2="EXISTING"),SUMIFS('Existing Customers'!$S:$S,'Existing Customers'!$H:$H,$IZ29,'Existing Customers'!$A:$A,$JA$1),JQ29*JA29),0)</f>
        <v>0</v>
      </c>
      <c r="JH29" s="1012">
        <f>IFERROR(IF(AND($JA$2&lt;&gt;"Enter Spend&gt;&gt;&gt;",$JB$2="EXISTING"),SUMIFS('Existing Customers'!$U:$U,'Existing Customers'!$H:$H,$IZ29,'Existing Customers'!$A:$A,$JA$1),JR29*JA29),0)</f>
        <v>0</v>
      </c>
      <c r="JI29" s="1015" t="e">
        <f>_xlfn.CONCAT('Customer Inputs'!$AG$15,"_",IZ29)</f>
        <v>#N/A</v>
      </c>
      <c r="JJ29" s="1015">
        <f t="array" ref="JJ29">IFERROR(INDEX('Margin Guidence Table'!$A$1:$AG$10000,MATCH(1,('Margin Guidence Table'!$A$1:$A$10000=JI29)*('Margin Guidence Table'!$I$1:$I$10000&lt;=ROUND($JA$3,0))*('Margin Guidence Table'!$J$1:$J$10000&gt;=ROUND($JA$3,0)),0),MATCH("DATA_POINTS",'Margin Guidence Table'!$A$1:$AG$1,0)),0)</f>
        <v>0</v>
      </c>
      <c r="JK29" s="1012" t="str">
        <f t="shared" si="45"/>
        <v>DEFAULT</v>
      </c>
      <c r="JL29" s="1012">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1012">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1016">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1016">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1016">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1016">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1016">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1016">
        <f t="array" ref="JS29">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440">
        <f t="shared" si="9"/>
        <v>0</v>
      </c>
      <c r="D30" s="456">
        <f t="shared" si="10"/>
        <v>0</v>
      </c>
      <c r="E30" s="456">
        <f t="shared" si="11"/>
        <v>0</v>
      </c>
      <c r="F30" s="456">
        <f t="shared" si="12"/>
        <v>0</v>
      </c>
      <c r="G30" s="457">
        <f t="shared" si="13"/>
        <v>0</v>
      </c>
      <c r="H30" s="456">
        <f t="shared" si="14"/>
        <v>0</v>
      </c>
      <c r="I30" s="1010">
        <f t="shared" si="15"/>
        <v>0</v>
      </c>
      <c r="J30" s="1010">
        <f t="shared" si="0"/>
        <v>0</v>
      </c>
      <c r="K30" s="1010">
        <f t="shared" si="16"/>
        <v>0</v>
      </c>
      <c r="L30" s="456">
        <f t="shared" si="1"/>
        <v>0</v>
      </c>
      <c r="M30" s="456">
        <f t="shared" si="17"/>
        <v>0</v>
      </c>
      <c r="N30" s="1011">
        <f t="shared" si="2"/>
        <v>0</v>
      </c>
      <c r="P30" t="str">
        <f>'PIM Model'!E26</f>
        <v>INCLUDE</v>
      </c>
      <c r="Q30">
        <f t="shared" si="18"/>
        <v>0</v>
      </c>
      <c r="R30">
        <f t="shared" si="19"/>
        <v>0</v>
      </c>
      <c r="S30" s="99" t="s">
        <v>89</v>
      </c>
      <c r="T30" s="94">
        <f t="shared" si="20"/>
        <v>0</v>
      </c>
      <c r="U30" s="86">
        <f t="shared" si="3"/>
        <v>0</v>
      </c>
      <c r="V30" s="86">
        <f t="shared" si="4"/>
        <v>0</v>
      </c>
      <c r="W30" s="86">
        <f t="shared" si="5"/>
        <v>0</v>
      </c>
      <c r="X30" s="111">
        <f t="shared" si="6"/>
        <v>0</v>
      </c>
      <c r="Y30" s="114">
        <f t="shared" si="21"/>
        <v>0</v>
      </c>
      <c r="Z30" s="365"/>
      <c r="AA30" s="99" t="s">
        <v>89</v>
      </c>
      <c r="AB30" s="444">
        <f t="shared" si="7"/>
        <v>0</v>
      </c>
      <c r="AC30" s="445">
        <f t="shared" si="7"/>
        <v>0</v>
      </c>
      <c r="AD30" s="445">
        <f t="shared" si="7"/>
        <v>0</v>
      </c>
      <c r="AE30" s="446">
        <f t="shared" si="22"/>
        <v>0</v>
      </c>
      <c r="AF30" s="447">
        <f t="shared" si="23"/>
        <v>0</v>
      </c>
      <c r="AG30" s="365"/>
      <c r="AH30" s="99" t="s">
        <v>89</v>
      </c>
      <c r="AI30" s="444">
        <f t="shared" si="8"/>
        <v>0</v>
      </c>
      <c r="AJ30" s="441">
        <f t="shared" si="24"/>
        <v>0</v>
      </c>
      <c r="AK30" s="447"/>
      <c r="AL30" s="365"/>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65">
        <f>VLOOKUP($AH30&amp;$AM30,'IMargin Quartiles'!$A:$F,6,FALSE)</f>
        <v>0.17</v>
      </c>
      <c r="AO30" s="365"/>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65">
        <f t="shared" si="25"/>
        <v>0</v>
      </c>
      <c r="AR30">
        <f>'PIM Model'!C26</f>
        <v>0</v>
      </c>
      <c r="AS30" s="365"/>
      <c r="AT30" s="365"/>
      <c r="AU30" s="365" t="e">
        <f t="shared" si="46"/>
        <v>#DIV/0!</v>
      </c>
      <c r="AV30" s="365"/>
      <c r="AW30" s="365"/>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361"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67">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1014" t="e">
        <f>_xlfn.CONCAT('Customer Inputs'!$AG$6,"_",BA30)</f>
        <v>#N/A</v>
      </c>
      <c r="BK30" s="1015">
        <f t="array" ref="BK30">IFERROR(INDEX('Margin Guidence Table'!$A$1:$AG$10000,MATCH(1,('Margin Guidence Table'!$A$1:$A$10000=$BJ30)*('Margin Guidence Table'!$I$1:$I$10000&lt;=ROUND($BB$3,0))*('Margin Guidence Table'!$J$1:$J$10000&gt;=ROUND($BB$3,0)),0),MATCH("DATA_POINTS",'Margin Guidence Table'!$A$1:$AG$1,0)),0)</f>
        <v>0</v>
      </c>
      <c r="BL30" s="1012" t="str">
        <f t="shared" si="27"/>
        <v>DEFAULT</v>
      </c>
      <c r="BM30" s="1012">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1012">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1016">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1016">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1016">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1016">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1016">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1016">
        <f t="array" ref="BT3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361"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1012">
        <f>IFERROR(IF(AND($BY$2&lt;&gt;"Enter Spend&gt;&gt;&gt;",$BZ$2="EXISTING"),SUMIFS('Existing Customers'!$S:$S,'Existing Customers'!$H:$H,$BX30,'Existing Customers'!$A:$A,$BY$1),CO30*BY30),0)</f>
        <v>0</v>
      </c>
      <c r="CF30" s="1012">
        <f>IFERROR(IF(AND($BY$2&lt;&gt;"Enter Spend&gt;&gt;&gt;",$BZ$2="EXISTING"),SUMIFS('Existing Customers'!$U:$U,'Existing Customers'!$H:$H,$BX30,'Existing Customers'!$A:$A,$BY$1),CP30*BY30),0)</f>
        <v>0</v>
      </c>
      <c r="CG30" s="1015" t="e">
        <f>_xlfn.CONCAT('Customer Inputs'!$AG$7,"_",BX30)</f>
        <v>#N/A</v>
      </c>
      <c r="CH30" s="1015">
        <f t="array" ref="CH30">IFERROR(INDEX('Margin Guidence Table'!$A$1:$AG$10000,MATCH(1,('Margin Guidence Table'!$A$1:$A$10000=$CG30)*('Margin Guidence Table'!$I$1:$I$10000&lt;=ROUND($BY$3,0))*('Margin Guidence Table'!$J$1:$J$10000&gt;=ROUND($BY$3,0)),0),MATCH("DATA_POINTS",'Margin Guidence Table'!$A$1:$AG$1,0)),0)</f>
        <v>0</v>
      </c>
      <c r="CI30" s="1012" t="str">
        <f t="shared" si="29"/>
        <v>DEFAULT</v>
      </c>
      <c r="CJ30" s="1012">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1012">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1016">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1016">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1016">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1016">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1016">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1016">
        <f t="array" ref="CQ3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361"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1012">
        <f>IFERROR(IF(AND($CV$2&lt;&gt;"Enter Spend&gt;&gt;&gt;",$CW$2="EXISTING"),SUMIFS('Existing Customers'!$S:$S,'Existing Customers'!$H:$H,$CU30,'Existing Customers'!$A:$A,$CV$1),DL30*CV30),0)</f>
        <v>0</v>
      </c>
      <c r="DC30" s="1012">
        <f>IFERROR(IF(AND($CV$2&lt;&gt;"Enter Spend&gt;&gt;&gt;",$CW$2="EXISTING"),SUMIFS('Existing Customers'!$U:$U,'Existing Customers'!$H:$H,$CU30,'Existing Customers'!$A:$A,$CV$1),DM30*CV30),0)</f>
        <v>0</v>
      </c>
      <c r="DD30" s="1015" t="e">
        <f>_xlfn.CONCAT('Customer Inputs'!$AG$8,"_",CU30)</f>
        <v>#N/A</v>
      </c>
      <c r="DE30" s="1015">
        <f t="array" ref="DE30">IFERROR(INDEX('Margin Guidence Table'!$A$1:$AG$10000,MATCH(1,('Margin Guidence Table'!$A$1:$A$10000=DD30)*('Margin Guidence Table'!$I$1:$I$10000&lt;=ROUND($CV$3,0))*('Margin Guidence Table'!$J$1:$J$10000&gt;=ROUND($CV$3,0)),0),MATCH("DATA_POINTS",'Margin Guidence Table'!$A$1:$AG$1,0)),0)</f>
        <v>0</v>
      </c>
      <c r="DF30" s="1012" t="str">
        <f t="shared" si="31"/>
        <v>DEFAULT</v>
      </c>
      <c r="DG30" s="1012">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1012">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1016">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1016">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1016">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1016">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1016">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1016">
        <f t="array" ref="DN3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361"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1012">
        <f>IFERROR(IF(AND($DS$2&lt;&gt;"Enter Spend&gt;&gt;&gt;",$DT$2="EXISTING"),SUMIFS('Existing Customers'!$S:$S,'Existing Customers'!$H:$H,$DT30,'Existing Customers'!$A:$A,$DS$1),EI30*DS30),0)</f>
        <v>0</v>
      </c>
      <c r="DZ30" s="1012">
        <f>IFERROR(IF(AND($DS$2&lt;&gt;"Enter Spend&gt;&gt;&gt;",$DT$2="EXISTING"),SUMIFS('Existing Customers'!$U:$U,'Existing Customers'!$H:$H,$DR30,'Existing Customers'!$A:$A,$DS$1),EJ30*DS30),0)</f>
        <v>0</v>
      </c>
      <c r="EA30" s="1015" t="e">
        <f>_xlfn.CONCAT('Customer Inputs'!$AG$9,"_",DR30)</f>
        <v>#N/A</v>
      </c>
      <c r="EB30" s="1015">
        <f t="array" ref="EB30">IFERROR(INDEX('Margin Guidence Table'!$A$1:$AG$10000,MATCH(1,('Margin Guidence Table'!$A$1:$A$10000=EA30)*('Margin Guidence Table'!$I$1:$I$10000&lt;=ROUND($DS$3,0))*('Margin Guidence Table'!$J$1:$J$10000&gt;=ROUND($DS$3,0)),0),MATCH("DATA_POINTS",'Margin Guidence Table'!$A$1:$AG$1,0)),0)</f>
        <v>0</v>
      </c>
      <c r="EC30" s="1012" t="str">
        <f t="shared" si="33"/>
        <v>DEFAULT</v>
      </c>
      <c r="ED30" s="1012">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1012">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1016">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1016">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1016">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1016">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1016">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1016">
        <f t="array" ref="EK3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361"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1012">
        <f>IFERROR(IF(AND($EP$2&lt;&gt;"Enter Spend&gt;&gt;&gt;",$EQ$2="EXISTING"),SUMIFS('Existing Customers'!$S:$S,'Existing Customers'!$H:$H,$EO30,'Existing Customers'!$A:$A,$EP$1),FF30*EP30),0)</f>
        <v>0</v>
      </c>
      <c r="EW30" s="1012">
        <f>IFERROR(IF(AND($EP$2&lt;&gt;"Enter Spend&gt;&gt;&gt;",$EQ$2="EXISTING"),SUMIFS('Existing Customers'!$U:$U,'Existing Customers'!$H:$H,$EO30,'Existing Customers'!$A:$A,$EP$1),FG30*EP30),0)</f>
        <v>0</v>
      </c>
      <c r="EX30" s="1015" t="e">
        <f>_xlfn.CONCAT('Customer Inputs'!$AG$10,"_",EO30)</f>
        <v>#N/A</v>
      </c>
      <c r="EY30" s="1015">
        <f t="array" ref="EY30">IFERROR(INDEX('Margin Guidence Table'!$A$1:$AG$10000,MATCH(1,('Margin Guidence Table'!$A$1:$A$10000=EX30)*('Margin Guidence Table'!$I$1:$I$10000&lt;=ROUND($EP$3,0))*('Margin Guidence Table'!$J$1:$J$10000&gt;=ROUND($EP$3,0)),0),MATCH("DATA_POINTS",'Margin Guidence Table'!$A$1:$AG$1,0)),0)</f>
        <v>0</v>
      </c>
      <c r="EZ30" s="1012" t="str">
        <f t="shared" si="35"/>
        <v>DEFAULT</v>
      </c>
      <c r="FA30" s="1012">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1012"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1016">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1016">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1016">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1016">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1016">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1016">
        <f t="array" ref="FH3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361"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1012">
        <f>IFERROR(IF(AND($FM$2&lt;&gt;"Enter Spend&gt;&gt;&gt;",$FN$2="EXISTING"),SUMIFS('Existing Customers'!$S:$S,'Existing Customers'!$H:$H,$FL30,'Existing Customers'!$A:$A,$FM$1),GC30*FM30),0)</f>
        <v>0</v>
      </c>
      <c r="FT30" s="1012">
        <f>IFERROR(IF(AND($FM$2&lt;&gt;"Enter Spend&gt;&gt;&gt;",$FN$2="EXISTING"),SUMIFS('Existing Customers'!$U:$U,'Existing Customers'!$H:$H,$FL30,'Existing Customers'!$A:$A,$FM$1),GD30*FM30),0)</f>
        <v>0</v>
      </c>
      <c r="FU30" s="1015" t="e">
        <f>_xlfn.CONCAT('Customer Inputs'!$AG$11,"_",FL30)</f>
        <v>#N/A</v>
      </c>
      <c r="FV30" s="1015">
        <f t="array" ref="FV30">IFERROR(INDEX('Margin Guidence Table'!$A$1:$AG$10000,MATCH(1,('Margin Guidence Table'!$A$1:$A$10000=FU30)*('Margin Guidence Table'!$I$1:$I$10000&lt;=ROUND($FM$3,0))*('Margin Guidence Table'!$J$1:$J$10000&gt;=ROUND($FM$3,0)),0),MATCH("DATA_POINTS",'Margin Guidence Table'!$A$1:$AG$1,0)),0)</f>
        <v>0</v>
      </c>
      <c r="FW30" s="1012" t="str">
        <f t="shared" si="37"/>
        <v>DEFAULT</v>
      </c>
      <c r="FX30" s="1012">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1012">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1016">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1016">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1016">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1016">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1016">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1016">
        <f t="array" ref="GE3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361"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1012">
        <f>IFERROR(IF(AND($GJ$2&lt;&gt;"Enter Spend&gt;&gt;&gt;",$GK$2="EXISTING"),SUMIFS('Existing Customers'!$S:$S,'Existing Customers'!$H:$H,$GI30,'Existing Customers'!$A:$A,$GJ$1),GZ30*GJ30),0)</f>
        <v>0</v>
      </c>
      <c r="GQ30" s="1012">
        <f>IFERROR(IF(AND($GJ$2&lt;&gt;"Enter Spend&gt;&gt;&gt;",$GK$2="EXISTING"),SUMIFS('Existing Customers'!$U:$U,'Existing Customers'!$H:$H,$GI30,'Existing Customers'!$A:$A,$GJ$1),HA30*GJ30),0)</f>
        <v>0</v>
      </c>
      <c r="GR30" s="1015" t="e">
        <f>_xlfn.CONCAT('Customer Inputs'!$AG$12,"_",GI30)</f>
        <v>#N/A</v>
      </c>
      <c r="GS30" s="1015">
        <f t="array" ref="GS30">IFERROR(INDEX('Margin Guidence Table'!$A$1:$AG$10000,MATCH(1,('Margin Guidence Table'!$A$1:$A$10000=GR30)*('Margin Guidence Table'!$I$1:$I$10000&lt;=ROUND($GJ$3,0))*('Margin Guidence Table'!$J$1:$J$10000&gt;=ROUND($GJ$3,0)),0),MATCH("DATA_POINTS",'Margin Guidence Table'!$A$1:$AG$1,0)),0)</f>
        <v>0</v>
      </c>
      <c r="GT30" s="1012" t="str">
        <f t="shared" si="39"/>
        <v>DEFAULT</v>
      </c>
      <c r="GU30" s="1012">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1012">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1016">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1016">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1016">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1016">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1016">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1016">
        <f t="array" ref="HB3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361"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1012">
        <f>IFERROR(IF(AND($HG$2&lt;&gt;"Enter Spend&gt;&gt;&gt;",$HH$2="EXISTING"),SUMIFS('Existing Customers'!$S:$S,'Existing Customers'!$H:$H,$HF30,'Existing Customers'!$A:$A,$HG$1),HW30*HG30),0)</f>
        <v>0</v>
      </c>
      <c r="HN30" s="1012">
        <f>IFERROR(IF(AND($HG$2&lt;&gt;"Enter Spend&gt;&gt;&gt;",$HH$2="EXISTING"),SUMIFS('Existing Customers'!$U:$U,'Existing Customers'!$H:$H,$HF30,'Existing Customers'!$A:$A,$HG$1),HX30*HG30),0)</f>
        <v>0</v>
      </c>
      <c r="HO30" s="1015" t="e">
        <f>_xlfn.CONCAT('Customer Inputs'!$AG$13,"_",HF30)</f>
        <v>#N/A</v>
      </c>
      <c r="HP30" s="1015">
        <f t="array" ref="HP30">IFERROR(INDEX('Margin Guidence Table'!$A$1:$AG$10000,MATCH(1,('Margin Guidence Table'!$A$1:$A$10000=HO30)*('Margin Guidence Table'!$I$1:$I$10000&lt;=ROUND($HG$3,0))*('Margin Guidence Table'!$J$1:$J$10000&gt;=ROUND($HG$3,0)),0),MATCH("DATA_POINTS",'Margin Guidence Table'!$A$1:$AG$1,0)),0)</f>
        <v>0</v>
      </c>
      <c r="HQ30" s="1012" t="str">
        <f t="shared" si="41"/>
        <v>DEFAULT</v>
      </c>
      <c r="HR30" s="1012">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1012">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1016">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1016">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1016">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1016">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1016">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1016">
        <f t="array" ref="HY3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361"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67">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1012">
        <f>IFERROR(IF(AND($ID$2&lt;&gt;"Enter Spend&gt;&gt;&gt;",$IE$2="EXISTING"),SUMIFS('Existing Customers'!$S:$S,'Existing Customers'!$H:$H,$IC30,'Existing Customers'!$A:$A,$ID$1),IT30*ID30),0)</f>
        <v>0</v>
      </c>
      <c r="IK30" s="1012">
        <f>IFERROR(IF(AND($ID$2&lt;&gt;"Enter Spend&gt;&gt;&gt;",$IE$2="EXISTING"),SUMIFS('Existing Customers'!$U:$U,'Existing Customers'!$H:$H,$IC30,'Existing Customers'!$A:$A,$ID$1),IU30*ID30),0)</f>
        <v>0</v>
      </c>
      <c r="IL30" s="1015" t="e">
        <f>_xlfn.CONCAT('Customer Inputs'!$AG$14,"_",IC30)</f>
        <v>#N/A</v>
      </c>
      <c r="IM30" s="1015">
        <f t="array" ref="IM30">IFERROR(INDEX('Margin Guidence Table'!$A$1:$AG$10000,MATCH(1,('Margin Guidence Table'!$A$1:$A$10000=IL30)*('Margin Guidence Table'!$I$1:$I$10000&lt;=ROUND($ID$3,0))*('Margin Guidence Table'!$J$1:$J$10000&gt;=ROUND($ID$3,0)),0),MATCH("DATA_POINTS",'Margin Guidence Table'!$A$1:$AG$1,0)),0)</f>
        <v>0</v>
      </c>
      <c r="IN30" s="1012" t="str">
        <f t="shared" si="43"/>
        <v>DEFAULT</v>
      </c>
      <c r="IO30" s="1012">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1012">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1016">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1016">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1016">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1016">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1016">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1016">
        <f t="array" ref="IV3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361"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67">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1012">
        <f>IFERROR(IF(AND($JA$2&lt;&gt;"Enter Spend&gt;&gt;&gt;",$JB$2="EXISTING"),SUMIFS('Existing Customers'!$S:$S,'Existing Customers'!$H:$H,$IZ30,'Existing Customers'!$A:$A,$JA$1),JQ30*JA30),0)</f>
        <v>0</v>
      </c>
      <c r="JH30" s="1012">
        <f>IFERROR(IF(AND($JA$2&lt;&gt;"Enter Spend&gt;&gt;&gt;",$JB$2="EXISTING"),SUMIFS('Existing Customers'!$U:$U,'Existing Customers'!$H:$H,$IZ30,'Existing Customers'!$A:$A,$JA$1),JR30*JA30),0)</f>
        <v>0</v>
      </c>
      <c r="JI30" s="1015" t="e">
        <f>_xlfn.CONCAT('Customer Inputs'!$AG$15,"_",IZ30)</f>
        <v>#N/A</v>
      </c>
      <c r="JJ30" s="1015">
        <f t="array" ref="JJ30">IFERROR(INDEX('Margin Guidence Table'!$A$1:$AG$10000,MATCH(1,('Margin Guidence Table'!$A$1:$A$10000=JI30)*('Margin Guidence Table'!$I$1:$I$10000&lt;=ROUND($JA$3,0))*('Margin Guidence Table'!$J$1:$J$10000&gt;=ROUND($JA$3,0)),0),MATCH("DATA_POINTS",'Margin Guidence Table'!$A$1:$AG$1,0)),0)</f>
        <v>0</v>
      </c>
      <c r="JK30" s="1012" t="str">
        <f t="shared" si="45"/>
        <v>DEFAULT</v>
      </c>
      <c r="JL30" s="1012">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1012">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1016">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1016">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1016">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1016">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1016">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1016">
        <f t="array" ref="JS3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440">
        <f t="shared" si="9"/>
        <v>0</v>
      </c>
      <c r="D31" s="456">
        <f t="shared" si="10"/>
        <v>0</v>
      </c>
      <c r="E31" s="456">
        <f t="shared" si="11"/>
        <v>0</v>
      </c>
      <c r="F31" s="456">
        <f t="shared" si="12"/>
        <v>0</v>
      </c>
      <c r="G31" s="457">
        <f t="shared" si="13"/>
        <v>0</v>
      </c>
      <c r="H31" s="456">
        <f t="shared" si="14"/>
        <v>0</v>
      </c>
      <c r="I31" s="1010">
        <f t="shared" si="15"/>
        <v>0</v>
      </c>
      <c r="J31" s="1010">
        <f t="shared" si="0"/>
        <v>0</v>
      </c>
      <c r="K31" s="1010">
        <f t="shared" si="16"/>
        <v>0</v>
      </c>
      <c r="L31" s="456">
        <f t="shared" si="1"/>
        <v>0</v>
      </c>
      <c r="M31" s="456">
        <f t="shared" si="17"/>
        <v>0</v>
      </c>
      <c r="N31" s="1011">
        <f t="shared" si="2"/>
        <v>0</v>
      </c>
      <c r="P31" t="str">
        <f>'PIM Model'!E27</f>
        <v>INCLUDE</v>
      </c>
      <c r="Q31">
        <f t="shared" si="18"/>
        <v>0</v>
      </c>
      <c r="R31">
        <f t="shared" si="19"/>
        <v>0</v>
      </c>
      <c r="S31" s="99" t="s">
        <v>94</v>
      </c>
      <c r="T31" s="94">
        <f t="shared" si="20"/>
        <v>0</v>
      </c>
      <c r="U31" s="86">
        <f t="shared" si="3"/>
        <v>0</v>
      </c>
      <c r="V31" s="86">
        <f t="shared" si="4"/>
        <v>0</v>
      </c>
      <c r="W31" s="86">
        <f t="shared" si="5"/>
        <v>0</v>
      </c>
      <c r="X31" s="111">
        <f t="shared" si="6"/>
        <v>0</v>
      </c>
      <c r="Y31" s="114">
        <f t="shared" si="21"/>
        <v>0</v>
      </c>
      <c r="Z31" s="365"/>
      <c r="AA31" s="99" t="s">
        <v>94</v>
      </c>
      <c r="AB31" s="444">
        <f t="shared" si="7"/>
        <v>0</v>
      </c>
      <c r="AC31" s="445">
        <f t="shared" si="7"/>
        <v>0</v>
      </c>
      <c r="AD31" s="445">
        <f t="shared" si="7"/>
        <v>0</v>
      </c>
      <c r="AE31" s="446">
        <f t="shared" si="22"/>
        <v>0</v>
      </c>
      <c r="AF31" s="447">
        <f t="shared" si="23"/>
        <v>0</v>
      </c>
      <c r="AG31" s="365"/>
      <c r="AH31" s="99" t="s">
        <v>94</v>
      </c>
      <c r="AI31" s="444">
        <f t="shared" si="8"/>
        <v>0</v>
      </c>
      <c r="AJ31" s="441">
        <f t="shared" si="24"/>
        <v>0</v>
      </c>
      <c r="AK31" s="447"/>
      <c r="AL31" s="365"/>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65">
        <f>VLOOKUP($AH31&amp;$AM31,'IMargin Quartiles'!$A:$F,6,FALSE)</f>
        <v>0.16</v>
      </c>
      <c r="AO31" s="365"/>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65">
        <f t="shared" si="25"/>
        <v>0</v>
      </c>
      <c r="AR31">
        <f>'PIM Model'!C27</f>
        <v>0</v>
      </c>
      <c r="AS31" s="365"/>
      <c r="AT31" s="365"/>
      <c r="AU31" s="365" t="e">
        <f t="shared" si="46"/>
        <v>#DIV/0!</v>
      </c>
      <c r="AV31" s="365"/>
      <c r="AW31" s="365"/>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361"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67">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1014" t="e">
        <f>_xlfn.CONCAT('Customer Inputs'!$AG$6,"_",BA31)</f>
        <v>#N/A</v>
      </c>
      <c r="BK31" s="1015">
        <f t="array" ref="BK31">IFERROR(INDEX('Margin Guidence Table'!$A$1:$AG$10000,MATCH(1,('Margin Guidence Table'!$A$1:$A$10000=$BJ31)*('Margin Guidence Table'!$I$1:$I$10000&lt;=ROUND($BB$3,0))*('Margin Guidence Table'!$J$1:$J$10000&gt;=ROUND($BB$3,0)),0),MATCH("DATA_POINTS",'Margin Guidence Table'!$A$1:$AG$1,0)),0)</f>
        <v>0</v>
      </c>
      <c r="BL31" s="1012" t="str">
        <f t="shared" si="27"/>
        <v>DEFAULT</v>
      </c>
      <c r="BM31" s="1012">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1012">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1016">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1016">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1016">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1016">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1016">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1016">
        <f t="array" ref="BT31">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361"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1012">
        <f>IFERROR(IF(AND($BY$2&lt;&gt;"Enter Spend&gt;&gt;&gt;",$BZ$2="EXISTING"),SUMIFS('Existing Customers'!$S:$S,'Existing Customers'!$H:$H,$BX31,'Existing Customers'!$A:$A,$BY$1),CO31*BY31),0)</f>
        <v>0</v>
      </c>
      <c r="CF31" s="1012">
        <f>IFERROR(IF(AND($BY$2&lt;&gt;"Enter Spend&gt;&gt;&gt;",$BZ$2="EXISTING"),SUMIFS('Existing Customers'!$U:$U,'Existing Customers'!$H:$H,$BX31,'Existing Customers'!$A:$A,$BY$1),CP31*BY31),0)</f>
        <v>0</v>
      </c>
      <c r="CG31" s="1015" t="e">
        <f>_xlfn.CONCAT('Customer Inputs'!$AG$7,"_",BX31)</f>
        <v>#N/A</v>
      </c>
      <c r="CH31" s="1015">
        <f t="array" ref="CH31">IFERROR(INDEX('Margin Guidence Table'!$A$1:$AG$10000,MATCH(1,('Margin Guidence Table'!$A$1:$A$10000=$CG31)*('Margin Guidence Table'!$I$1:$I$10000&lt;=ROUND($BY$3,0))*('Margin Guidence Table'!$J$1:$J$10000&gt;=ROUND($BY$3,0)),0),MATCH("DATA_POINTS",'Margin Guidence Table'!$A$1:$AG$1,0)),0)</f>
        <v>0</v>
      </c>
      <c r="CI31" s="1012" t="str">
        <f t="shared" si="29"/>
        <v>DEFAULT</v>
      </c>
      <c r="CJ31" s="1012">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1012">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1016">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1016">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1016">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1016">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1016">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1016">
        <f t="array" ref="CQ31">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361"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1012">
        <f>IFERROR(IF(AND($CV$2&lt;&gt;"Enter Spend&gt;&gt;&gt;",$CW$2="EXISTING"),SUMIFS('Existing Customers'!$S:$S,'Existing Customers'!$H:$H,$CU31,'Existing Customers'!$A:$A,$CV$1),DL31*CV31),0)</f>
        <v>0</v>
      </c>
      <c r="DC31" s="1012">
        <f>IFERROR(IF(AND($CV$2&lt;&gt;"Enter Spend&gt;&gt;&gt;",$CW$2="EXISTING"),SUMIFS('Existing Customers'!$U:$U,'Existing Customers'!$H:$H,$CU31,'Existing Customers'!$A:$A,$CV$1),DM31*CV31),0)</f>
        <v>0</v>
      </c>
      <c r="DD31" s="1015" t="e">
        <f>_xlfn.CONCAT('Customer Inputs'!$AG$8,"_",CU31)</f>
        <v>#N/A</v>
      </c>
      <c r="DE31" s="1015">
        <f t="array" ref="DE31">IFERROR(INDEX('Margin Guidence Table'!$A$1:$AG$10000,MATCH(1,('Margin Guidence Table'!$A$1:$A$10000=DD31)*('Margin Guidence Table'!$I$1:$I$10000&lt;=ROUND($CV$3,0))*('Margin Guidence Table'!$J$1:$J$10000&gt;=ROUND($CV$3,0)),0),MATCH("DATA_POINTS",'Margin Guidence Table'!$A$1:$AG$1,0)),0)</f>
        <v>0</v>
      </c>
      <c r="DF31" s="1012" t="str">
        <f t="shared" si="31"/>
        <v>DEFAULT</v>
      </c>
      <c r="DG31" s="1012">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1012">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1016">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1016">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1016">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1016">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1016">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1016">
        <f t="array" ref="DN31">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361"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1012">
        <f>IFERROR(IF(AND($DS$2&lt;&gt;"Enter Spend&gt;&gt;&gt;",$DT$2="EXISTING"),SUMIFS('Existing Customers'!$S:$S,'Existing Customers'!$H:$H,$DT31,'Existing Customers'!$A:$A,$DS$1),EI31*DS31),0)</f>
        <v>0</v>
      </c>
      <c r="DZ31" s="1012">
        <f>IFERROR(IF(AND($DS$2&lt;&gt;"Enter Spend&gt;&gt;&gt;",$DT$2="EXISTING"),SUMIFS('Existing Customers'!$U:$U,'Existing Customers'!$H:$H,$DR31,'Existing Customers'!$A:$A,$DS$1),EJ31*DS31),0)</f>
        <v>0</v>
      </c>
      <c r="EA31" s="1015" t="e">
        <f>_xlfn.CONCAT('Customer Inputs'!$AG$9,"_",DR31)</f>
        <v>#N/A</v>
      </c>
      <c r="EB31" s="1015">
        <f t="array" ref="EB31">IFERROR(INDEX('Margin Guidence Table'!$A$1:$AG$10000,MATCH(1,('Margin Guidence Table'!$A$1:$A$10000=EA31)*('Margin Guidence Table'!$I$1:$I$10000&lt;=ROUND($DS$3,0))*('Margin Guidence Table'!$J$1:$J$10000&gt;=ROUND($DS$3,0)),0),MATCH("DATA_POINTS",'Margin Guidence Table'!$A$1:$AG$1,0)),0)</f>
        <v>0</v>
      </c>
      <c r="EC31" s="1012" t="str">
        <f t="shared" si="33"/>
        <v>DEFAULT</v>
      </c>
      <c r="ED31" s="1012">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1012">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1016">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1016">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1016">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1016">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1016">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1016">
        <f t="array" ref="EK31">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361"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1012">
        <f>IFERROR(IF(AND($EP$2&lt;&gt;"Enter Spend&gt;&gt;&gt;",$EQ$2="EXISTING"),SUMIFS('Existing Customers'!$S:$S,'Existing Customers'!$H:$H,$EO31,'Existing Customers'!$A:$A,$EP$1),FF31*EP31),0)</f>
        <v>0</v>
      </c>
      <c r="EW31" s="1012">
        <f>IFERROR(IF(AND($EP$2&lt;&gt;"Enter Spend&gt;&gt;&gt;",$EQ$2="EXISTING"),SUMIFS('Existing Customers'!$U:$U,'Existing Customers'!$H:$H,$EO31,'Existing Customers'!$A:$A,$EP$1),FG31*EP31),0)</f>
        <v>0</v>
      </c>
      <c r="EX31" s="1015" t="e">
        <f>_xlfn.CONCAT('Customer Inputs'!$AG$10,"_",EO31)</f>
        <v>#N/A</v>
      </c>
      <c r="EY31" s="1015">
        <f t="array" ref="EY31">IFERROR(INDEX('Margin Guidence Table'!$A$1:$AG$10000,MATCH(1,('Margin Guidence Table'!$A$1:$A$10000=EX31)*('Margin Guidence Table'!$I$1:$I$10000&lt;=ROUND($EP$3,0))*('Margin Guidence Table'!$J$1:$J$10000&gt;=ROUND($EP$3,0)),0),MATCH("DATA_POINTS",'Margin Guidence Table'!$A$1:$AG$1,0)),0)</f>
        <v>0</v>
      </c>
      <c r="EZ31" s="1012" t="str">
        <f t="shared" si="35"/>
        <v>DEFAULT</v>
      </c>
      <c r="FA31" s="1012">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1012"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1016">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1016">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1016">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1016">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1016">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1016">
        <f t="array" ref="FH31">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361"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1012">
        <f>IFERROR(IF(AND($FM$2&lt;&gt;"Enter Spend&gt;&gt;&gt;",$FN$2="EXISTING"),SUMIFS('Existing Customers'!$S:$S,'Existing Customers'!$H:$H,$FL31,'Existing Customers'!$A:$A,$FM$1),GC31*FM31),0)</f>
        <v>0</v>
      </c>
      <c r="FT31" s="1012">
        <f>IFERROR(IF(AND($FM$2&lt;&gt;"Enter Spend&gt;&gt;&gt;",$FN$2="EXISTING"),SUMIFS('Existing Customers'!$U:$U,'Existing Customers'!$H:$H,$FL31,'Existing Customers'!$A:$A,$FM$1),GD31*FM31),0)</f>
        <v>0</v>
      </c>
      <c r="FU31" s="1015" t="e">
        <f>_xlfn.CONCAT('Customer Inputs'!$AG$11,"_",FL31)</f>
        <v>#N/A</v>
      </c>
      <c r="FV31" s="1015">
        <f t="array" ref="FV31">IFERROR(INDEX('Margin Guidence Table'!$A$1:$AG$10000,MATCH(1,('Margin Guidence Table'!$A$1:$A$10000=FU31)*('Margin Guidence Table'!$I$1:$I$10000&lt;=ROUND($FM$3,0))*('Margin Guidence Table'!$J$1:$J$10000&gt;=ROUND($FM$3,0)),0),MATCH("DATA_POINTS",'Margin Guidence Table'!$A$1:$AG$1,0)),0)</f>
        <v>0</v>
      </c>
      <c r="FW31" s="1012" t="str">
        <f t="shared" si="37"/>
        <v>DEFAULT</v>
      </c>
      <c r="FX31" s="1012">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1012">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1016">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1016">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1016">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1016">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1016">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1016">
        <f t="array" ref="GE31">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361"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1012">
        <f>IFERROR(IF(AND($GJ$2&lt;&gt;"Enter Spend&gt;&gt;&gt;",$GK$2="EXISTING"),SUMIFS('Existing Customers'!$S:$S,'Existing Customers'!$H:$H,$GI31,'Existing Customers'!$A:$A,$GJ$1),GZ31*GJ31),0)</f>
        <v>0</v>
      </c>
      <c r="GQ31" s="1012">
        <f>IFERROR(IF(AND($GJ$2&lt;&gt;"Enter Spend&gt;&gt;&gt;",$GK$2="EXISTING"),SUMIFS('Existing Customers'!$U:$U,'Existing Customers'!$H:$H,$GI31,'Existing Customers'!$A:$A,$GJ$1),HA31*GJ31),0)</f>
        <v>0</v>
      </c>
      <c r="GR31" s="1015" t="e">
        <f>_xlfn.CONCAT('Customer Inputs'!$AG$12,"_",GI31)</f>
        <v>#N/A</v>
      </c>
      <c r="GS31" s="1015">
        <f t="array" ref="GS31">IFERROR(INDEX('Margin Guidence Table'!$A$1:$AG$10000,MATCH(1,('Margin Guidence Table'!$A$1:$A$10000=GR31)*('Margin Guidence Table'!$I$1:$I$10000&lt;=ROUND($GJ$3,0))*('Margin Guidence Table'!$J$1:$J$10000&gt;=ROUND($GJ$3,0)),0),MATCH("DATA_POINTS",'Margin Guidence Table'!$A$1:$AG$1,0)),0)</f>
        <v>0</v>
      </c>
      <c r="GT31" s="1012" t="str">
        <f t="shared" si="39"/>
        <v>DEFAULT</v>
      </c>
      <c r="GU31" s="1012">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1012">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1016">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1016">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1016">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1016">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1016">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1016">
        <f t="array" ref="HB31">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361"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1012">
        <f>IFERROR(IF(AND($HG$2&lt;&gt;"Enter Spend&gt;&gt;&gt;",$HH$2="EXISTING"),SUMIFS('Existing Customers'!$S:$S,'Existing Customers'!$H:$H,$HF31,'Existing Customers'!$A:$A,$HG$1),HW31*HG31),0)</f>
        <v>0</v>
      </c>
      <c r="HN31" s="1012">
        <f>IFERROR(IF(AND($HG$2&lt;&gt;"Enter Spend&gt;&gt;&gt;",$HH$2="EXISTING"),SUMIFS('Existing Customers'!$U:$U,'Existing Customers'!$H:$H,$HF31,'Existing Customers'!$A:$A,$HG$1),HX31*HG31),0)</f>
        <v>0</v>
      </c>
      <c r="HO31" s="1015" t="e">
        <f>_xlfn.CONCAT('Customer Inputs'!$AG$13,"_",HF31)</f>
        <v>#N/A</v>
      </c>
      <c r="HP31" s="1015">
        <f t="array" ref="HP31">IFERROR(INDEX('Margin Guidence Table'!$A$1:$AG$10000,MATCH(1,('Margin Guidence Table'!$A$1:$A$10000=HO31)*('Margin Guidence Table'!$I$1:$I$10000&lt;=ROUND($HG$3,0))*('Margin Guidence Table'!$J$1:$J$10000&gt;=ROUND($HG$3,0)),0),MATCH("DATA_POINTS",'Margin Guidence Table'!$A$1:$AG$1,0)),0)</f>
        <v>0</v>
      </c>
      <c r="HQ31" s="1012" t="str">
        <f t="shared" si="41"/>
        <v>DEFAULT</v>
      </c>
      <c r="HR31" s="1012">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1012">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1016">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1016">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1016">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1016">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1016">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1016">
        <f t="array" ref="HY31">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361"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67">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1012">
        <f>IFERROR(IF(AND($ID$2&lt;&gt;"Enter Spend&gt;&gt;&gt;",$IE$2="EXISTING"),SUMIFS('Existing Customers'!$S:$S,'Existing Customers'!$H:$H,$IC31,'Existing Customers'!$A:$A,$ID$1),IT31*ID31),0)</f>
        <v>0</v>
      </c>
      <c r="IK31" s="1012">
        <f>IFERROR(IF(AND($ID$2&lt;&gt;"Enter Spend&gt;&gt;&gt;",$IE$2="EXISTING"),SUMIFS('Existing Customers'!$U:$U,'Existing Customers'!$H:$H,$IC31,'Existing Customers'!$A:$A,$ID$1),IU31*ID31),0)</f>
        <v>0</v>
      </c>
      <c r="IL31" s="1015" t="e">
        <f>_xlfn.CONCAT('Customer Inputs'!$AG$14,"_",IC31)</f>
        <v>#N/A</v>
      </c>
      <c r="IM31" s="1015">
        <f t="array" ref="IM31">IFERROR(INDEX('Margin Guidence Table'!$A$1:$AG$10000,MATCH(1,('Margin Guidence Table'!$A$1:$A$10000=IL31)*('Margin Guidence Table'!$I$1:$I$10000&lt;=ROUND($ID$3,0))*('Margin Guidence Table'!$J$1:$J$10000&gt;=ROUND($ID$3,0)),0),MATCH("DATA_POINTS",'Margin Guidence Table'!$A$1:$AG$1,0)),0)</f>
        <v>0</v>
      </c>
      <c r="IN31" s="1012" t="str">
        <f t="shared" si="43"/>
        <v>DEFAULT</v>
      </c>
      <c r="IO31" s="1012">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1012">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1016">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1016">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1016">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1016">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1016">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1016">
        <f t="array" ref="IV31">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361"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67">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1012">
        <f>IFERROR(IF(AND($JA$2&lt;&gt;"Enter Spend&gt;&gt;&gt;",$JB$2="EXISTING"),SUMIFS('Existing Customers'!$S:$S,'Existing Customers'!$H:$H,$IZ31,'Existing Customers'!$A:$A,$JA$1),JQ31*JA31),0)</f>
        <v>0</v>
      </c>
      <c r="JH31" s="1012">
        <f>IFERROR(IF(AND($JA$2&lt;&gt;"Enter Spend&gt;&gt;&gt;",$JB$2="EXISTING"),SUMIFS('Existing Customers'!$U:$U,'Existing Customers'!$H:$H,$IZ31,'Existing Customers'!$A:$A,$JA$1),JR31*JA31),0)</f>
        <v>0</v>
      </c>
      <c r="JI31" s="1015" t="e">
        <f>_xlfn.CONCAT('Customer Inputs'!$AG$15,"_",IZ31)</f>
        <v>#N/A</v>
      </c>
      <c r="JJ31" s="1015">
        <f t="array" ref="JJ31">IFERROR(INDEX('Margin Guidence Table'!$A$1:$AG$10000,MATCH(1,('Margin Guidence Table'!$A$1:$A$10000=JI31)*('Margin Guidence Table'!$I$1:$I$10000&lt;=ROUND($JA$3,0))*('Margin Guidence Table'!$J$1:$J$10000&gt;=ROUND($JA$3,0)),0),MATCH("DATA_POINTS",'Margin Guidence Table'!$A$1:$AG$1,0)),0)</f>
        <v>0</v>
      </c>
      <c r="JK31" s="1012" t="str">
        <f t="shared" si="45"/>
        <v>DEFAULT</v>
      </c>
      <c r="JL31" s="1012">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1012">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1016">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1016">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1016">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1016">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1016">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1016">
        <f t="array" ref="JS31">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440">
        <f t="shared" si="9"/>
        <v>0</v>
      </c>
      <c r="D32" s="456">
        <f t="shared" si="10"/>
        <v>0</v>
      </c>
      <c r="E32" s="456">
        <f t="shared" si="11"/>
        <v>0</v>
      </c>
      <c r="F32" s="456">
        <f t="shared" si="12"/>
        <v>0</v>
      </c>
      <c r="G32" s="457">
        <f t="shared" si="13"/>
        <v>0</v>
      </c>
      <c r="H32" s="456">
        <f t="shared" si="14"/>
        <v>0</v>
      </c>
      <c r="I32" s="1010">
        <f t="shared" si="15"/>
        <v>0</v>
      </c>
      <c r="J32" s="1010">
        <f t="shared" si="0"/>
        <v>0</v>
      </c>
      <c r="K32" s="1010">
        <f t="shared" si="16"/>
        <v>0</v>
      </c>
      <c r="L32" s="456">
        <f t="shared" si="1"/>
        <v>0</v>
      </c>
      <c r="M32" s="456">
        <f t="shared" si="17"/>
        <v>0</v>
      </c>
      <c r="N32" s="1011">
        <f t="shared" si="2"/>
        <v>0</v>
      </c>
      <c r="P32" t="str">
        <f>'PIM Model'!E28</f>
        <v>INCLUDE</v>
      </c>
      <c r="Q32">
        <f t="shared" si="18"/>
        <v>0</v>
      </c>
      <c r="R32">
        <f t="shared" si="19"/>
        <v>0</v>
      </c>
      <c r="S32" s="99" t="s">
        <v>86</v>
      </c>
      <c r="T32" s="94">
        <f t="shared" si="20"/>
        <v>0</v>
      </c>
      <c r="U32" s="86">
        <f t="shared" si="3"/>
        <v>0</v>
      </c>
      <c r="V32" s="86">
        <f t="shared" si="4"/>
        <v>0</v>
      </c>
      <c r="W32" s="86">
        <f t="shared" si="5"/>
        <v>0</v>
      </c>
      <c r="X32" s="111">
        <f t="shared" si="6"/>
        <v>0</v>
      </c>
      <c r="Y32" s="114">
        <f t="shared" si="21"/>
        <v>0</v>
      </c>
      <c r="Z32" s="365"/>
      <c r="AA32" s="99" t="s">
        <v>86</v>
      </c>
      <c r="AB32" s="444">
        <f t="shared" si="7"/>
        <v>0</v>
      </c>
      <c r="AC32" s="445">
        <f t="shared" si="7"/>
        <v>0</v>
      </c>
      <c r="AD32" s="445">
        <f t="shared" si="7"/>
        <v>0</v>
      </c>
      <c r="AE32" s="446">
        <f t="shared" si="22"/>
        <v>0</v>
      </c>
      <c r="AF32" s="447">
        <f t="shared" si="23"/>
        <v>0</v>
      </c>
      <c r="AG32" s="365"/>
      <c r="AH32" s="99" t="s">
        <v>86</v>
      </c>
      <c r="AI32" s="444">
        <f t="shared" si="8"/>
        <v>0</v>
      </c>
      <c r="AJ32" s="441">
        <f t="shared" si="24"/>
        <v>0</v>
      </c>
      <c r="AK32" s="447"/>
      <c r="AL32" s="365"/>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65">
        <f>VLOOKUP($AH32&amp;$AM32,'IMargin Quartiles'!$A:$F,6,FALSE)</f>
        <v>0.17</v>
      </c>
      <c r="AO32" s="365"/>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65">
        <f t="shared" si="25"/>
        <v>0</v>
      </c>
      <c r="AR32">
        <f>'PIM Model'!C28</f>
        <v>0</v>
      </c>
      <c r="AS32" s="365"/>
      <c r="AT32" s="365"/>
      <c r="AU32" s="365" t="e">
        <f t="shared" si="46"/>
        <v>#DIV/0!</v>
      </c>
      <c r="AV32" s="365"/>
      <c r="AW32" s="365"/>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361"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67">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1014" t="e">
        <f>_xlfn.CONCAT('Customer Inputs'!$AG$6,"_",BA32)</f>
        <v>#N/A</v>
      </c>
      <c r="BK32" s="1015">
        <f t="array" ref="BK32">IFERROR(INDEX('Margin Guidence Table'!$A$1:$AG$10000,MATCH(1,('Margin Guidence Table'!$A$1:$A$10000=$BJ32)*('Margin Guidence Table'!$I$1:$I$10000&lt;=ROUND($BB$3,0))*('Margin Guidence Table'!$J$1:$J$10000&gt;=ROUND($BB$3,0)),0),MATCH("DATA_POINTS",'Margin Guidence Table'!$A$1:$AG$1,0)),0)</f>
        <v>0</v>
      </c>
      <c r="BL32" s="1012" t="str">
        <f t="shared" si="27"/>
        <v>DEFAULT</v>
      </c>
      <c r="BM32" s="1012">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1012">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1016">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1016">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1016">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1016">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1016">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1016">
        <f t="array" ref="BT32">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361"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1012">
        <f>IFERROR(IF(AND($BY$2&lt;&gt;"Enter Spend&gt;&gt;&gt;",$BZ$2="EXISTING"),SUMIFS('Existing Customers'!$S:$S,'Existing Customers'!$H:$H,$BX32,'Existing Customers'!$A:$A,$BY$1),CO32*BY32),0)</f>
        <v>0</v>
      </c>
      <c r="CF32" s="1012">
        <f>IFERROR(IF(AND($BY$2&lt;&gt;"Enter Spend&gt;&gt;&gt;",$BZ$2="EXISTING"),SUMIFS('Existing Customers'!$U:$U,'Existing Customers'!$H:$H,$BX32,'Existing Customers'!$A:$A,$BY$1),CP32*BY32),0)</f>
        <v>0</v>
      </c>
      <c r="CG32" s="1015" t="e">
        <f>_xlfn.CONCAT('Customer Inputs'!$AG$7,"_",BX32)</f>
        <v>#N/A</v>
      </c>
      <c r="CH32" s="1015">
        <f t="array" ref="CH32">IFERROR(INDEX('Margin Guidence Table'!$A$1:$AG$10000,MATCH(1,('Margin Guidence Table'!$A$1:$A$10000=$CG32)*('Margin Guidence Table'!$I$1:$I$10000&lt;=ROUND($BY$3,0))*('Margin Guidence Table'!$J$1:$J$10000&gt;=ROUND($BY$3,0)),0),MATCH("DATA_POINTS",'Margin Guidence Table'!$A$1:$AG$1,0)),0)</f>
        <v>0</v>
      </c>
      <c r="CI32" s="1012" t="str">
        <f t="shared" si="29"/>
        <v>DEFAULT</v>
      </c>
      <c r="CJ32" s="1012">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1012">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1016">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1016">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1016">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1016">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1016">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1016">
        <f t="array" ref="CQ32">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361"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1012">
        <f>IFERROR(IF(AND($CV$2&lt;&gt;"Enter Spend&gt;&gt;&gt;",$CW$2="EXISTING"),SUMIFS('Existing Customers'!$S:$S,'Existing Customers'!$H:$H,$CU32,'Existing Customers'!$A:$A,$CV$1),DL32*CV32),0)</f>
        <v>0</v>
      </c>
      <c r="DC32" s="1012">
        <f>IFERROR(IF(AND($CV$2&lt;&gt;"Enter Spend&gt;&gt;&gt;",$CW$2="EXISTING"),SUMIFS('Existing Customers'!$U:$U,'Existing Customers'!$H:$H,$CU32,'Existing Customers'!$A:$A,$CV$1),DM32*CV32),0)</f>
        <v>0</v>
      </c>
      <c r="DD32" s="1015" t="e">
        <f>_xlfn.CONCAT('Customer Inputs'!$AG$8,"_",CU32)</f>
        <v>#N/A</v>
      </c>
      <c r="DE32" s="1015">
        <f t="array" ref="DE32">IFERROR(INDEX('Margin Guidence Table'!$A$1:$AG$10000,MATCH(1,('Margin Guidence Table'!$A$1:$A$10000=DD32)*('Margin Guidence Table'!$I$1:$I$10000&lt;=ROUND($CV$3,0))*('Margin Guidence Table'!$J$1:$J$10000&gt;=ROUND($CV$3,0)),0),MATCH("DATA_POINTS",'Margin Guidence Table'!$A$1:$AG$1,0)),0)</f>
        <v>0</v>
      </c>
      <c r="DF32" s="1012" t="str">
        <f t="shared" si="31"/>
        <v>DEFAULT</v>
      </c>
      <c r="DG32" s="1012">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1012">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1016">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1016">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1016">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1016">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1016">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1016">
        <f t="array" ref="DN32">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361"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1012">
        <f>IFERROR(IF(AND($DS$2&lt;&gt;"Enter Spend&gt;&gt;&gt;",$DT$2="EXISTING"),SUMIFS('Existing Customers'!$S:$S,'Existing Customers'!$H:$H,$DT32,'Existing Customers'!$A:$A,$DS$1),EI32*DS32),0)</f>
        <v>0</v>
      </c>
      <c r="DZ32" s="1012">
        <f>IFERROR(IF(AND($DS$2&lt;&gt;"Enter Spend&gt;&gt;&gt;",$DT$2="EXISTING"),SUMIFS('Existing Customers'!$U:$U,'Existing Customers'!$H:$H,$DR32,'Existing Customers'!$A:$A,$DS$1),EJ32*DS32),0)</f>
        <v>0</v>
      </c>
      <c r="EA32" s="1015" t="e">
        <f>_xlfn.CONCAT('Customer Inputs'!$AG$9,"_",DR32)</f>
        <v>#N/A</v>
      </c>
      <c r="EB32" s="1015">
        <f t="array" ref="EB32">IFERROR(INDEX('Margin Guidence Table'!$A$1:$AG$10000,MATCH(1,('Margin Guidence Table'!$A$1:$A$10000=EA32)*('Margin Guidence Table'!$I$1:$I$10000&lt;=ROUND($DS$3,0))*('Margin Guidence Table'!$J$1:$J$10000&gt;=ROUND($DS$3,0)),0),MATCH("DATA_POINTS",'Margin Guidence Table'!$A$1:$AG$1,0)),0)</f>
        <v>0</v>
      </c>
      <c r="EC32" s="1012" t="str">
        <f t="shared" si="33"/>
        <v>DEFAULT</v>
      </c>
      <c r="ED32" s="1012">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1012">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1016">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1016">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1016">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1016">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1016">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1016">
        <f t="array" ref="EK32">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361"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1012">
        <f>IFERROR(IF(AND($EP$2&lt;&gt;"Enter Spend&gt;&gt;&gt;",$EQ$2="EXISTING"),SUMIFS('Existing Customers'!$S:$S,'Existing Customers'!$H:$H,$EO32,'Existing Customers'!$A:$A,$EP$1),FF32*EP32),0)</f>
        <v>0</v>
      </c>
      <c r="EW32" s="1012">
        <f>IFERROR(IF(AND($EP$2&lt;&gt;"Enter Spend&gt;&gt;&gt;",$EQ$2="EXISTING"),SUMIFS('Existing Customers'!$U:$U,'Existing Customers'!$H:$H,$EO32,'Existing Customers'!$A:$A,$EP$1),FG32*EP32),0)</f>
        <v>0</v>
      </c>
      <c r="EX32" s="1015" t="e">
        <f>_xlfn.CONCAT('Customer Inputs'!$AG$10,"_",EO32)</f>
        <v>#N/A</v>
      </c>
      <c r="EY32" s="1015">
        <f t="array" ref="EY32">IFERROR(INDEX('Margin Guidence Table'!$A$1:$AG$10000,MATCH(1,('Margin Guidence Table'!$A$1:$A$10000=EX32)*('Margin Guidence Table'!$I$1:$I$10000&lt;=ROUND($EP$3,0))*('Margin Guidence Table'!$J$1:$J$10000&gt;=ROUND($EP$3,0)),0),MATCH("DATA_POINTS",'Margin Guidence Table'!$A$1:$AG$1,0)),0)</f>
        <v>0</v>
      </c>
      <c r="EZ32" s="1012" t="str">
        <f t="shared" si="35"/>
        <v>DEFAULT</v>
      </c>
      <c r="FA32" s="1012">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1012"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1016">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1016">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1016">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1016">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1016">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1016">
        <f t="array" ref="FH32">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361"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1012">
        <f>IFERROR(IF(AND($FM$2&lt;&gt;"Enter Spend&gt;&gt;&gt;",$FN$2="EXISTING"),SUMIFS('Existing Customers'!$S:$S,'Existing Customers'!$H:$H,$FL32,'Existing Customers'!$A:$A,$FM$1),GC32*FM32),0)</f>
        <v>0</v>
      </c>
      <c r="FT32" s="1012">
        <f>IFERROR(IF(AND($FM$2&lt;&gt;"Enter Spend&gt;&gt;&gt;",$FN$2="EXISTING"),SUMIFS('Existing Customers'!$U:$U,'Existing Customers'!$H:$H,$FL32,'Existing Customers'!$A:$A,$FM$1),GD32*FM32),0)</f>
        <v>0</v>
      </c>
      <c r="FU32" s="1015" t="e">
        <f>_xlfn.CONCAT('Customer Inputs'!$AG$11,"_",FL32)</f>
        <v>#N/A</v>
      </c>
      <c r="FV32" s="1015">
        <f t="array" ref="FV32">IFERROR(INDEX('Margin Guidence Table'!$A$1:$AG$10000,MATCH(1,('Margin Guidence Table'!$A$1:$A$10000=FU32)*('Margin Guidence Table'!$I$1:$I$10000&lt;=ROUND($FM$3,0))*('Margin Guidence Table'!$J$1:$J$10000&gt;=ROUND($FM$3,0)),0),MATCH("DATA_POINTS",'Margin Guidence Table'!$A$1:$AG$1,0)),0)</f>
        <v>0</v>
      </c>
      <c r="FW32" s="1012" t="str">
        <f t="shared" si="37"/>
        <v>DEFAULT</v>
      </c>
      <c r="FX32" s="1012">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1012">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1016">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1016">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1016">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1016">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1016">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1016">
        <f t="array" ref="GE32">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361"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1012">
        <f>IFERROR(IF(AND($GJ$2&lt;&gt;"Enter Spend&gt;&gt;&gt;",$GK$2="EXISTING"),SUMIFS('Existing Customers'!$S:$S,'Existing Customers'!$H:$H,$GI32,'Existing Customers'!$A:$A,$GJ$1),GZ32*GJ32),0)</f>
        <v>0</v>
      </c>
      <c r="GQ32" s="1012">
        <f>IFERROR(IF(AND($GJ$2&lt;&gt;"Enter Spend&gt;&gt;&gt;",$GK$2="EXISTING"),SUMIFS('Existing Customers'!$U:$U,'Existing Customers'!$H:$H,$GI32,'Existing Customers'!$A:$A,$GJ$1),HA32*GJ32),0)</f>
        <v>0</v>
      </c>
      <c r="GR32" s="1015" t="e">
        <f>_xlfn.CONCAT('Customer Inputs'!$AG$12,"_",GI32)</f>
        <v>#N/A</v>
      </c>
      <c r="GS32" s="1015">
        <f t="array" ref="GS32">IFERROR(INDEX('Margin Guidence Table'!$A$1:$AG$10000,MATCH(1,('Margin Guidence Table'!$A$1:$A$10000=GR32)*('Margin Guidence Table'!$I$1:$I$10000&lt;=ROUND($GJ$3,0))*('Margin Guidence Table'!$J$1:$J$10000&gt;=ROUND($GJ$3,0)),0),MATCH("DATA_POINTS",'Margin Guidence Table'!$A$1:$AG$1,0)),0)</f>
        <v>0</v>
      </c>
      <c r="GT32" s="1012" t="str">
        <f t="shared" si="39"/>
        <v>DEFAULT</v>
      </c>
      <c r="GU32" s="1012">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1012">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1016">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1016">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1016">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1016">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1016">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1016">
        <f t="array" ref="HB32">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361"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1012">
        <f>IFERROR(IF(AND($HG$2&lt;&gt;"Enter Spend&gt;&gt;&gt;",$HH$2="EXISTING"),SUMIFS('Existing Customers'!$S:$S,'Existing Customers'!$H:$H,$HF32,'Existing Customers'!$A:$A,$HG$1),HW32*HG32),0)</f>
        <v>0</v>
      </c>
      <c r="HN32" s="1012">
        <f>IFERROR(IF(AND($HG$2&lt;&gt;"Enter Spend&gt;&gt;&gt;",$HH$2="EXISTING"),SUMIFS('Existing Customers'!$U:$U,'Existing Customers'!$H:$H,$HF32,'Existing Customers'!$A:$A,$HG$1),HX32*HG32),0)</f>
        <v>0</v>
      </c>
      <c r="HO32" s="1015" t="e">
        <f>_xlfn.CONCAT('Customer Inputs'!$AG$13,"_",HF32)</f>
        <v>#N/A</v>
      </c>
      <c r="HP32" s="1015">
        <f t="array" ref="HP32">IFERROR(INDEX('Margin Guidence Table'!$A$1:$AG$10000,MATCH(1,('Margin Guidence Table'!$A$1:$A$10000=HO32)*('Margin Guidence Table'!$I$1:$I$10000&lt;=ROUND($HG$3,0))*('Margin Guidence Table'!$J$1:$J$10000&gt;=ROUND($HG$3,0)),0),MATCH("DATA_POINTS",'Margin Guidence Table'!$A$1:$AG$1,0)),0)</f>
        <v>0</v>
      </c>
      <c r="HQ32" s="1012" t="str">
        <f t="shared" si="41"/>
        <v>DEFAULT</v>
      </c>
      <c r="HR32" s="1012">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1012">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1016">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1016">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1016">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1016">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1016">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1016">
        <f t="array" ref="HY32">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361"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67">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1012">
        <f>IFERROR(IF(AND($ID$2&lt;&gt;"Enter Spend&gt;&gt;&gt;",$IE$2="EXISTING"),SUMIFS('Existing Customers'!$S:$S,'Existing Customers'!$H:$H,$IC32,'Existing Customers'!$A:$A,$ID$1),IT32*ID32),0)</f>
        <v>0</v>
      </c>
      <c r="IK32" s="1012">
        <f>IFERROR(IF(AND($ID$2&lt;&gt;"Enter Spend&gt;&gt;&gt;",$IE$2="EXISTING"),SUMIFS('Existing Customers'!$U:$U,'Existing Customers'!$H:$H,$IC32,'Existing Customers'!$A:$A,$ID$1),IU32*ID32),0)</f>
        <v>0</v>
      </c>
      <c r="IL32" s="1015" t="e">
        <f>_xlfn.CONCAT('Customer Inputs'!$AG$14,"_",IC32)</f>
        <v>#N/A</v>
      </c>
      <c r="IM32" s="1015">
        <f t="array" ref="IM32">IFERROR(INDEX('Margin Guidence Table'!$A$1:$AG$10000,MATCH(1,('Margin Guidence Table'!$A$1:$A$10000=IL32)*('Margin Guidence Table'!$I$1:$I$10000&lt;=ROUND($ID$3,0))*('Margin Guidence Table'!$J$1:$J$10000&gt;=ROUND($ID$3,0)),0),MATCH("DATA_POINTS",'Margin Guidence Table'!$A$1:$AG$1,0)),0)</f>
        <v>0</v>
      </c>
      <c r="IN32" s="1012" t="str">
        <f t="shared" si="43"/>
        <v>DEFAULT</v>
      </c>
      <c r="IO32" s="1012">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1012">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1016">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1016">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1016">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1016">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1016">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1016">
        <f t="array" ref="IV32">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361"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67">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1012">
        <f>IFERROR(IF(AND($JA$2&lt;&gt;"Enter Spend&gt;&gt;&gt;",$JB$2="EXISTING"),SUMIFS('Existing Customers'!$S:$S,'Existing Customers'!$H:$H,$IZ32,'Existing Customers'!$A:$A,$JA$1),JQ32*JA32),0)</f>
        <v>0</v>
      </c>
      <c r="JH32" s="1012">
        <f>IFERROR(IF(AND($JA$2&lt;&gt;"Enter Spend&gt;&gt;&gt;",$JB$2="EXISTING"),SUMIFS('Existing Customers'!$U:$U,'Existing Customers'!$H:$H,$IZ32,'Existing Customers'!$A:$A,$JA$1),JR32*JA32),0)</f>
        <v>0</v>
      </c>
      <c r="JI32" s="1015" t="e">
        <f>_xlfn.CONCAT('Customer Inputs'!$AG$15,"_",IZ32)</f>
        <v>#N/A</v>
      </c>
      <c r="JJ32" s="1015">
        <f t="array" ref="JJ32">IFERROR(INDEX('Margin Guidence Table'!$A$1:$AG$10000,MATCH(1,('Margin Guidence Table'!$A$1:$A$10000=JI32)*('Margin Guidence Table'!$I$1:$I$10000&lt;=ROUND($JA$3,0))*('Margin Guidence Table'!$J$1:$J$10000&gt;=ROUND($JA$3,0)),0),MATCH("DATA_POINTS",'Margin Guidence Table'!$A$1:$AG$1,0)),0)</f>
        <v>0</v>
      </c>
      <c r="JK32" s="1012" t="str">
        <f t="shared" si="45"/>
        <v>DEFAULT</v>
      </c>
      <c r="JL32" s="1012">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1012">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1016">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1016">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1016">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1016">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1016">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1016">
        <f t="array" ref="JS32">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440">
        <f t="shared" si="9"/>
        <v>0</v>
      </c>
      <c r="D33" s="456">
        <f t="shared" si="10"/>
        <v>0</v>
      </c>
      <c r="E33" s="456">
        <f t="shared" si="11"/>
        <v>0</v>
      </c>
      <c r="F33" s="456">
        <f t="shared" si="12"/>
        <v>0</v>
      </c>
      <c r="G33" s="457">
        <f t="shared" si="13"/>
        <v>0</v>
      </c>
      <c r="H33" s="456">
        <f t="shared" si="14"/>
        <v>0</v>
      </c>
      <c r="I33" s="1010">
        <f t="shared" si="15"/>
        <v>0</v>
      </c>
      <c r="J33" s="1010">
        <f t="shared" si="0"/>
        <v>0</v>
      </c>
      <c r="K33" s="1010">
        <f t="shared" si="16"/>
        <v>0</v>
      </c>
      <c r="L33" s="456">
        <f t="shared" si="1"/>
        <v>0</v>
      </c>
      <c r="M33" s="456">
        <f t="shared" si="17"/>
        <v>0</v>
      </c>
      <c r="N33" s="1011">
        <f t="shared" si="2"/>
        <v>0</v>
      </c>
      <c r="P33" t="str">
        <f>'PIM Model'!E29</f>
        <v>INCLUDE</v>
      </c>
      <c r="Q33">
        <f t="shared" si="18"/>
        <v>0</v>
      </c>
      <c r="R33">
        <f t="shared" si="19"/>
        <v>0</v>
      </c>
      <c r="S33" s="99" t="s">
        <v>88</v>
      </c>
      <c r="T33" s="94">
        <f t="shared" si="20"/>
        <v>0</v>
      </c>
      <c r="U33" s="86">
        <f t="shared" si="3"/>
        <v>0</v>
      </c>
      <c r="V33" s="86">
        <f t="shared" si="4"/>
        <v>0</v>
      </c>
      <c r="W33" s="86">
        <f t="shared" si="5"/>
        <v>0</v>
      </c>
      <c r="X33" s="111">
        <f t="shared" si="6"/>
        <v>0</v>
      </c>
      <c r="Y33" s="114">
        <f t="shared" si="21"/>
        <v>0</v>
      </c>
      <c r="Z33" s="365"/>
      <c r="AA33" s="99" t="s">
        <v>88</v>
      </c>
      <c r="AB33" s="444">
        <f t="shared" si="7"/>
        <v>0</v>
      </c>
      <c r="AC33" s="445">
        <f t="shared" si="7"/>
        <v>0</v>
      </c>
      <c r="AD33" s="445">
        <f t="shared" si="7"/>
        <v>0</v>
      </c>
      <c r="AE33" s="446">
        <f t="shared" si="22"/>
        <v>0</v>
      </c>
      <c r="AF33" s="447">
        <f t="shared" si="23"/>
        <v>0</v>
      </c>
      <c r="AG33" s="365"/>
      <c r="AH33" s="99" t="s">
        <v>88</v>
      </c>
      <c r="AI33" s="444">
        <f t="shared" si="8"/>
        <v>0</v>
      </c>
      <c r="AJ33" s="441">
        <f t="shared" si="24"/>
        <v>0</v>
      </c>
      <c r="AK33" s="447"/>
      <c r="AL33" s="365"/>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65">
        <f>VLOOKUP($AH33&amp;$AM33,'IMargin Quartiles'!$A:$F,6,FALSE)</f>
        <v>0.13</v>
      </c>
      <c r="AO33" s="365"/>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65">
        <f t="shared" si="25"/>
        <v>0</v>
      </c>
      <c r="AR33">
        <f>'PIM Model'!C29</f>
        <v>0</v>
      </c>
      <c r="AS33" s="365"/>
      <c r="AT33" s="365"/>
      <c r="AU33" s="365" t="e">
        <f t="shared" si="46"/>
        <v>#DIV/0!</v>
      </c>
      <c r="AV33" s="365"/>
      <c r="AW33" s="365"/>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361"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67">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1014" t="e">
        <f>_xlfn.CONCAT('Customer Inputs'!$AG$6,"_",BA33)</f>
        <v>#N/A</v>
      </c>
      <c r="BK33" s="1015">
        <f t="array" ref="BK33">IFERROR(INDEX('Margin Guidence Table'!$A$1:$AG$10000,MATCH(1,('Margin Guidence Table'!$A$1:$A$10000=$BJ33)*('Margin Guidence Table'!$I$1:$I$10000&lt;=ROUND($BB$3,0))*('Margin Guidence Table'!$J$1:$J$10000&gt;=ROUND($BB$3,0)),0),MATCH("DATA_POINTS",'Margin Guidence Table'!$A$1:$AG$1,0)),0)</f>
        <v>0</v>
      </c>
      <c r="BL33" s="1012" t="str">
        <f t="shared" si="27"/>
        <v>DEFAULT</v>
      </c>
      <c r="BM33" s="1012">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1012">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1016">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1016">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1016">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1016">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1016">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1016">
        <f t="array" ref="BT33">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361"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1012">
        <f>IFERROR(IF(AND($BY$2&lt;&gt;"Enter Spend&gt;&gt;&gt;",$BZ$2="EXISTING"),SUMIFS('Existing Customers'!$S:$S,'Existing Customers'!$H:$H,$BX33,'Existing Customers'!$A:$A,$BY$1),CO33*BY33),0)</f>
        <v>0</v>
      </c>
      <c r="CF33" s="1012">
        <f>IFERROR(IF(AND($BY$2&lt;&gt;"Enter Spend&gt;&gt;&gt;",$BZ$2="EXISTING"),SUMIFS('Existing Customers'!$U:$U,'Existing Customers'!$H:$H,$BX33,'Existing Customers'!$A:$A,$BY$1),CP33*BY33),0)</f>
        <v>0</v>
      </c>
      <c r="CG33" s="1015" t="e">
        <f>_xlfn.CONCAT('Customer Inputs'!$AG$7,"_",BX33)</f>
        <v>#N/A</v>
      </c>
      <c r="CH33" s="1015">
        <f t="array" ref="CH33">IFERROR(INDEX('Margin Guidence Table'!$A$1:$AG$10000,MATCH(1,('Margin Guidence Table'!$A$1:$A$10000=$CG33)*('Margin Guidence Table'!$I$1:$I$10000&lt;=ROUND($BY$3,0))*('Margin Guidence Table'!$J$1:$J$10000&gt;=ROUND($BY$3,0)),0),MATCH("DATA_POINTS",'Margin Guidence Table'!$A$1:$AG$1,0)),0)</f>
        <v>0</v>
      </c>
      <c r="CI33" s="1012" t="str">
        <f t="shared" si="29"/>
        <v>DEFAULT</v>
      </c>
      <c r="CJ33" s="1012">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1012">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1016">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1016">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1016">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1016">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1016">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1016">
        <f t="array" ref="CQ33">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361"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1012">
        <f>IFERROR(IF(AND($CV$2&lt;&gt;"Enter Spend&gt;&gt;&gt;",$CW$2="EXISTING"),SUMIFS('Existing Customers'!$S:$S,'Existing Customers'!$H:$H,$CU33,'Existing Customers'!$A:$A,$CV$1),DL33*CV33),0)</f>
        <v>0</v>
      </c>
      <c r="DC33" s="1012">
        <f>IFERROR(IF(AND($CV$2&lt;&gt;"Enter Spend&gt;&gt;&gt;",$CW$2="EXISTING"),SUMIFS('Existing Customers'!$U:$U,'Existing Customers'!$H:$H,$CU33,'Existing Customers'!$A:$A,$CV$1),DM33*CV33),0)</f>
        <v>0</v>
      </c>
      <c r="DD33" s="1015" t="e">
        <f>_xlfn.CONCAT('Customer Inputs'!$AG$8,"_",CU33)</f>
        <v>#N/A</v>
      </c>
      <c r="DE33" s="1015">
        <f t="array" ref="DE33">IFERROR(INDEX('Margin Guidence Table'!$A$1:$AG$10000,MATCH(1,('Margin Guidence Table'!$A$1:$A$10000=DD33)*('Margin Guidence Table'!$I$1:$I$10000&lt;=ROUND($CV$3,0))*('Margin Guidence Table'!$J$1:$J$10000&gt;=ROUND($CV$3,0)),0),MATCH("DATA_POINTS",'Margin Guidence Table'!$A$1:$AG$1,0)),0)</f>
        <v>0</v>
      </c>
      <c r="DF33" s="1012" t="str">
        <f t="shared" si="31"/>
        <v>DEFAULT</v>
      </c>
      <c r="DG33" s="1012">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1012">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1016">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1016">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1016">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1016">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1016">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1016">
        <f t="array" ref="DN33">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361"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1012">
        <f>IFERROR(IF(AND($DS$2&lt;&gt;"Enter Spend&gt;&gt;&gt;",$DT$2="EXISTING"),SUMIFS('Existing Customers'!$S:$S,'Existing Customers'!$H:$H,$DT33,'Existing Customers'!$A:$A,$DS$1),EI33*DS33),0)</f>
        <v>0</v>
      </c>
      <c r="DZ33" s="1012">
        <f>IFERROR(IF(AND($DS$2&lt;&gt;"Enter Spend&gt;&gt;&gt;",$DT$2="EXISTING"),SUMIFS('Existing Customers'!$U:$U,'Existing Customers'!$H:$H,$DR33,'Existing Customers'!$A:$A,$DS$1),EJ33*DS33),0)</f>
        <v>0</v>
      </c>
      <c r="EA33" s="1015" t="e">
        <f>_xlfn.CONCAT('Customer Inputs'!$AG$9,"_",DR33)</f>
        <v>#N/A</v>
      </c>
      <c r="EB33" s="1015">
        <f t="array" ref="EB33">IFERROR(INDEX('Margin Guidence Table'!$A$1:$AG$10000,MATCH(1,('Margin Guidence Table'!$A$1:$A$10000=EA33)*('Margin Guidence Table'!$I$1:$I$10000&lt;=ROUND($DS$3,0))*('Margin Guidence Table'!$J$1:$J$10000&gt;=ROUND($DS$3,0)),0),MATCH("DATA_POINTS",'Margin Guidence Table'!$A$1:$AG$1,0)),0)</f>
        <v>0</v>
      </c>
      <c r="EC33" s="1012" t="str">
        <f t="shared" si="33"/>
        <v>DEFAULT</v>
      </c>
      <c r="ED33" s="1012">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1012">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1016">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1016">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1016">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1016">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1016">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1016">
        <f t="array" ref="EK33">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361"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1012">
        <f>IFERROR(IF(AND($EP$2&lt;&gt;"Enter Spend&gt;&gt;&gt;",$EQ$2="EXISTING"),SUMIFS('Existing Customers'!$S:$S,'Existing Customers'!$H:$H,$EO33,'Existing Customers'!$A:$A,$EP$1),FF33*EP33),0)</f>
        <v>0</v>
      </c>
      <c r="EW33" s="1012">
        <f>IFERROR(IF(AND($EP$2&lt;&gt;"Enter Spend&gt;&gt;&gt;",$EQ$2="EXISTING"),SUMIFS('Existing Customers'!$U:$U,'Existing Customers'!$H:$H,$EO33,'Existing Customers'!$A:$A,$EP$1),FG33*EP33),0)</f>
        <v>0</v>
      </c>
      <c r="EX33" s="1015" t="e">
        <f>_xlfn.CONCAT('Customer Inputs'!$AG$10,"_",EO33)</f>
        <v>#N/A</v>
      </c>
      <c r="EY33" s="1015">
        <f t="array" ref="EY33">IFERROR(INDEX('Margin Guidence Table'!$A$1:$AG$10000,MATCH(1,('Margin Guidence Table'!$A$1:$A$10000=EX33)*('Margin Guidence Table'!$I$1:$I$10000&lt;=ROUND($EP$3,0))*('Margin Guidence Table'!$J$1:$J$10000&gt;=ROUND($EP$3,0)),0),MATCH("DATA_POINTS",'Margin Guidence Table'!$A$1:$AG$1,0)),0)</f>
        <v>0</v>
      </c>
      <c r="EZ33" s="1012" t="str">
        <f t="shared" si="35"/>
        <v>DEFAULT</v>
      </c>
      <c r="FA33" s="1012">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1012"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1016">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1016">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1016">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1016">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1016">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1016">
        <f t="array" ref="FH33">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361"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1012">
        <f>IFERROR(IF(AND($FM$2&lt;&gt;"Enter Spend&gt;&gt;&gt;",$FN$2="EXISTING"),SUMIFS('Existing Customers'!$S:$S,'Existing Customers'!$H:$H,$FL33,'Existing Customers'!$A:$A,$FM$1),GC33*FM33),0)</f>
        <v>0</v>
      </c>
      <c r="FT33" s="1012">
        <f>IFERROR(IF(AND($FM$2&lt;&gt;"Enter Spend&gt;&gt;&gt;",$FN$2="EXISTING"),SUMIFS('Existing Customers'!$U:$U,'Existing Customers'!$H:$H,$FL33,'Existing Customers'!$A:$A,$FM$1),GD33*FM33),0)</f>
        <v>0</v>
      </c>
      <c r="FU33" s="1015" t="e">
        <f>_xlfn.CONCAT('Customer Inputs'!$AG$11,"_",FL33)</f>
        <v>#N/A</v>
      </c>
      <c r="FV33" s="1015">
        <f t="array" ref="FV33">IFERROR(INDEX('Margin Guidence Table'!$A$1:$AG$10000,MATCH(1,('Margin Guidence Table'!$A$1:$A$10000=FU33)*('Margin Guidence Table'!$I$1:$I$10000&lt;=ROUND($FM$3,0))*('Margin Guidence Table'!$J$1:$J$10000&gt;=ROUND($FM$3,0)),0),MATCH("DATA_POINTS",'Margin Guidence Table'!$A$1:$AG$1,0)),0)</f>
        <v>0</v>
      </c>
      <c r="FW33" s="1012" t="str">
        <f t="shared" si="37"/>
        <v>DEFAULT</v>
      </c>
      <c r="FX33" s="1012">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1012">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1016">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1016">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1016">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1016">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1016">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1016">
        <f t="array" ref="GE33">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361"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1012">
        <f>IFERROR(IF(AND($GJ$2&lt;&gt;"Enter Spend&gt;&gt;&gt;",$GK$2="EXISTING"),SUMIFS('Existing Customers'!$S:$S,'Existing Customers'!$H:$H,$GI33,'Existing Customers'!$A:$A,$GJ$1),GZ33*GJ33),0)</f>
        <v>0</v>
      </c>
      <c r="GQ33" s="1012">
        <f>IFERROR(IF(AND($GJ$2&lt;&gt;"Enter Spend&gt;&gt;&gt;",$GK$2="EXISTING"),SUMIFS('Existing Customers'!$U:$U,'Existing Customers'!$H:$H,$GI33,'Existing Customers'!$A:$A,$GJ$1),HA33*GJ33),0)</f>
        <v>0</v>
      </c>
      <c r="GR33" s="1015" t="e">
        <f>_xlfn.CONCAT('Customer Inputs'!$AG$12,"_",GI33)</f>
        <v>#N/A</v>
      </c>
      <c r="GS33" s="1015">
        <f t="array" ref="GS33">IFERROR(INDEX('Margin Guidence Table'!$A$1:$AG$10000,MATCH(1,('Margin Guidence Table'!$A$1:$A$10000=GR33)*('Margin Guidence Table'!$I$1:$I$10000&lt;=ROUND($GJ$3,0))*('Margin Guidence Table'!$J$1:$J$10000&gt;=ROUND($GJ$3,0)),0),MATCH("DATA_POINTS",'Margin Guidence Table'!$A$1:$AG$1,0)),0)</f>
        <v>0</v>
      </c>
      <c r="GT33" s="1012" t="str">
        <f t="shared" si="39"/>
        <v>DEFAULT</v>
      </c>
      <c r="GU33" s="1012">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1012">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1016">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1016">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1016">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1016">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1016">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1016">
        <f t="array" ref="HB33">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361"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1012">
        <f>IFERROR(IF(AND($HG$2&lt;&gt;"Enter Spend&gt;&gt;&gt;",$HH$2="EXISTING"),SUMIFS('Existing Customers'!$S:$S,'Existing Customers'!$H:$H,$HF33,'Existing Customers'!$A:$A,$HG$1),HW33*HG33),0)</f>
        <v>0</v>
      </c>
      <c r="HN33" s="1012">
        <f>IFERROR(IF(AND($HG$2&lt;&gt;"Enter Spend&gt;&gt;&gt;",$HH$2="EXISTING"),SUMIFS('Existing Customers'!$U:$U,'Existing Customers'!$H:$H,$HF33,'Existing Customers'!$A:$A,$HG$1),HX33*HG33),0)</f>
        <v>0</v>
      </c>
      <c r="HO33" s="1015" t="e">
        <f>_xlfn.CONCAT('Customer Inputs'!$AG$13,"_",HF33)</f>
        <v>#N/A</v>
      </c>
      <c r="HP33" s="1015">
        <f t="array" ref="HP33">IFERROR(INDEX('Margin Guidence Table'!$A$1:$AG$10000,MATCH(1,('Margin Guidence Table'!$A$1:$A$10000=HO33)*('Margin Guidence Table'!$I$1:$I$10000&lt;=ROUND($HG$3,0))*('Margin Guidence Table'!$J$1:$J$10000&gt;=ROUND($HG$3,0)),0),MATCH("DATA_POINTS",'Margin Guidence Table'!$A$1:$AG$1,0)),0)</f>
        <v>0</v>
      </c>
      <c r="HQ33" s="1012" t="str">
        <f t="shared" si="41"/>
        <v>DEFAULT</v>
      </c>
      <c r="HR33" s="1012">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1012">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1016">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1016">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1016">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1016">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1016">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1016">
        <f t="array" ref="HY33">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361"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67">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1012">
        <f>IFERROR(IF(AND($ID$2&lt;&gt;"Enter Spend&gt;&gt;&gt;",$IE$2="EXISTING"),SUMIFS('Existing Customers'!$S:$S,'Existing Customers'!$H:$H,$IC33,'Existing Customers'!$A:$A,$ID$1),IT33*ID33),0)</f>
        <v>0</v>
      </c>
      <c r="IK33" s="1012">
        <f>IFERROR(IF(AND($ID$2&lt;&gt;"Enter Spend&gt;&gt;&gt;",$IE$2="EXISTING"),SUMIFS('Existing Customers'!$U:$U,'Existing Customers'!$H:$H,$IC33,'Existing Customers'!$A:$A,$ID$1),IU33*ID33),0)</f>
        <v>0</v>
      </c>
      <c r="IL33" s="1015" t="e">
        <f>_xlfn.CONCAT('Customer Inputs'!$AG$14,"_",IC33)</f>
        <v>#N/A</v>
      </c>
      <c r="IM33" s="1015">
        <f t="array" ref="IM33">IFERROR(INDEX('Margin Guidence Table'!$A$1:$AG$10000,MATCH(1,('Margin Guidence Table'!$A$1:$A$10000=IL33)*('Margin Guidence Table'!$I$1:$I$10000&lt;=ROUND($ID$3,0))*('Margin Guidence Table'!$J$1:$J$10000&gt;=ROUND($ID$3,0)),0),MATCH("DATA_POINTS",'Margin Guidence Table'!$A$1:$AG$1,0)),0)</f>
        <v>0</v>
      </c>
      <c r="IN33" s="1012" t="str">
        <f t="shared" si="43"/>
        <v>DEFAULT</v>
      </c>
      <c r="IO33" s="1012">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1012">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1016">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1016">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1016">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1016">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1016">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1016">
        <f t="array" ref="IV33">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361"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67">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1012">
        <f>IFERROR(IF(AND($JA$2&lt;&gt;"Enter Spend&gt;&gt;&gt;",$JB$2="EXISTING"),SUMIFS('Existing Customers'!$S:$S,'Existing Customers'!$H:$H,$IZ33,'Existing Customers'!$A:$A,$JA$1),JQ33*JA33),0)</f>
        <v>0</v>
      </c>
      <c r="JH33" s="1012">
        <f>IFERROR(IF(AND($JA$2&lt;&gt;"Enter Spend&gt;&gt;&gt;",$JB$2="EXISTING"),SUMIFS('Existing Customers'!$U:$U,'Existing Customers'!$H:$H,$IZ33,'Existing Customers'!$A:$A,$JA$1),JR33*JA33),0)</f>
        <v>0</v>
      </c>
      <c r="JI33" s="1015" t="e">
        <f>_xlfn.CONCAT('Customer Inputs'!$AG$15,"_",IZ33)</f>
        <v>#N/A</v>
      </c>
      <c r="JJ33" s="1015">
        <f t="array" ref="JJ33">IFERROR(INDEX('Margin Guidence Table'!$A$1:$AG$10000,MATCH(1,('Margin Guidence Table'!$A$1:$A$10000=JI33)*('Margin Guidence Table'!$I$1:$I$10000&lt;=ROUND($JA$3,0))*('Margin Guidence Table'!$J$1:$J$10000&gt;=ROUND($JA$3,0)),0),MATCH("DATA_POINTS",'Margin Guidence Table'!$A$1:$AG$1,0)),0)</f>
        <v>0</v>
      </c>
      <c r="JK33" s="1012" t="str">
        <f t="shared" si="45"/>
        <v>DEFAULT</v>
      </c>
      <c r="JL33" s="1012">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1012">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1016">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1016">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1016">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1016">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1016">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1016">
        <f t="array" ref="JS33">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440">
        <f t="shared" si="9"/>
        <v>0</v>
      </c>
      <c r="D34" s="456">
        <f t="shared" si="10"/>
        <v>0</v>
      </c>
      <c r="E34" s="456">
        <f t="shared" si="11"/>
        <v>0</v>
      </c>
      <c r="F34" s="456">
        <f t="shared" si="12"/>
        <v>0</v>
      </c>
      <c r="G34" s="457">
        <f t="shared" si="13"/>
        <v>0</v>
      </c>
      <c r="H34" s="456">
        <f t="shared" si="14"/>
        <v>0</v>
      </c>
      <c r="I34" s="1010">
        <f t="shared" si="15"/>
        <v>0</v>
      </c>
      <c r="J34" s="1010">
        <f>IFERROR(ROUND(SUM($BB34*BP34+$BY34*CM34+$CV34*DJ34+$DS34*EG34+$EP34*FD34+$FM34*GA34+$GJ34*GX34+$HG34*HU34+$ID34*IR34+$JA34*JO34)/$C34,2),0)</f>
        <v>0</v>
      </c>
      <c r="K34" s="1010">
        <f t="shared" si="16"/>
        <v>0</v>
      </c>
      <c r="L34" s="456">
        <f>IFERROR(SUM(AY34*BB34,BV34*BY34,CS34*CV34,DP34*DS34,EM34*EP34,FJ34*FM34,GG34*GJ34,HD34*HG34,IA34*ID34,IX34*JA34)/C34,0)</f>
        <v>0</v>
      </c>
      <c r="M34" s="456">
        <f t="shared" si="17"/>
        <v>0</v>
      </c>
      <c r="N34" s="1011">
        <f>IFERROR(ROUND(SUM($BB34*BT34+$BY34*CQ34+$CV34*DN34+$DS34*EK34+$EP34*FH34+$FM34*GE34+$GJ34*HB34+$HG34*HY34+$ID34*IV34+$JA34*JS34)/$C34,2),0)</f>
        <v>0</v>
      </c>
      <c r="P34" t="str">
        <f>'PIM Model'!E30</f>
        <v>INCLUDE</v>
      </c>
      <c r="Q34">
        <f t="shared" si="18"/>
        <v>0</v>
      </c>
      <c r="R34">
        <f t="shared" si="19"/>
        <v>0</v>
      </c>
      <c r="S34" s="100" t="s">
        <v>87</v>
      </c>
      <c r="T34" s="96">
        <f t="shared" si="20"/>
        <v>0</v>
      </c>
      <c r="U34" s="97">
        <f t="shared" si="3"/>
        <v>0</v>
      </c>
      <c r="V34" s="97">
        <f t="shared" si="4"/>
        <v>0</v>
      </c>
      <c r="W34" s="97">
        <f t="shared" si="5"/>
        <v>0</v>
      </c>
      <c r="X34" s="112">
        <f t="shared" si="6"/>
        <v>0</v>
      </c>
      <c r="Y34" s="115">
        <f t="shared" si="21"/>
        <v>0</v>
      </c>
      <c r="Z34" s="365"/>
      <c r="AA34" s="100" t="s">
        <v>87</v>
      </c>
      <c r="AB34" s="448">
        <f t="shared" si="7"/>
        <v>0</v>
      </c>
      <c r="AC34" s="449">
        <f t="shared" si="7"/>
        <v>0</v>
      </c>
      <c r="AD34" s="449">
        <f t="shared" si="7"/>
        <v>0</v>
      </c>
      <c r="AE34" s="450">
        <f t="shared" si="22"/>
        <v>0</v>
      </c>
      <c r="AF34" s="451">
        <f t="shared" si="23"/>
        <v>0</v>
      </c>
      <c r="AG34" s="365"/>
      <c r="AH34" s="100" t="s">
        <v>87</v>
      </c>
      <c r="AI34" s="448">
        <f t="shared" si="8"/>
        <v>0</v>
      </c>
      <c r="AJ34" s="441">
        <f t="shared" si="24"/>
        <v>0</v>
      </c>
      <c r="AK34" s="451"/>
      <c r="AL34" s="365"/>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65">
        <f>VLOOKUP($AH34&amp;$AM34,'IMargin Quartiles'!$A:$F,6,FALSE)</f>
        <v>0.11</v>
      </c>
      <c r="AO34" s="365"/>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65">
        <f t="shared" si="25"/>
        <v>0</v>
      </c>
      <c r="AR34">
        <f>'PIM Model'!C30</f>
        <v>0</v>
      </c>
      <c r="AS34" s="365"/>
      <c r="AT34" s="365"/>
      <c r="AU34" s="365" t="e">
        <f t="shared" si="46"/>
        <v>#DIV/0!</v>
      </c>
      <c r="AV34" s="365"/>
      <c r="AW34" s="365"/>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361"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67">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1014" t="e">
        <f>_xlfn.CONCAT('Customer Inputs'!$AG$6,"_",BA34)</f>
        <v>#N/A</v>
      </c>
      <c r="BK34" s="1015">
        <f t="array" ref="BK34">IFERROR(INDEX('Margin Guidence Table'!$A$1:$AG$10000,MATCH(1,('Margin Guidence Table'!$A$1:$A$10000=$BJ34)*('Margin Guidence Table'!$I$1:$I$10000&lt;=ROUND($BB$3,0))*('Margin Guidence Table'!$J$1:$J$10000&gt;=ROUND($BB$3,0)),0),MATCH("DATA_POINTS",'Margin Guidence Table'!$A$1:$AG$1,0)),0)</f>
        <v>0</v>
      </c>
      <c r="BL34" s="1012" t="str">
        <f t="shared" si="27"/>
        <v>DEFAULT</v>
      </c>
      <c r="BM34" s="1012">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1012">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1016">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1016">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1016">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1016">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1016">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1016">
        <f t="array" ref="BT34">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361"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1012">
        <f>IFERROR(IF(AND($BY$2&lt;&gt;"Enter Spend&gt;&gt;&gt;",$BZ$2="EXISTING"),SUMIFS('Existing Customers'!$S:$S,'Existing Customers'!$H:$H,$BX34,'Existing Customers'!$A:$A,$BY$1),CO34*BY34),0)</f>
        <v>0</v>
      </c>
      <c r="CF34" s="1012">
        <f>IFERROR(IF(AND($BY$2&lt;&gt;"Enter Spend&gt;&gt;&gt;",$BZ$2="EXISTING"),SUMIFS('Existing Customers'!$U:$U,'Existing Customers'!$H:$H,$BX34,'Existing Customers'!$A:$A,$BY$1),CP34*BY34),0)</f>
        <v>0</v>
      </c>
      <c r="CG34" s="1015" t="e">
        <f>_xlfn.CONCAT('Customer Inputs'!$AG$7,"_",BX34)</f>
        <v>#N/A</v>
      </c>
      <c r="CH34" s="1015">
        <f t="array" ref="CH34">IFERROR(INDEX('Margin Guidence Table'!$A$1:$AG$10000,MATCH(1,('Margin Guidence Table'!$A$1:$A$10000=$CG34)*('Margin Guidence Table'!$I$1:$I$10000&lt;=ROUND($BY$3,0))*('Margin Guidence Table'!$J$1:$J$10000&gt;=ROUND($BY$3,0)),0),MATCH("DATA_POINTS",'Margin Guidence Table'!$A$1:$AG$1,0)),0)</f>
        <v>0</v>
      </c>
      <c r="CI34" s="1012" t="str">
        <f t="shared" si="29"/>
        <v>DEFAULT</v>
      </c>
      <c r="CJ34" s="1012">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1012">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1016">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1016">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1016">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1016">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1016">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1016">
        <f t="array" ref="CQ34">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361"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1012">
        <f>IFERROR(IF(AND($CV$2&lt;&gt;"Enter Spend&gt;&gt;&gt;",$CW$2="EXISTING"),SUMIFS('Existing Customers'!$S:$S,'Existing Customers'!$H:$H,$CU34,'Existing Customers'!$A:$A,$CV$1),DL34*CV34),0)</f>
        <v>0</v>
      </c>
      <c r="DC34" s="1012">
        <f>IFERROR(IF(AND($CV$2&lt;&gt;"Enter Spend&gt;&gt;&gt;",$CW$2="EXISTING"),SUMIFS('Existing Customers'!$U:$U,'Existing Customers'!$H:$H,$CU34,'Existing Customers'!$A:$A,$CV$1),DM34*CV34),0)</f>
        <v>0</v>
      </c>
      <c r="DD34" s="1015" t="e">
        <f>_xlfn.CONCAT('Customer Inputs'!$AG$8,"_",CU34)</f>
        <v>#N/A</v>
      </c>
      <c r="DE34" s="1015">
        <f t="array" ref="DE34">IFERROR(INDEX('Margin Guidence Table'!$A$1:$AG$10000,MATCH(1,('Margin Guidence Table'!$A$1:$A$10000=DD34)*('Margin Guidence Table'!$I$1:$I$10000&lt;=ROUND($CV$3,0))*('Margin Guidence Table'!$J$1:$J$10000&gt;=ROUND($CV$3,0)),0),MATCH("DATA_POINTS",'Margin Guidence Table'!$A$1:$AG$1,0)),0)</f>
        <v>0</v>
      </c>
      <c r="DF34" s="1012" t="str">
        <f t="shared" si="31"/>
        <v>DEFAULT</v>
      </c>
      <c r="DG34" s="1012">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1012">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1016">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1016">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1016">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1016">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1016">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1016">
        <f t="array" ref="DN34">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361"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1012">
        <f>IFERROR(IF(AND($DS$2&lt;&gt;"Enter Spend&gt;&gt;&gt;",$DT$2="EXISTING"),SUMIFS('Existing Customers'!$S:$S,'Existing Customers'!$H:$H,$DT34,'Existing Customers'!$A:$A,$DS$1),EI34*DS34),0)</f>
        <v>0</v>
      </c>
      <c r="DZ34" s="1012">
        <f>IFERROR(IF(AND($DS$2&lt;&gt;"Enter Spend&gt;&gt;&gt;",$DT$2="EXISTING"),SUMIFS('Existing Customers'!$U:$U,'Existing Customers'!$H:$H,$DR34,'Existing Customers'!$A:$A,$DS$1),EJ34*DS34),0)</f>
        <v>0</v>
      </c>
      <c r="EA34" s="1015" t="e">
        <f>_xlfn.CONCAT('Customer Inputs'!$AG$9,"_",DR34)</f>
        <v>#N/A</v>
      </c>
      <c r="EB34" s="1015">
        <f t="array" ref="EB34">IFERROR(INDEX('Margin Guidence Table'!$A$1:$AG$10000,MATCH(1,('Margin Guidence Table'!$A$1:$A$10000=EA34)*('Margin Guidence Table'!$I$1:$I$10000&lt;=ROUND($DS$3,0))*('Margin Guidence Table'!$J$1:$J$10000&gt;=ROUND($DS$3,0)),0),MATCH("DATA_POINTS",'Margin Guidence Table'!$A$1:$AG$1,0)),0)</f>
        <v>0</v>
      </c>
      <c r="EC34" s="1012" t="str">
        <f t="shared" si="33"/>
        <v>DEFAULT</v>
      </c>
      <c r="ED34" s="1012">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1012">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1016">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1016">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1016">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1016">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1016">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1016">
        <f t="array" ref="EK34">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361"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1012">
        <f>IFERROR(IF(AND($EP$2&lt;&gt;"Enter Spend&gt;&gt;&gt;",$EQ$2="EXISTING"),SUMIFS('Existing Customers'!$S:$S,'Existing Customers'!$H:$H,$EO34,'Existing Customers'!$A:$A,$EP$1),FF34*EP34),0)</f>
        <v>0</v>
      </c>
      <c r="EW34" s="1012">
        <f>IFERROR(IF(AND($EP$2&lt;&gt;"Enter Spend&gt;&gt;&gt;",$EQ$2="EXISTING"),SUMIFS('Existing Customers'!$U:$U,'Existing Customers'!$H:$H,$EO34,'Existing Customers'!$A:$A,$EP$1),FG34*EP34),0)</f>
        <v>0</v>
      </c>
      <c r="EX34" s="1015" t="e">
        <f>_xlfn.CONCAT('Customer Inputs'!$AG$10,"_",EO34)</f>
        <v>#N/A</v>
      </c>
      <c r="EY34" s="1015">
        <f t="array" ref="EY34">IFERROR(INDEX('Margin Guidence Table'!$A$1:$AG$10000,MATCH(1,('Margin Guidence Table'!$A$1:$A$10000=EX34)*('Margin Guidence Table'!$I$1:$I$10000&lt;=ROUND($EP$3,0))*('Margin Guidence Table'!$J$1:$J$10000&gt;=ROUND($EP$3,0)),0),MATCH("DATA_POINTS",'Margin Guidence Table'!$A$1:$AG$1,0)),0)</f>
        <v>0</v>
      </c>
      <c r="EZ34" s="1012" t="str">
        <f t="shared" si="35"/>
        <v>DEFAULT</v>
      </c>
      <c r="FA34" s="1012">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1012"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1016">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1016">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1016">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1016">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1016">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1016">
        <f t="array" ref="FH34">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361"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1012">
        <f>IFERROR(IF(AND($FM$2&lt;&gt;"Enter Spend&gt;&gt;&gt;",$FN$2="EXISTING"),SUMIFS('Existing Customers'!$S:$S,'Existing Customers'!$H:$H,$FL34,'Existing Customers'!$A:$A,$FM$1),GC34*FM34),0)</f>
        <v>0</v>
      </c>
      <c r="FT34" s="1012">
        <f>IFERROR(IF(AND($FM$2&lt;&gt;"Enter Spend&gt;&gt;&gt;",$FN$2="EXISTING"),SUMIFS('Existing Customers'!$U:$U,'Existing Customers'!$H:$H,$FL34,'Existing Customers'!$A:$A,$FM$1),GD34*FM34),0)</f>
        <v>0</v>
      </c>
      <c r="FU34" s="1015" t="e">
        <f>_xlfn.CONCAT('Customer Inputs'!$AG$11,"_",FL34)</f>
        <v>#N/A</v>
      </c>
      <c r="FV34" s="1015">
        <f t="array" ref="FV34">IFERROR(INDEX('Margin Guidence Table'!$A$1:$AG$10000,MATCH(1,('Margin Guidence Table'!$A$1:$A$10000=FU34)*('Margin Guidence Table'!$I$1:$I$10000&lt;=ROUND($FM$3,0))*('Margin Guidence Table'!$J$1:$J$10000&gt;=ROUND($FM$3,0)),0),MATCH("DATA_POINTS",'Margin Guidence Table'!$A$1:$AG$1,0)),0)</f>
        <v>0</v>
      </c>
      <c r="FW34" s="1012" t="str">
        <f t="shared" si="37"/>
        <v>DEFAULT</v>
      </c>
      <c r="FX34" s="1012">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1012">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1016">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1016">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1016">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1016">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1016">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1016">
        <f t="array" ref="GE34">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361"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1012">
        <f>IFERROR(IF(AND($GJ$2&lt;&gt;"Enter Spend&gt;&gt;&gt;",$GK$2="EXISTING"),SUMIFS('Existing Customers'!$S:$S,'Existing Customers'!$H:$H,$GI34,'Existing Customers'!$A:$A,$GJ$1),GZ34*GJ34),0)</f>
        <v>0</v>
      </c>
      <c r="GQ34" s="1012">
        <f>IFERROR(IF(AND($GJ$2&lt;&gt;"Enter Spend&gt;&gt;&gt;",$GK$2="EXISTING"),SUMIFS('Existing Customers'!$U:$U,'Existing Customers'!$H:$H,$GI34,'Existing Customers'!$A:$A,$GJ$1),HA34*GJ34),0)</f>
        <v>0</v>
      </c>
      <c r="GR34" s="1015" t="e">
        <f>_xlfn.CONCAT('Customer Inputs'!$AG$12,"_",GI34)</f>
        <v>#N/A</v>
      </c>
      <c r="GS34" s="1015">
        <f t="array" ref="GS34">IFERROR(INDEX('Margin Guidence Table'!$A$1:$AG$10000,MATCH(1,('Margin Guidence Table'!$A$1:$A$10000=GR34)*('Margin Guidence Table'!$I$1:$I$10000&lt;=ROUND($GJ$3,0))*('Margin Guidence Table'!$J$1:$J$10000&gt;=ROUND($GJ$3,0)),0),MATCH("DATA_POINTS",'Margin Guidence Table'!$A$1:$AG$1,0)),0)</f>
        <v>0</v>
      </c>
      <c r="GT34" s="1012" t="str">
        <f t="shared" si="39"/>
        <v>DEFAULT</v>
      </c>
      <c r="GU34" s="1012">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1012">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1016">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1016">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1016">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1016">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1016">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1016">
        <f t="array" ref="HB34">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361"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1012">
        <f>IFERROR(IF(AND($HG$2&lt;&gt;"Enter Spend&gt;&gt;&gt;",$HH$2="EXISTING"),SUMIFS('Existing Customers'!$S:$S,'Existing Customers'!$H:$H,$HF34,'Existing Customers'!$A:$A,$HG$1),HW34*HG34),0)</f>
        <v>0</v>
      </c>
      <c r="HN34" s="1012">
        <f>IFERROR(IF(AND($HG$2&lt;&gt;"Enter Spend&gt;&gt;&gt;",$HH$2="EXISTING"),SUMIFS('Existing Customers'!$U:$U,'Existing Customers'!$H:$H,$HF34,'Existing Customers'!$A:$A,$HG$1),HX34*HG34),0)</f>
        <v>0</v>
      </c>
      <c r="HO34" s="1015" t="e">
        <f>_xlfn.CONCAT('Customer Inputs'!$AG$13,"_",HF34)</f>
        <v>#N/A</v>
      </c>
      <c r="HP34" s="1015">
        <f t="array" ref="HP34">IFERROR(INDEX('Margin Guidence Table'!$A$1:$AG$10000,MATCH(1,('Margin Guidence Table'!$A$1:$A$10000=HO34)*('Margin Guidence Table'!$I$1:$I$10000&lt;=ROUND($HG$3,0))*('Margin Guidence Table'!$J$1:$J$10000&gt;=ROUND($HG$3,0)),0),MATCH("DATA_POINTS",'Margin Guidence Table'!$A$1:$AG$1,0)),0)</f>
        <v>0</v>
      </c>
      <c r="HQ34" s="1012" t="str">
        <f t="shared" si="41"/>
        <v>DEFAULT</v>
      </c>
      <c r="HR34" s="1012">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1012">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1016">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1016">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1016">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1016">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1016">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1016">
        <f t="array" ref="HY34">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361"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67">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1012">
        <f>IFERROR(IF(AND($ID$2&lt;&gt;"Enter Spend&gt;&gt;&gt;",$IE$2="EXISTING"),SUMIFS('Existing Customers'!$S:$S,'Existing Customers'!$H:$H,$IC34,'Existing Customers'!$A:$A,$ID$1),IT34*ID34),0)</f>
        <v>0</v>
      </c>
      <c r="IK34" s="1012">
        <f>IFERROR(IF(AND($ID$2&lt;&gt;"Enter Spend&gt;&gt;&gt;",$IE$2="EXISTING"),SUMIFS('Existing Customers'!$U:$U,'Existing Customers'!$H:$H,$IC34,'Existing Customers'!$A:$A,$ID$1),IU34*ID34),0)</f>
        <v>0</v>
      </c>
      <c r="IL34" s="1015" t="e">
        <f>_xlfn.CONCAT('Customer Inputs'!$AG$14,"_",IC34)</f>
        <v>#N/A</v>
      </c>
      <c r="IM34" s="1015">
        <f t="array" ref="IM34">IFERROR(INDEX('Margin Guidence Table'!$A$1:$AG$10000,MATCH(1,('Margin Guidence Table'!$A$1:$A$10000=IL34)*('Margin Guidence Table'!$I$1:$I$10000&lt;=ROUND($ID$3,0))*('Margin Guidence Table'!$J$1:$J$10000&gt;=ROUND($ID$3,0)),0),MATCH("DATA_POINTS",'Margin Guidence Table'!$A$1:$AG$1,0)),0)</f>
        <v>0</v>
      </c>
      <c r="IN34" s="1012" t="str">
        <f t="shared" si="43"/>
        <v>DEFAULT</v>
      </c>
      <c r="IO34" s="1012">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1012">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1016">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1016">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1016">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1016">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1016">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1016">
        <f t="array" ref="IV34">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361"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67">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1012">
        <f>IFERROR(IF(AND($JA$2&lt;&gt;"Enter Spend&gt;&gt;&gt;",$JB$2="EXISTING"),SUMIFS('Existing Customers'!$S:$S,'Existing Customers'!$H:$H,$IZ34,'Existing Customers'!$A:$A,$JA$1),JQ34*JA34),0)</f>
        <v>0</v>
      </c>
      <c r="JH34" s="1012">
        <f>IFERROR(IF(AND($JA$2&lt;&gt;"Enter Spend&gt;&gt;&gt;",$JB$2="EXISTING"),SUMIFS('Existing Customers'!$U:$U,'Existing Customers'!$H:$H,$IZ34,'Existing Customers'!$A:$A,$JA$1),JR34*JA34),0)</f>
        <v>0</v>
      </c>
      <c r="JI34" s="1015" t="e">
        <f>_xlfn.CONCAT('Customer Inputs'!$AG$15,"_",IZ34)</f>
        <v>#N/A</v>
      </c>
      <c r="JJ34" s="1015">
        <f t="array" ref="JJ34">IFERROR(INDEX('Margin Guidence Table'!$A$1:$AG$10000,MATCH(1,('Margin Guidence Table'!$A$1:$A$10000=JI34)*('Margin Guidence Table'!$I$1:$I$10000&lt;=ROUND($JA$3,0))*('Margin Guidence Table'!$J$1:$J$10000&gt;=ROUND($JA$3,0)),0),MATCH("DATA_POINTS",'Margin Guidence Table'!$A$1:$AG$1,0)),0)</f>
        <v>0</v>
      </c>
      <c r="JK34" s="1012" t="str">
        <f t="shared" si="45"/>
        <v>DEFAULT</v>
      </c>
      <c r="JL34" s="1012">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1012">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1016">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1016">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1016">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1016">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1016">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1016">
        <f t="array" ref="JS34">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1010">
        <f t="shared" si="15"/>
        <v>0</v>
      </c>
      <c r="J35" s="1010">
        <f>IFERROR(ROUND(SUM($BB35*BP35+$BY35*CM35+$CV35*DJ35+$DS35*EG35+$EP35*FD35+$FM35*GA35+$GJ35*GX35+$HG35*HU35+$ID35*IR35+$JA35*JO35)/$C35,2),0)</f>
        <v>0</v>
      </c>
      <c r="K35" s="1010">
        <f t="shared" si="16"/>
        <v>0</v>
      </c>
      <c r="L35" s="1150">
        <f>SUM(L14:L34)</f>
        <v>0</v>
      </c>
      <c r="M35" s="1149">
        <f t="shared" si="17"/>
        <v>0</v>
      </c>
      <c r="N35" s="1010">
        <f>IFERROR(ROUND(SUM($BB35*BT35+$BY35*CQ35+$CV35*DN35+$DS35*EK35+$EP35*FH35+$FM35*GE35+$GJ35*HB35+$HG35*HY35+$ID35*IV35+$JA35*JS35)/$C35,2),0)</f>
        <v>0</v>
      </c>
      <c r="Q35">
        <f>SUM(Q14:Q34)</f>
        <v>0</v>
      </c>
      <c r="R35">
        <f>SUM(R14:R34)</f>
        <v>0</v>
      </c>
      <c r="T35" s="102">
        <f>SUM(T14:T34)</f>
        <v>0</v>
      </c>
      <c r="U35" s="103">
        <f>SUM(U14:U34)</f>
        <v>0</v>
      </c>
      <c r="V35" s="103">
        <f>SUM(V14:V34)</f>
        <v>0</v>
      </c>
      <c r="W35" s="103">
        <f>SUM(W14:W34)</f>
        <v>0</v>
      </c>
      <c r="X35" s="104">
        <f>SUM(X14:X34)</f>
        <v>0</v>
      </c>
      <c r="Y35" s="105"/>
      <c r="Z35" s="105"/>
      <c r="AA35" s="105"/>
      <c r="AB35" s="452">
        <f>SUM(AB14:AB34)</f>
        <v>0</v>
      </c>
      <c r="AC35" s="453">
        <f>SUM(AC14:AC34)</f>
        <v>0</v>
      </c>
      <c r="AD35" s="453">
        <f>SUM(AD14:AD34)</f>
        <v>0</v>
      </c>
      <c r="AE35" s="454">
        <f t="shared" ref="AE35" si="47">IFERROR(AC35/AB35,0)</f>
        <v>0</v>
      </c>
      <c r="AF35" s="455">
        <f t="shared" ref="AF35" si="48">IFERROR(AD35/AB35,0)</f>
        <v>0</v>
      </c>
      <c r="AG35" s="105"/>
      <c r="AH35" s="105"/>
      <c r="AI35" s="452">
        <f>SUM(AI14:AI34)</f>
        <v>0</v>
      </c>
      <c r="AJ35" s="606">
        <f>SUM(AJ14:AJ34)</f>
        <v>0</v>
      </c>
      <c r="AK35" s="455">
        <f>IFERROR(#REF!/AI35,0)</f>
        <v>0</v>
      </c>
      <c r="AL35" s="105"/>
      <c r="AM35" s="105"/>
      <c r="AN35" s="105"/>
      <c r="AO35" s="105"/>
      <c r="AP35" s="105"/>
      <c r="AQ35" s="105"/>
      <c r="AR35" s="105"/>
      <c r="AS35" s="105"/>
      <c r="AT35" s="105"/>
      <c r="AU35" s="105"/>
      <c r="AV35" s="105"/>
      <c r="AW35" s="105"/>
      <c r="AX35" s="105"/>
      <c r="AY35" s="361">
        <f>SUM(AY14:AY34)</f>
        <v>0</v>
      </c>
      <c r="AZ35" s="361" t="e">
        <f>SUM(AZ14:AZ34)</f>
        <v>#DIV/0!</v>
      </c>
      <c r="BB35" s="102">
        <f t="shared" ref="BB35:BG35" si="49">SUM(BB14:BB34)</f>
        <v>0</v>
      </c>
      <c r="BC35" s="103">
        <f t="shared" si="49"/>
        <v>0</v>
      </c>
      <c r="BD35" s="103">
        <f t="shared" si="49"/>
        <v>0</v>
      </c>
      <c r="BE35" s="103">
        <f t="shared" si="49"/>
        <v>0</v>
      </c>
      <c r="BF35" s="368">
        <f t="shared" si="49"/>
        <v>0</v>
      </c>
      <c r="BG35" s="104">
        <f t="shared" si="49"/>
        <v>0</v>
      </c>
      <c r="BH35" s="93">
        <f>SUM(BH14:BH34)</f>
        <v>0</v>
      </c>
      <c r="BI35" s="93">
        <f>SUM(BI14:BI34)</f>
        <v>0</v>
      </c>
      <c r="BJ35" s="1008"/>
      <c r="BK35" s="1008"/>
      <c r="BL35" s="1008"/>
      <c r="BM35" s="1008"/>
      <c r="BN35" s="1008"/>
      <c r="BO35" s="1008"/>
      <c r="BP35" s="1008"/>
      <c r="BQ35" s="1008"/>
      <c r="BR35" s="1008"/>
      <c r="BS35" s="1008"/>
      <c r="BT35" s="1008"/>
      <c r="BU35" s="361"/>
      <c r="BV35" s="361">
        <f>SUM(BV14:BV34)</f>
        <v>0</v>
      </c>
      <c r="BW35" s="361"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1008"/>
      <c r="CH35" s="1008"/>
      <c r="CI35" s="1008"/>
      <c r="CJ35" s="1008"/>
      <c r="CK35" s="1008"/>
      <c r="CL35" s="1008"/>
      <c r="CM35" s="1008"/>
      <c r="CN35" s="1008"/>
      <c r="CO35" s="1008"/>
      <c r="CP35" s="1008"/>
      <c r="CQ35" s="1008"/>
      <c r="CR35" s="105"/>
      <c r="CS35" s="361">
        <f>SUM(CS14:CS34)</f>
        <v>0</v>
      </c>
      <c r="CT35" s="361"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1008"/>
      <c r="DE35" s="1008"/>
      <c r="DF35" s="1008"/>
      <c r="DG35" s="1008"/>
      <c r="DH35" s="1008"/>
      <c r="DI35" s="1008"/>
      <c r="DJ35" s="1008"/>
      <c r="DK35" s="1008"/>
      <c r="DL35" s="1008"/>
      <c r="DM35" s="1008"/>
      <c r="DN35" s="1008"/>
      <c r="DO35" s="105"/>
      <c r="DP35" s="361">
        <f>SUM(DP14:DP34)</f>
        <v>0</v>
      </c>
      <c r="DQ35" s="361"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1008"/>
      <c r="EB35" s="1008"/>
      <c r="EC35" s="1008"/>
      <c r="ED35" s="1008"/>
      <c r="EE35" s="1008"/>
      <c r="EF35" s="1008"/>
      <c r="EG35" s="1008"/>
      <c r="EH35" s="1008"/>
      <c r="EI35" s="1008"/>
      <c r="EJ35" s="1008"/>
      <c r="EK35" s="1008"/>
      <c r="EL35" s="105"/>
      <c r="EM35" s="361">
        <f>SUM(EM14:EM34)</f>
        <v>0</v>
      </c>
      <c r="EN35" s="361"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1008"/>
      <c r="EY35" s="1008"/>
      <c r="EZ35" s="1008"/>
      <c r="FA35" s="1008"/>
      <c r="FB35" s="1008"/>
      <c r="FC35" s="1008"/>
      <c r="FD35" s="1008"/>
      <c r="FE35" s="1008"/>
      <c r="FF35" s="1008"/>
      <c r="FG35" s="1008"/>
      <c r="FH35" s="1008"/>
      <c r="FI35" s="105"/>
      <c r="FJ35" s="361">
        <f>SUM(FJ14:FJ34)</f>
        <v>0</v>
      </c>
      <c r="FK35" s="361"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1008"/>
      <c r="FV35" s="1008"/>
      <c r="FW35" s="1008"/>
      <c r="FX35" s="1008"/>
      <c r="FY35" s="1008"/>
      <c r="FZ35" s="1008"/>
      <c r="GA35" s="1008"/>
      <c r="GB35" s="1008"/>
      <c r="GC35" s="1008"/>
      <c r="GD35" s="1008"/>
      <c r="GE35" s="1008"/>
      <c r="GF35" s="105"/>
      <c r="GG35" s="361">
        <f>SUM(GG14:GG34)</f>
        <v>0</v>
      </c>
      <c r="GH35" s="361"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1008"/>
      <c r="GS35" s="1008"/>
      <c r="GT35" s="1008"/>
      <c r="GU35" s="1008"/>
      <c r="GV35" s="1008"/>
      <c r="GW35" s="1008"/>
      <c r="GX35" s="1008"/>
      <c r="GY35" s="1008"/>
      <c r="GZ35" s="1008"/>
      <c r="HA35" s="1008"/>
      <c r="HB35" s="1008"/>
      <c r="HC35" s="105"/>
      <c r="HD35" s="361">
        <f>SUM(HD14:HD34)</f>
        <v>0</v>
      </c>
      <c r="HE35" s="361"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1008"/>
      <c r="HP35" s="1008"/>
      <c r="HQ35" s="1008"/>
      <c r="HR35" s="1008"/>
      <c r="HS35" s="1008"/>
      <c r="HT35" s="1008"/>
      <c r="HU35" s="1008"/>
      <c r="HV35" s="1008"/>
      <c r="HW35" s="1008"/>
      <c r="HX35" s="1008"/>
      <c r="HY35" s="1008"/>
      <c r="HZ35" s="105"/>
      <c r="IA35" s="361">
        <f>SUM(IA14:IA34)</f>
        <v>0</v>
      </c>
      <c r="IB35" s="361" t="e">
        <f>SUM(IB14:IB34)</f>
        <v>#DIV/0!</v>
      </c>
      <c r="ID35" s="102">
        <f t="shared" ref="ID35:II35" si="64">SUM(ID14:ID34)</f>
        <v>0</v>
      </c>
      <c r="IE35" s="103">
        <f t="shared" si="64"/>
        <v>0</v>
      </c>
      <c r="IF35" s="103">
        <f t="shared" si="64"/>
        <v>0</v>
      </c>
      <c r="IG35" s="103">
        <f t="shared" si="64"/>
        <v>0</v>
      </c>
      <c r="IH35" s="368">
        <f t="shared" si="64"/>
        <v>0</v>
      </c>
      <c r="II35" s="104">
        <f t="shared" si="64"/>
        <v>0</v>
      </c>
      <c r="IJ35" s="104">
        <f t="shared" ref="IJ35:IK35" si="65">SUM(IJ14:IJ34)</f>
        <v>0</v>
      </c>
      <c r="IK35" s="104">
        <f t="shared" si="65"/>
        <v>0</v>
      </c>
      <c r="IL35" s="1008"/>
      <c r="IM35" s="1008"/>
      <c r="IN35" s="1008"/>
      <c r="IO35" s="1008"/>
      <c r="IP35" s="1008"/>
      <c r="IQ35" s="1008"/>
      <c r="IR35" s="1008"/>
      <c r="IS35" s="1008"/>
      <c r="IT35" s="1008"/>
      <c r="IU35" s="1008"/>
      <c r="IV35" s="1008"/>
      <c r="IW35" s="105"/>
      <c r="IX35" s="361">
        <f>SUM(IX14:IX34)</f>
        <v>0</v>
      </c>
      <c r="IY35" s="361" t="e">
        <f>SUM(IY14:IY34)</f>
        <v>#DIV/0!</v>
      </c>
      <c r="JA35" s="102">
        <f t="shared" ref="JA35:JF35" si="66">SUM(JA14:JA34)</f>
        <v>0</v>
      </c>
      <c r="JB35" s="103">
        <f t="shared" si="66"/>
        <v>0</v>
      </c>
      <c r="JC35" s="103">
        <f t="shared" si="66"/>
        <v>0</v>
      </c>
      <c r="JD35" s="103">
        <f t="shared" si="66"/>
        <v>0</v>
      </c>
      <c r="JE35" s="368">
        <f t="shared" si="66"/>
        <v>0</v>
      </c>
      <c r="JF35" s="104">
        <f t="shared" si="66"/>
        <v>0</v>
      </c>
      <c r="JG35" s="104">
        <f t="shared" ref="JG35:JH35" si="67">SUM(JG14:JG34)</f>
        <v>0</v>
      </c>
      <c r="JH35" s="104">
        <f t="shared" si="67"/>
        <v>0</v>
      </c>
      <c r="JI35" s="1008"/>
      <c r="JJ35" s="1008"/>
      <c r="JK35" s="1008"/>
      <c r="JL35" s="1008"/>
      <c r="JM35" s="1008"/>
      <c r="JN35" s="1008"/>
      <c r="JO35" s="1008"/>
      <c r="JP35" s="1008"/>
      <c r="JQ35" s="1008"/>
      <c r="JR35" s="1008"/>
      <c r="JS35" s="1008"/>
      <c r="JV35" s="102"/>
      <c r="JW35" s="103"/>
      <c r="JX35" s="103"/>
      <c r="JY35" s="103"/>
      <c r="JZ35" s="368"/>
      <c r="KA35" s="104"/>
      <c r="KB35" s="105"/>
      <c r="KE35" s="102"/>
      <c r="KF35" s="103"/>
      <c r="KG35" s="103"/>
      <c r="KH35" s="103"/>
      <c r="KI35" s="368"/>
      <c r="KJ35" s="104"/>
    </row>
    <row r="36" spans="2:296" ht="15.75" thickBot="1" x14ac:dyDescent="0.3">
      <c r="C36" s="23"/>
      <c r="E36" s="419">
        <f>IFERROR(E35/D35,0)</f>
        <v>0</v>
      </c>
      <c r="BC36" s="459"/>
    </row>
    <row r="37" spans="2:296" x14ac:dyDescent="0.25">
      <c r="R37" s="325"/>
      <c r="S37" s="421" t="s">
        <v>836</v>
      </c>
      <c r="T37" s="328"/>
      <c r="Z37" s="427">
        <f>RANK(AB37,$AB$36:$AB$38)</f>
        <v>1</v>
      </c>
      <c r="AA37" s="421" t="s">
        <v>1412</v>
      </c>
      <c r="AB37" s="428">
        <f>COUNTIF($BA$51:$IZ$51,AA37)</f>
        <v>0</v>
      </c>
      <c r="AG37" s="325">
        <v>1</v>
      </c>
      <c r="AH37" s="1003" t="str">
        <f>IF($AH$38&gt;1,"MULTIPLE TYPES",VLOOKUP(AG37,$Z$38:$AA$65,2,FALSE))</f>
        <v>MULTIPLE TYPES</v>
      </c>
      <c r="AI37" s="328"/>
    </row>
    <row r="38" spans="2:296" x14ac:dyDescent="0.25">
      <c r="R38" s="422">
        <f>RANK(T38,$T$39:$T$43)</f>
        <v>1</v>
      </c>
      <c r="S38" s="420" t="s">
        <v>926</v>
      </c>
      <c r="T38" s="423">
        <f t="shared" ref="T38" si="68">COUNTIF($BB$47:$JA$47,S38)</f>
        <v>0</v>
      </c>
      <c r="Z38" s="422">
        <f>RANK(AB38,$AB$38:$AB$38)</f>
        <v>1</v>
      </c>
      <c r="AA38" s="420" t="s">
        <v>926</v>
      </c>
      <c r="AB38" s="423">
        <f>COUNTIF($AZ$53:$IP$53,AA38)</f>
        <v>0</v>
      </c>
      <c r="AG38" s="429" t="s">
        <v>841</v>
      </c>
      <c r="AH38" s="430">
        <f>COUNTIF($Z$38:$Z$65,1)</f>
        <v>2</v>
      </c>
      <c r="AI38" s="138"/>
      <c r="BA38" s="101" t="s">
        <v>823</v>
      </c>
      <c r="BB38" s="83">
        <f>BB1</f>
        <v>0</v>
      </c>
      <c r="BX38" s="101" t="s">
        <v>823</v>
      </c>
      <c r="BY38" s="83">
        <f>BY1</f>
        <v>0</v>
      </c>
      <c r="CU38" s="101" t="s">
        <v>823</v>
      </c>
      <c r="CV38" s="83">
        <f>CV1</f>
        <v>0</v>
      </c>
      <c r="DR38" s="101" t="s">
        <v>823</v>
      </c>
      <c r="DS38" s="83">
        <f>DS1</f>
        <v>0</v>
      </c>
      <c r="EO38" s="101" t="s">
        <v>823</v>
      </c>
      <c r="EP38" s="83">
        <f>EP1</f>
        <v>0</v>
      </c>
      <c r="FL38" s="101" t="s">
        <v>823</v>
      </c>
      <c r="FM38" s="83">
        <f>FM1</f>
        <v>0</v>
      </c>
      <c r="GI38" s="101" t="s">
        <v>823</v>
      </c>
      <c r="GJ38" s="83">
        <f>GJ1</f>
        <v>0</v>
      </c>
      <c r="HF38" s="101" t="s">
        <v>823</v>
      </c>
      <c r="HG38" s="83">
        <f>HG1</f>
        <v>0</v>
      </c>
      <c r="IC38" s="101" t="s">
        <v>823</v>
      </c>
      <c r="ID38" s="83">
        <f>ID1</f>
        <v>0</v>
      </c>
      <c r="IZ38" s="101" t="s">
        <v>823</v>
      </c>
      <c r="JA38" s="83">
        <f>JA1</f>
        <v>0</v>
      </c>
    </row>
    <row r="39" spans="2:296" x14ac:dyDescent="0.25">
      <c r="R39" s="422">
        <f t="shared" ref="R39:R47" si="69">RANK(T39,$T$39:$T$47)</f>
        <v>1</v>
      </c>
      <c r="S39" s="420" t="s">
        <v>1</v>
      </c>
      <c r="T39" s="423">
        <f>COUNTIF('Variable Costs (Back)'!$C$15:$C$24,S39)</f>
        <v>0</v>
      </c>
      <c r="Z39" s="422">
        <f t="shared" ref="Z39:Z65" si="70">RANK(AB39,$AB$38:$AB$65)</f>
        <v>1</v>
      </c>
      <c r="AA39" s="420" t="str" cm="1">
        <f t="array" ref="AA39">IF(_xlfn.UNIQUE('Margin Guidence Table'!F2:F1000000)&lt;&gt;0,_xlfn._xlws.SORT(_xlfn.UNIQUE('Margin Guidence Table'!F2:F1000000)),"")</f>
        <v/>
      </c>
      <c r="AB39" s="423">
        <f t="shared" ref="AB39:AB65" si="71">COUNTIF($BA$53:$IZ$53,AA39)</f>
        <v>189</v>
      </c>
      <c r="AG39" s="429" t="s">
        <v>840</v>
      </c>
      <c r="AH39" s="430" t="str">
        <f>VLOOKUP(AG37,$Z$38:$AA$65,2,FALSE)</f>
        <v>Enter Customer(s)</v>
      </c>
      <c r="AI39" s="138"/>
      <c r="BA39" s="101" t="s">
        <v>824</v>
      </c>
      <c r="BB39" s="83" t="e">
        <f>VLOOKUP(BB$1,'Existing Customers'!$A:$AA,2,FALSE)</f>
        <v>#N/A</v>
      </c>
      <c r="BX39" s="101" t="s">
        <v>824</v>
      </c>
      <c r="BY39" s="83" t="e">
        <f>VLOOKUP(BY$1,'Existing Customers'!$A:$AA,2,FALSE)</f>
        <v>#N/A</v>
      </c>
      <c r="CU39" s="101" t="s">
        <v>824</v>
      </c>
      <c r="CV39" s="83" t="e">
        <f>VLOOKUP(CV$1,'Existing Customers'!$A:$AA,2,FALSE)</f>
        <v>#N/A</v>
      </c>
      <c r="DR39" s="101" t="s">
        <v>824</v>
      </c>
      <c r="DS39" s="83" t="e">
        <f>VLOOKUP(DS$1,'Existing Customers'!$A:$AA,2,FALSE)</f>
        <v>#N/A</v>
      </c>
      <c r="EO39" s="101" t="s">
        <v>824</v>
      </c>
      <c r="EP39" s="83" t="e">
        <f>VLOOKUP(EP$1,'Existing Customers'!$A:$AA,2,FALSE)</f>
        <v>#N/A</v>
      </c>
      <c r="FL39" s="101" t="s">
        <v>824</v>
      </c>
      <c r="FM39" s="83" t="e">
        <f>VLOOKUP(FM$1,'Existing Customers'!$A:$AA,2,FALSE)</f>
        <v>#N/A</v>
      </c>
      <c r="GI39" s="101" t="s">
        <v>824</v>
      </c>
      <c r="GJ39" s="83" t="e">
        <f>VLOOKUP(GJ$1,'Existing Customers'!$A:$AA,2,FALSE)</f>
        <v>#N/A</v>
      </c>
      <c r="HF39" s="101" t="s">
        <v>824</v>
      </c>
      <c r="HG39" s="83" t="e">
        <f>VLOOKUP(HG$1,'Existing Customers'!$A:$AA,2,FALSE)</f>
        <v>#N/A</v>
      </c>
      <c r="IC39" s="101" t="s">
        <v>824</v>
      </c>
      <c r="ID39" s="83" t="e">
        <f>VLOOKUP(ID$1,'Existing Customers'!$A:$AA,2,FALSE)</f>
        <v>#N/A</v>
      </c>
      <c r="IZ39" s="101" t="s">
        <v>824</v>
      </c>
      <c r="JA39" s="83" t="e">
        <f>VLOOKUP(JA$1,'Existing Customers'!$A:$AA,2,FALSE)</f>
        <v>#N/A</v>
      </c>
    </row>
    <row r="40" spans="2:296" ht="15.75" thickBot="1" x14ac:dyDescent="0.3">
      <c r="R40" s="422">
        <f t="shared" si="69"/>
        <v>1</v>
      </c>
      <c r="S40" s="420" t="s">
        <v>114</v>
      </c>
      <c r="T40" s="423">
        <f>COUNTIF('Variable Costs (Back)'!$C$15:$C$24,S40)</f>
        <v>0</v>
      </c>
      <c r="Z40" s="422">
        <f t="shared" si="70"/>
        <v>2</v>
      </c>
      <c r="AA40" s="420"/>
      <c r="AB40" s="423">
        <f t="shared" si="71"/>
        <v>9</v>
      </c>
      <c r="AG40" s="431" t="s">
        <v>946</v>
      </c>
      <c r="AH40" s="432" t="str">
        <f>IF(COUNTIF($AB$39:$AB$65,"&gt;0")&gt;1,"MULTIPLE TYPES",$AH$37)</f>
        <v>MULTIPLE TYPES</v>
      </c>
      <c r="AI40" s="258"/>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422">
        <f t="shared" si="69"/>
        <v>1</v>
      </c>
      <c r="S41" s="420" t="s">
        <v>116</v>
      </c>
      <c r="T41" s="423">
        <f>COUNTIF('Variable Costs (Back)'!$C$15:$C$24,S41)</f>
        <v>0</v>
      </c>
      <c r="Z41" s="422">
        <f t="shared" si="70"/>
        <v>2</v>
      </c>
      <c r="AA41" s="420"/>
      <c r="AB41" s="423">
        <f t="shared" si="71"/>
        <v>9</v>
      </c>
      <c r="AG41" s="998"/>
      <c r="AH41" s="998"/>
      <c r="AI41" s="998"/>
      <c r="BA41" s="101" t="s">
        <v>825</v>
      </c>
      <c r="BB41" s="83" t="e">
        <f>VLOOKUP(BB$1,'Existing Customers'!$A:$AA,25,FALSE)</f>
        <v>#N/A</v>
      </c>
      <c r="BX41" s="101" t="s">
        <v>825</v>
      </c>
      <c r="BY41" s="83" t="e">
        <f>VLOOKUP(BY$1,'Existing Customers'!$A:$AA,25,FALSE)</f>
        <v>#N/A</v>
      </c>
      <c r="CU41" s="101" t="s">
        <v>825</v>
      </c>
      <c r="CV41" s="83" t="e">
        <f>VLOOKUP(CV$1,'Existing Customers'!$A:$AA,25,FALSE)</f>
        <v>#N/A</v>
      </c>
      <c r="DR41" s="101" t="s">
        <v>825</v>
      </c>
      <c r="DS41" s="83" t="e">
        <f>VLOOKUP(DS$1,'Existing Customers'!$A:$AA,25,FALSE)</f>
        <v>#N/A</v>
      </c>
      <c r="EO41" s="101" t="s">
        <v>825</v>
      </c>
      <c r="EP41" s="83" t="e">
        <f>VLOOKUP(EP$1,'Existing Customers'!$A:$AA,25,FALSE)</f>
        <v>#N/A</v>
      </c>
      <c r="FL41" s="101" t="s">
        <v>825</v>
      </c>
      <c r="FM41" s="83" t="e">
        <f>VLOOKUP(FM$1,'Existing Customers'!$A:$AA,25,FALSE)</f>
        <v>#N/A</v>
      </c>
      <c r="GI41" s="101" t="s">
        <v>825</v>
      </c>
      <c r="GJ41" s="83" t="e">
        <f>VLOOKUP(GJ$1,'Existing Customers'!$A:$AA,25,FALSE)</f>
        <v>#N/A</v>
      </c>
      <c r="HF41" s="101" t="s">
        <v>825</v>
      </c>
      <c r="HG41" s="83" t="e">
        <f>VLOOKUP(HG$1,'Existing Customers'!$A:$AA,25,FALSE)</f>
        <v>#N/A</v>
      </c>
      <c r="IC41" s="101" t="s">
        <v>825</v>
      </c>
      <c r="ID41" s="83" t="e">
        <f>VLOOKUP(ID$1,'Existing Customers'!$A:$AA,25,FALSE)</f>
        <v>#N/A</v>
      </c>
      <c r="IZ41" s="101" t="s">
        <v>825</v>
      </c>
      <c r="JA41" s="83" t="e">
        <f>VLOOKUP(JA$1,'Existing Customers'!$A:$AA,25,FALSE)</f>
        <v>#N/A</v>
      </c>
    </row>
    <row r="42" spans="2:296" x14ac:dyDescent="0.25">
      <c r="R42" s="422">
        <f t="shared" si="69"/>
        <v>1</v>
      </c>
      <c r="S42" s="420" t="s">
        <v>112</v>
      </c>
      <c r="T42" s="423">
        <f>COUNTIF('Variable Costs (Back)'!$C$15:$C$24,S42)</f>
        <v>0</v>
      </c>
      <c r="Z42" s="422">
        <f t="shared" si="70"/>
        <v>2</v>
      </c>
      <c r="AA42" s="420"/>
      <c r="AB42" s="423">
        <f t="shared" si="71"/>
        <v>9</v>
      </c>
      <c r="BA42" s="101" t="s">
        <v>826</v>
      </c>
      <c r="BB42" s="83" t="e">
        <f>VLOOKUP(BB$1,'Existing Customers'!$A:$AA,26,FALSE)</f>
        <v>#N/A</v>
      </c>
      <c r="BX42" s="101" t="s">
        <v>826</v>
      </c>
      <c r="BY42" s="83" t="e">
        <f>VLOOKUP(BY$1,'Existing Customers'!$A:$AA,26,FALSE)</f>
        <v>#N/A</v>
      </c>
      <c r="CU42" s="101" t="s">
        <v>826</v>
      </c>
      <c r="CV42" s="83" t="e">
        <f>VLOOKUP(CV$1,'Existing Customers'!$A:$AA,26,FALSE)</f>
        <v>#N/A</v>
      </c>
      <c r="DR42" s="101" t="s">
        <v>826</v>
      </c>
      <c r="DS42" s="83" t="e">
        <f>VLOOKUP(DS$1,'Existing Customers'!$A:$AA,26,FALSE)</f>
        <v>#N/A</v>
      </c>
      <c r="EO42" s="101" t="s">
        <v>826</v>
      </c>
      <c r="EP42" s="83" t="e">
        <f>VLOOKUP(EP$1,'Existing Customers'!$A:$AA,26,FALSE)</f>
        <v>#N/A</v>
      </c>
      <c r="FL42" s="101" t="s">
        <v>826</v>
      </c>
      <c r="FM42" s="83" t="e">
        <f>VLOOKUP(FM$1,'Existing Customers'!$A:$AA,26,FALSE)</f>
        <v>#N/A</v>
      </c>
      <c r="GI42" s="101" t="s">
        <v>826</v>
      </c>
      <c r="GJ42" s="83" t="e">
        <f>VLOOKUP(GJ$1,'Existing Customers'!$A:$AA,26,FALSE)</f>
        <v>#N/A</v>
      </c>
      <c r="HF42" s="101" t="s">
        <v>826</v>
      </c>
      <c r="HG42" s="83" t="e">
        <f>VLOOKUP(HG$1,'Existing Customers'!$A:$AA,26,FALSE)</f>
        <v>#N/A</v>
      </c>
      <c r="IC42" s="101" t="s">
        <v>826</v>
      </c>
      <c r="ID42" s="83" t="e">
        <f>VLOOKUP(ID$1,'Existing Customers'!$A:$AA,26,FALSE)</f>
        <v>#N/A</v>
      </c>
      <c r="IZ42" s="101" t="s">
        <v>826</v>
      </c>
      <c r="JA42" s="83" t="e">
        <f>VLOOKUP(JA$1,'Existing Customers'!$A:$AA,26,FALSE)</f>
        <v>#N/A</v>
      </c>
    </row>
    <row r="43" spans="2:296" x14ac:dyDescent="0.25">
      <c r="R43" s="422">
        <f t="shared" si="69"/>
        <v>1</v>
      </c>
      <c r="S43" s="420" t="s">
        <v>113</v>
      </c>
      <c r="T43" s="423">
        <f>COUNTIF('Variable Costs (Back)'!$C$15:$C$24,S43)</f>
        <v>0</v>
      </c>
      <c r="Z43" s="422">
        <f t="shared" si="70"/>
        <v>2</v>
      </c>
      <c r="AA43" s="420"/>
      <c r="AB43" s="423">
        <f t="shared" si="71"/>
        <v>9</v>
      </c>
      <c r="BA43" s="101" t="s">
        <v>827</v>
      </c>
      <c r="BB43" s="83" t="e">
        <f>VLOOKUP(BB$1,'Existing Customers'!$A:$AA,23,FALSE)</f>
        <v>#N/A</v>
      </c>
      <c r="BX43" s="101" t="s">
        <v>827</v>
      </c>
      <c r="BY43" s="83" t="e">
        <f>VLOOKUP(BY$1,'Existing Customers'!$A:$AA,23,FALSE)</f>
        <v>#N/A</v>
      </c>
      <c r="CU43" s="101" t="s">
        <v>827</v>
      </c>
      <c r="CV43" s="83" t="e">
        <f>VLOOKUP(CV$1,'Existing Customers'!$A:$AA,23,FALSE)</f>
        <v>#N/A</v>
      </c>
      <c r="DR43" s="101" t="s">
        <v>827</v>
      </c>
      <c r="DS43" s="83" t="e">
        <f>VLOOKUP(DS$1,'Existing Customers'!$A:$AA,23,FALSE)</f>
        <v>#N/A</v>
      </c>
      <c r="EO43" s="101" t="s">
        <v>827</v>
      </c>
      <c r="EP43" s="83" t="e">
        <f>VLOOKUP(EP$1,'Existing Customers'!$A:$AA,23,FALSE)</f>
        <v>#N/A</v>
      </c>
      <c r="FL43" s="101" t="s">
        <v>827</v>
      </c>
      <c r="FM43" s="83" t="e">
        <f>VLOOKUP(FM$1,'Existing Customers'!$A:$AA,23,FALSE)</f>
        <v>#N/A</v>
      </c>
      <c r="GI43" s="101" t="s">
        <v>827</v>
      </c>
      <c r="GJ43" s="83" t="e">
        <f>VLOOKUP(GJ$1,'Existing Customers'!$A:$AA,23,FALSE)</f>
        <v>#N/A</v>
      </c>
      <c r="HF43" s="101" t="s">
        <v>827</v>
      </c>
      <c r="HG43" s="83" t="e">
        <f>VLOOKUP(HG$1,'Existing Customers'!$A:$AA,23,FALSE)</f>
        <v>#N/A</v>
      </c>
      <c r="IC43" s="101" t="s">
        <v>827</v>
      </c>
      <c r="ID43" s="83" t="e">
        <f>VLOOKUP(ID$1,'Existing Customers'!$A:$AA,23,FALSE)</f>
        <v>#N/A</v>
      </c>
      <c r="IZ43" s="101" t="s">
        <v>827</v>
      </c>
      <c r="JA43" s="83" t="e">
        <f>VLOOKUP(JA$1,'Existing Customers'!$A:$AA,23,FALSE)</f>
        <v>#N/A</v>
      </c>
    </row>
    <row r="44" spans="2:296" x14ac:dyDescent="0.25">
      <c r="R44" s="422">
        <f t="shared" si="69"/>
        <v>1</v>
      </c>
      <c r="S44" s="420" t="s">
        <v>111</v>
      </c>
      <c r="T44" s="423">
        <f>COUNTIF('Variable Costs (Back)'!$C$15:$C$24,S44)</f>
        <v>0</v>
      </c>
      <c r="Z44" s="422">
        <f t="shared" si="70"/>
        <v>2</v>
      </c>
      <c r="AA44" s="420"/>
      <c r="AB44" s="423">
        <f t="shared" si="71"/>
        <v>9</v>
      </c>
      <c r="BA44" s="101" t="s">
        <v>828</v>
      </c>
      <c r="BB44" s="83" t="e">
        <f>VLOOKUP(BB$1,'Existing Customers'!$A:$AA,24,FALSE)</f>
        <v>#N/A</v>
      </c>
      <c r="BX44" s="101" t="s">
        <v>828</v>
      </c>
      <c r="BY44" s="83" t="e">
        <f>VLOOKUP(BY$1,'Existing Customers'!$A:$AA,24,FALSE)</f>
        <v>#N/A</v>
      </c>
      <c r="CU44" s="101" t="s">
        <v>828</v>
      </c>
      <c r="CV44" s="83" t="e">
        <f>VLOOKUP(CV$1,'Existing Customers'!$A:$AA,24,FALSE)</f>
        <v>#N/A</v>
      </c>
      <c r="DR44" s="101" t="s">
        <v>828</v>
      </c>
      <c r="DS44" s="83" t="e">
        <f>VLOOKUP(DS$1,'Existing Customers'!$A:$AA,24,FALSE)</f>
        <v>#N/A</v>
      </c>
      <c r="EO44" s="101" t="s">
        <v>828</v>
      </c>
      <c r="EP44" s="83" t="e">
        <f>VLOOKUP(EP$1,'Existing Customers'!$A:$AA,24,FALSE)</f>
        <v>#N/A</v>
      </c>
      <c r="FL44" s="101" t="s">
        <v>828</v>
      </c>
      <c r="FM44" s="83" t="e">
        <f>VLOOKUP(FM$1,'Existing Customers'!$A:$AA,24,FALSE)</f>
        <v>#N/A</v>
      </c>
      <c r="GI44" s="101" t="s">
        <v>828</v>
      </c>
      <c r="GJ44" s="83" t="e">
        <f>VLOOKUP(GJ$1,'Existing Customers'!$A:$AA,24,FALSE)</f>
        <v>#N/A</v>
      </c>
      <c r="HF44" s="101" t="s">
        <v>828</v>
      </c>
      <c r="HG44" s="83" t="e">
        <f>VLOOKUP(HG$1,'Existing Customers'!$A:$AA,24,FALSE)</f>
        <v>#N/A</v>
      </c>
      <c r="IC44" s="101" t="s">
        <v>828</v>
      </c>
      <c r="ID44" s="83" t="e">
        <f>VLOOKUP(ID$1,'Existing Customers'!$A:$AA,24,FALSE)</f>
        <v>#N/A</v>
      </c>
      <c r="IZ44" s="101" t="s">
        <v>828</v>
      </c>
      <c r="JA44" s="83" t="e">
        <f>VLOOKUP(JA$1,'Existing Customers'!$A:$AA,24,FALSE)</f>
        <v>#N/A</v>
      </c>
    </row>
    <row r="45" spans="2:296" x14ac:dyDescent="0.25">
      <c r="R45" s="422">
        <f t="shared" si="69"/>
        <v>1</v>
      </c>
      <c r="S45" s="420" t="s">
        <v>118</v>
      </c>
      <c r="T45" s="423">
        <f>COUNTIF('Variable Costs (Back)'!$C$15:$C$24,S45)</f>
        <v>0</v>
      </c>
      <c r="Z45" s="422">
        <f t="shared" si="70"/>
        <v>2</v>
      </c>
      <c r="AA45" s="420"/>
      <c r="AB45" s="423">
        <f t="shared" si="71"/>
        <v>9</v>
      </c>
      <c r="BA45" s="101" t="s">
        <v>829</v>
      </c>
      <c r="BB45" s="83" t="e">
        <f>VLOOKUP(BB$1,'Existing Customers'!$A:$AA,9,FALSE)</f>
        <v>#N/A</v>
      </c>
      <c r="BX45" s="101" t="s">
        <v>829</v>
      </c>
      <c r="BY45" s="83" t="e">
        <f>VLOOKUP(BY$1,'Existing Customers'!$A:$AA,9,FALSE)</f>
        <v>#N/A</v>
      </c>
      <c r="CU45" s="101" t="s">
        <v>829</v>
      </c>
      <c r="CV45" s="83" t="e">
        <f>VLOOKUP(CV$1,'Existing Customers'!$A:$AA,9,FALSE)</f>
        <v>#N/A</v>
      </c>
      <c r="DR45" s="101" t="s">
        <v>829</v>
      </c>
      <c r="DS45" s="83" t="e">
        <f>VLOOKUP(DS$1,'Existing Customers'!$A:$AA,9,FALSE)</f>
        <v>#N/A</v>
      </c>
      <c r="EO45" s="101" t="s">
        <v>829</v>
      </c>
      <c r="EP45" s="83" t="e">
        <f>VLOOKUP(EP$1,'Existing Customers'!$A:$AA,9,FALSE)</f>
        <v>#N/A</v>
      </c>
      <c r="FL45" s="101" t="s">
        <v>829</v>
      </c>
      <c r="FM45" s="83" t="e">
        <f>VLOOKUP(FM$1,'Existing Customers'!$A:$AA,9,FALSE)</f>
        <v>#N/A</v>
      </c>
      <c r="GI45" s="101" t="s">
        <v>829</v>
      </c>
      <c r="GJ45" s="83" t="e">
        <f>VLOOKUP(GJ$1,'Existing Customers'!$A:$AA,9,FALSE)</f>
        <v>#N/A</v>
      </c>
      <c r="HF45" s="101" t="s">
        <v>829</v>
      </c>
      <c r="HG45" s="83" t="e">
        <f>VLOOKUP(HG$1,'Existing Customers'!$A:$AA,9,FALSE)</f>
        <v>#N/A</v>
      </c>
      <c r="IC45" s="101" t="s">
        <v>829</v>
      </c>
      <c r="ID45" s="83" t="e">
        <f>VLOOKUP(ID$1,'Existing Customers'!$A:$AA,9,FALSE)</f>
        <v>#N/A</v>
      </c>
      <c r="IZ45" s="101" t="s">
        <v>829</v>
      </c>
      <c r="JA45" s="83" t="e">
        <f>VLOOKUP(JA$1,'Existing Customers'!$A:$AA,9,FALSE)</f>
        <v>#N/A</v>
      </c>
    </row>
    <row r="46" spans="2:296" x14ac:dyDescent="0.25">
      <c r="R46" s="422">
        <f t="shared" si="69"/>
        <v>1</v>
      </c>
      <c r="S46" s="420" t="s">
        <v>115</v>
      </c>
      <c r="T46" s="423">
        <f>COUNTIF('Variable Costs (Back)'!$C$15:$C$24,S46)</f>
        <v>0</v>
      </c>
      <c r="Z46" s="422">
        <f t="shared" si="70"/>
        <v>2</v>
      </c>
      <c r="AA46" s="420"/>
      <c r="AB46" s="423">
        <f t="shared" si="71"/>
        <v>9</v>
      </c>
      <c r="BA46" s="101" t="s">
        <v>830</v>
      </c>
      <c r="BB46" s="83" t="e">
        <f>VLOOKUP(BB$1,'Existing Customers'!$A:$AA,27,FALSE)</f>
        <v>#N/A</v>
      </c>
      <c r="BX46" s="101" t="s">
        <v>830</v>
      </c>
      <c r="BY46" s="83" t="e">
        <f>VLOOKUP(BY$1,'Existing Customers'!$A:$AA,27,FALSE)</f>
        <v>#N/A</v>
      </c>
      <c r="CU46" s="101" t="s">
        <v>830</v>
      </c>
      <c r="CV46" s="83" t="e">
        <f>VLOOKUP(CV$1,'Existing Customers'!$A:$AA,27,FALSE)</f>
        <v>#N/A</v>
      </c>
      <c r="DR46" s="101" t="s">
        <v>830</v>
      </c>
      <c r="DS46" s="83" t="e">
        <f>VLOOKUP(DS$1,'Existing Customers'!$A:$AA,27,FALSE)</f>
        <v>#N/A</v>
      </c>
      <c r="EO46" s="101" t="s">
        <v>830</v>
      </c>
      <c r="EP46" s="83" t="e">
        <f>VLOOKUP(EP$1,'Existing Customers'!$A:$AA,27,FALSE)</f>
        <v>#N/A</v>
      </c>
      <c r="FL46" s="101" t="s">
        <v>830</v>
      </c>
      <c r="FM46" s="83" t="e">
        <f>VLOOKUP(FM$1,'Existing Customers'!$A:$AA,27,FALSE)</f>
        <v>#N/A</v>
      </c>
      <c r="GI46" s="101" t="s">
        <v>830</v>
      </c>
      <c r="GJ46" s="83" t="e">
        <f>VLOOKUP(GJ$1,'Existing Customers'!$A:$AA,27,FALSE)</f>
        <v>#N/A</v>
      </c>
      <c r="HF46" s="101" t="s">
        <v>830</v>
      </c>
      <c r="HG46" s="83" t="e">
        <f>VLOOKUP(HG$1,'Existing Customers'!$A:$AA,27,FALSE)</f>
        <v>#N/A</v>
      </c>
      <c r="IC46" s="101" t="s">
        <v>830</v>
      </c>
      <c r="ID46" s="83" t="e">
        <f>VLOOKUP(ID$1,'Existing Customers'!$A:$AA,27,FALSE)</f>
        <v>#N/A</v>
      </c>
      <c r="IZ46" s="101" t="s">
        <v>830</v>
      </c>
      <c r="JA46" s="83" t="e">
        <f>VLOOKUP(JA$1,'Existing Customers'!$A:$AA,27,FALSE)</f>
        <v>#N/A</v>
      </c>
    </row>
    <row r="47" spans="2:296" x14ac:dyDescent="0.25">
      <c r="R47" s="422">
        <f t="shared" si="69"/>
        <v>1</v>
      </c>
      <c r="S47" s="420" t="s">
        <v>117</v>
      </c>
      <c r="T47" s="423">
        <f>COUNTIF('Variable Costs (Back)'!$C$15:$C$24,S47)</f>
        <v>0</v>
      </c>
      <c r="Z47" s="422">
        <f t="shared" si="70"/>
        <v>2</v>
      </c>
      <c r="AA47" s="420"/>
      <c r="AB47" s="423">
        <f t="shared" si="71"/>
        <v>9</v>
      </c>
      <c r="BA47" s="101" t="s">
        <v>973</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422">
        <f t="shared" si="70"/>
        <v>2</v>
      </c>
      <c r="AA48" s="420"/>
      <c r="AB48" s="423">
        <f t="shared" si="71"/>
        <v>9</v>
      </c>
      <c r="BA48" s="101" t="s">
        <v>835</v>
      </c>
      <c r="BB48" s="83">
        <f>IFERROR(VLOOKUP(BB$1,'Existing Customers'!$A:$AA,6,FALSE),BB6)</f>
        <v>0</v>
      </c>
      <c r="BX48" s="101" t="s">
        <v>835</v>
      </c>
      <c r="BY48" s="83">
        <f>IFERROR(VLOOKUP(BY$1,'Existing Customers'!$A:$AA,6,FALSE),BY5)</f>
        <v>0</v>
      </c>
      <c r="CU48" s="101" t="s">
        <v>835</v>
      </c>
      <c r="CV48" s="83">
        <f>IFERROR(VLOOKUP(CV$1,'Existing Customers'!$A:$AA,6,FALSE),CV6)</f>
        <v>0</v>
      </c>
      <c r="DR48" s="101" t="s">
        <v>835</v>
      </c>
      <c r="DS48" s="83">
        <f>IFERROR(VLOOKUP(DS$1,'Existing Customers'!$A:$AA,6,FALSE),DS6)</f>
        <v>0</v>
      </c>
      <c r="EO48" s="101" t="s">
        <v>835</v>
      </c>
      <c r="EP48" s="83">
        <f>IFERROR(VLOOKUP(EP$1,'Existing Customers'!$A:$AA,6,FALSE),EP6)</f>
        <v>0</v>
      </c>
      <c r="FL48" s="101" t="s">
        <v>835</v>
      </c>
      <c r="FM48" s="83">
        <f>IFERROR(VLOOKUP(FM$1,'Existing Customers'!$A:$AA,6,FALSE),FM6)</f>
        <v>0</v>
      </c>
      <c r="GI48" s="101" t="s">
        <v>835</v>
      </c>
      <c r="GJ48" s="83">
        <f>IFERROR(VLOOKUP(GJ$1,'Existing Customers'!$A:$AA,6,FALSE),GJ6)</f>
        <v>0</v>
      </c>
      <c r="HF48" s="101" t="s">
        <v>835</v>
      </c>
      <c r="HG48" s="83">
        <f>IFERROR(VLOOKUP(HG$1,'Existing Customers'!$A:$AA,6,FALSE),HG6)</f>
        <v>0</v>
      </c>
      <c r="IC48" s="101" t="s">
        <v>835</v>
      </c>
      <c r="ID48" s="83">
        <f>IFERROR(VLOOKUP(ID$1,'Existing Customers'!$A:$AA,6,FALSE),ID6)</f>
        <v>0</v>
      </c>
      <c r="IZ48" s="101" t="s">
        <v>835</v>
      </c>
      <c r="JA48" s="83">
        <f>IFERROR(VLOOKUP(JA$1,'Existing Customers'!$A:$AA,6,FALSE),JA6)</f>
        <v>0</v>
      </c>
    </row>
    <row r="49" spans="18:261" ht="15.75" thickBot="1" x14ac:dyDescent="0.3">
      <c r="R49" s="424">
        <v>1</v>
      </c>
      <c r="S49" s="425" t="str">
        <f>IF(COUNTIF($T$38:$T$47,"&gt;0")&gt;1,"MULTIPLE PYRAMID SEGMENTS",VLOOKUP(R49,$R$38:$S$47,2,FALSE))</f>
        <v>Enter Customer(s)</v>
      </c>
      <c r="T49" s="426"/>
      <c r="Z49" s="422">
        <f t="shared" si="70"/>
        <v>2</v>
      </c>
      <c r="AA49" s="420"/>
      <c r="AB49" s="423">
        <f t="shared" si="71"/>
        <v>9</v>
      </c>
      <c r="BA49" s="101" t="s">
        <v>972</v>
      </c>
      <c r="BB49" s="83" t="str">
        <f>IFERROR(ROUND(VLOOKUP(BB38,'Existing Customer Variable Exp'!$B:$F,5,FALSE)/52,1),"Enter Drops &gt;")</f>
        <v>Enter Drops &gt;</v>
      </c>
      <c r="BX49" s="101" t="s">
        <v>839</v>
      </c>
      <c r="BY49" s="83" t="str">
        <f>IFERROR(ROUND(VLOOKUP(BY38,'Existing Customer Variable Exp'!$B:$F,5,FALSE)/52,1),"Enter Drops &gt;")</f>
        <v>Enter Drops &gt;</v>
      </c>
      <c r="CU49" s="101" t="s">
        <v>839</v>
      </c>
      <c r="CV49" s="83" t="str">
        <f>IFERROR(ROUND(VLOOKUP(CV38,'Existing Customer Variable Exp'!$B:$F,5,FALSE)/52,1),"Enter Drops &gt;")</f>
        <v>Enter Drops &gt;</v>
      </c>
      <c r="DR49" s="101" t="s">
        <v>839</v>
      </c>
      <c r="DS49" s="83" t="str">
        <f>IFERROR(ROUND(VLOOKUP(DS38,'Existing Customer Variable Exp'!$B:$F,5,FALSE)/52,1),"Enter Drops &gt;")</f>
        <v>Enter Drops &gt;</v>
      </c>
      <c r="EO49" s="101" t="s">
        <v>839</v>
      </c>
      <c r="EP49" s="83" t="str">
        <f>IFERROR(ROUND(VLOOKUP(EP38,'Existing Customer Variable Exp'!$B:$F,5,FALSE)/52,1),"Enter Drops &gt;")</f>
        <v>Enter Drops &gt;</v>
      </c>
      <c r="FL49" s="101" t="s">
        <v>839</v>
      </c>
      <c r="FM49" s="83" t="str">
        <f>IFERROR(ROUND(VLOOKUP(FM38,'Existing Customer Variable Exp'!$B:$F,5,FALSE)/52,1),"Enter Drops &gt;")</f>
        <v>Enter Drops &gt;</v>
      </c>
      <c r="GI49" s="101" t="s">
        <v>839</v>
      </c>
      <c r="GJ49" s="83" t="str">
        <f>IFERROR(ROUND(VLOOKUP(GJ38,'Existing Customer Variable Exp'!$B:$F,5,FALSE)/52,1),"Enter Drops &gt;")</f>
        <v>Enter Drops &gt;</v>
      </c>
      <c r="HF49" s="101" t="s">
        <v>839</v>
      </c>
      <c r="HG49" s="83" t="str">
        <f>IFERROR(ROUND(VLOOKUP(HG38,'Existing Customer Variable Exp'!$B:$F,5,FALSE)/52,1),"Enter Drops &gt;")</f>
        <v>Enter Drops &gt;</v>
      </c>
      <c r="IC49" s="101" t="s">
        <v>839</v>
      </c>
      <c r="ID49" s="83" t="str">
        <f>IFERROR(ROUND(VLOOKUP(ID38,'Existing Customer Variable Exp'!$B:$F,5,FALSE)/52,1),"Enter Drops &gt;")</f>
        <v>Enter Drops &gt;</v>
      </c>
      <c r="IZ49" s="101" t="s">
        <v>839</v>
      </c>
      <c r="JA49" s="83" t="str">
        <f>IFERROR(ROUND(VLOOKUP(JA38,'Existing Customer Variable Exp'!$B:$F,5,FALSE)/52,1),"Enter Drops &gt;")</f>
        <v>Enter Drops &gt;</v>
      </c>
    </row>
    <row r="50" spans="18:261" x14ac:dyDescent="0.25">
      <c r="W50" s="101"/>
      <c r="X50" s="126"/>
      <c r="Z50" s="422">
        <f t="shared" si="70"/>
        <v>2</v>
      </c>
      <c r="AA50" s="420"/>
      <c r="AB50" s="423">
        <f t="shared" si="71"/>
        <v>9</v>
      </c>
      <c r="BA50" s="101" t="s">
        <v>464</v>
      </c>
      <c r="BB50" s="127">
        <f>IF(BB2="Enter Spend&gt;&gt;&gt;","Enter EB % &gt;",BB$7)</f>
        <v>0</v>
      </c>
      <c r="BX50" s="101" t="s">
        <v>464</v>
      </c>
      <c r="BY50" s="127">
        <f>IF(BY2="Enter Spend&gt;&gt;&gt;","Enter EB % &gt;",BY$7)</f>
        <v>0</v>
      </c>
      <c r="CU50" s="101" t="s">
        <v>464</v>
      </c>
      <c r="CV50" s="127">
        <f>IF(CV2="Enter Spend&gt;&gt;&gt;","Enter EB % &gt;",CV$7)</f>
        <v>0</v>
      </c>
      <c r="DR50" s="101" t="s">
        <v>464</v>
      </c>
      <c r="DS50" s="127">
        <f>IF(DS2="Enter Spend&gt;&gt;&gt;","Enter EB % &gt;",DS$7)</f>
        <v>0</v>
      </c>
      <c r="EO50" s="101" t="s">
        <v>464</v>
      </c>
      <c r="EP50" s="127">
        <f>IF(EP2="Enter Spend&gt;&gt;&gt;","Enter EB % &gt;",EP$7)</f>
        <v>0</v>
      </c>
      <c r="FL50" s="101" t="s">
        <v>464</v>
      </c>
      <c r="FM50" s="127">
        <f>IF(FM2="Enter Spend&gt;&gt;&gt;","Enter EB % &gt;",FM$7)</f>
        <v>0</v>
      </c>
      <c r="GI50" s="101" t="s">
        <v>464</v>
      </c>
      <c r="GJ50" s="127">
        <f>IF(GJ2="Enter Spend&gt;&gt;&gt;","Enter EB % &gt;",GJ$7)</f>
        <v>0</v>
      </c>
      <c r="HF50" s="101" t="s">
        <v>464</v>
      </c>
      <c r="HG50" s="127">
        <f>IF(HG2="Enter Spend&gt;&gt;&gt;","Enter EB % &gt;",HG$7)</f>
        <v>0</v>
      </c>
      <c r="IC50" s="101" t="s">
        <v>464</v>
      </c>
      <c r="ID50" s="127">
        <f>IF(ID2="Enter Spend&gt;&gt;&gt;","Enter EB % &gt;",ID$7)</f>
        <v>0</v>
      </c>
      <c r="IZ50" s="101" t="s">
        <v>464</v>
      </c>
      <c r="JA50" s="127">
        <f>IF(JA2="Enter Spend&gt;&gt;&gt;","Enter EB % &gt;",JA$7)</f>
        <v>0</v>
      </c>
    </row>
    <row r="51" spans="18:261" x14ac:dyDescent="0.25">
      <c r="R51" s="998"/>
      <c r="S51" s="998"/>
      <c r="T51" s="101"/>
      <c r="W51" s="101"/>
      <c r="X51" s="126"/>
      <c r="Z51" s="422">
        <f t="shared" si="70"/>
        <v>2</v>
      </c>
      <c r="AA51" s="420"/>
      <c r="AB51" s="423">
        <f t="shared" si="71"/>
        <v>9</v>
      </c>
      <c r="BA51" s="101" t="s">
        <v>971</v>
      </c>
      <c r="BB51" s="105">
        <f>SUMIFS('Existing Customers'!$N:$N,'Existing Customers'!$A:$A,'Multi-Customer'!BB$38)</f>
        <v>0</v>
      </c>
      <c r="BX51" s="101" t="s">
        <v>965</v>
      </c>
      <c r="BY51" s="105">
        <f>SUMIFS('Existing Customers'!$N:$N,'Existing Customers'!$A:$A,'Multi-Customer'!BY$38)</f>
        <v>0</v>
      </c>
      <c r="CU51" s="101" t="s">
        <v>965</v>
      </c>
      <c r="CV51" s="105">
        <f>SUMIFS('Existing Customers'!$N:$N,'Existing Customers'!$A:$A,'Multi-Customer'!CV$38)</f>
        <v>0</v>
      </c>
      <c r="DR51" s="101" t="s">
        <v>965</v>
      </c>
      <c r="DS51" s="105">
        <f>SUMIFS('Existing Customers'!$N:$N,'Existing Customers'!$A:$A,'Multi-Customer'!DS$38)</f>
        <v>0</v>
      </c>
      <c r="EO51" s="101" t="s">
        <v>965</v>
      </c>
      <c r="EP51" s="105">
        <f>SUMIFS('Existing Customers'!$N:$N,'Existing Customers'!$A:$A,'Multi-Customer'!EP$38)</f>
        <v>0</v>
      </c>
      <c r="FL51" s="101" t="s">
        <v>965</v>
      </c>
      <c r="FM51" s="105">
        <f>SUMIFS('Existing Customers'!$N:$N,'Existing Customers'!$A:$A,'Multi-Customer'!FM$38)</f>
        <v>0</v>
      </c>
      <c r="GI51" s="101" t="s">
        <v>965</v>
      </c>
      <c r="GJ51" s="105">
        <f>SUMIFS('Existing Customers'!$N:$N,'Existing Customers'!$A:$A,'Multi-Customer'!GJ$38)</f>
        <v>0</v>
      </c>
      <c r="HF51" s="101" t="s">
        <v>965</v>
      </c>
      <c r="HG51" s="105">
        <f>SUMIFS('Existing Customers'!$N:$N,'Existing Customers'!$A:$A,'Multi-Customer'!HG$38)</f>
        <v>0</v>
      </c>
      <c r="IC51" s="101" t="s">
        <v>965</v>
      </c>
      <c r="ID51" s="105">
        <f>SUMIFS('Existing Customers'!$N:$N,'Existing Customers'!$A:$A,'Multi-Customer'!ID$38)</f>
        <v>0</v>
      </c>
      <c r="IZ51" s="101" t="s">
        <v>965</v>
      </c>
      <c r="JA51" s="105">
        <f>SUMIFS('Existing Customers'!$N:$N,'Existing Customers'!$A:$A,'Multi-Customer'!JA$38)</f>
        <v>0</v>
      </c>
    </row>
    <row r="52" spans="18:261" x14ac:dyDescent="0.25">
      <c r="R52" s="998"/>
      <c r="S52" s="998"/>
      <c r="T52" s="101"/>
      <c r="W52" s="101"/>
      <c r="X52" s="127"/>
      <c r="Z52" s="422">
        <f t="shared" si="70"/>
        <v>2</v>
      </c>
      <c r="AA52" s="420"/>
      <c r="AB52" s="423">
        <f t="shared" si="71"/>
        <v>9</v>
      </c>
      <c r="BA52" s="101" t="s">
        <v>970</v>
      </c>
      <c r="BB52" s="105">
        <f>IFERROR(VLOOKUP(BB$38,'Existing Customer Variable Exp'!$B:$F,5,FALSE),0)</f>
        <v>0</v>
      </c>
      <c r="BX52" s="101" t="s">
        <v>970</v>
      </c>
      <c r="BY52" s="105">
        <f>IFERROR(VLOOKUP(BY$38,'Existing Customer Variable Exp'!$B:$F,5,FALSE),0)</f>
        <v>0</v>
      </c>
      <c r="CU52" s="101" t="s">
        <v>970</v>
      </c>
      <c r="CV52" s="105">
        <f>IFERROR(VLOOKUP(CV$38,'Existing Customer Variable Exp'!$B:$F,5,FALSE),0)</f>
        <v>0</v>
      </c>
      <c r="DR52" s="101" t="s">
        <v>970</v>
      </c>
      <c r="DS52" s="105">
        <f>IFERROR(VLOOKUP(DS$38,'Existing Customer Variable Exp'!$B:$F,5,FALSE),0)</f>
        <v>0</v>
      </c>
      <c r="EO52" s="101" t="s">
        <v>970</v>
      </c>
      <c r="EP52" s="105">
        <f>IFERROR(VLOOKUP(EP$38,'Existing Customer Variable Exp'!$B:$F,5,FALSE),0)</f>
        <v>0</v>
      </c>
      <c r="FL52" s="101" t="s">
        <v>970</v>
      </c>
      <c r="FM52" s="105">
        <f>IFERROR(VLOOKUP(FM$38,'Existing Customer Variable Exp'!$B:$F,5,FALSE),0)</f>
        <v>0</v>
      </c>
      <c r="GI52" s="101" t="s">
        <v>970</v>
      </c>
      <c r="GJ52" s="105">
        <f>IFERROR(VLOOKUP(GJ$38,'Existing Customer Variable Exp'!$B:$F,5,FALSE),0)</f>
        <v>0</v>
      </c>
      <c r="HF52" s="101" t="s">
        <v>970</v>
      </c>
      <c r="HG52" s="105">
        <f>IFERROR(VLOOKUP(HG$38,'Existing Customer Variable Exp'!$B:$F,5,FALSE),0)</f>
        <v>0</v>
      </c>
      <c r="IC52" s="101" t="s">
        <v>970</v>
      </c>
      <c r="ID52" s="105">
        <f>IFERROR(VLOOKUP(ID$38,'Existing Customer Variable Exp'!$B:$F,5,FALSE),0)</f>
        <v>0</v>
      </c>
      <c r="IZ52" s="101" t="s">
        <v>970</v>
      </c>
      <c r="JA52" s="105">
        <f>IFERROR(VLOOKUP(JA$38,'Existing Customer Variable Exp'!$B:$F,5,FALSE),0)</f>
        <v>0</v>
      </c>
    </row>
    <row r="53" spans="18:261" x14ac:dyDescent="0.25">
      <c r="R53" s="998"/>
      <c r="S53" s="998"/>
      <c r="T53" s="998"/>
      <c r="Z53" s="422">
        <f t="shared" si="70"/>
        <v>2</v>
      </c>
      <c r="AA53" s="420"/>
      <c r="AB53" s="423">
        <f t="shared" si="71"/>
        <v>9</v>
      </c>
      <c r="BA53" s="101" t="s">
        <v>1411</v>
      </c>
      <c r="BB53" s="83">
        <f>IFERROR(VLOOKUP(BB$1,'Existing Customers'!$A:$AD,30,FALSE),BB6)</f>
        <v>0</v>
      </c>
      <c r="BC53" s="998"/>
      <c r="BD53" s="998"/>
      <c r="BE53" s="998"/>
      <c r="BF53" s="998"/>
      <c r="BG53" s="998"/>
      <c r="BU53" s="998"/>
      <c r="BV53" s="998"/>
      <c r="BX53" s="101" t="s">
        <v>1411</v>
      </c>
      <c r="BY53" s="83">
        <f>IFERROR(VLOOKUP(BY$1,'Existing Customers'!$A:$AD,30,FALSE),BY6)</f>
        <v>0</v>
      </c>
      <c r="BZ53" s="998"/>
      <c r="CA53" s="998"/>
      <c r="CB53" s="998"/>
      <c r="CC53" s="998"/>
      <c r="CD53" s="998"/>
      <c r="CR53" s="998"/>
      <c r="CS53" s="998"/>
      <c r="CU53" s="101" t="s">
        <v>1411</v>
      </c>
      <c r="CV53" s="83">
        <f>IFERROR(VLOOKUP(CV$1,'Existing Customers'!$A:$AD,30,FALSE),CV6)</f>
        <v>0</v>
      </c>
      <c r="CW53" s="998"/>
      <c r="CX53" s="998"/>
      <c r="CY53" s="998"/>
      <c r="CZ53" s="998"/>
      <c r="DA53" s="998"/>
      <c r="DO53" s="998"/>
      <c r="DP53" s="998"/>
      <c r="DR53" s="101" t="s">
        <v>1411</v>
      </c>
      <c r="DS53" s="83">
        <f>IFERROR(VLOOKUP(DS$1,'Existing Customers'!$A:$AD,30,FALSE),DS6)</f>
        <v>0</v>
      </c>
      <c r="DT53" s="998"/>
      <c r="DU53" s="998"/>
      <c r="DV53" s="998"/>
      <c r="DW53" s="998"/>
      <c r="DX53" s="998"/>
      <c r="EL53" s="998"/>
      <c r="EM53" s="998"/>
      <c r="EO53" s="101" t="s">
        <v>1411</v>
      </c>
      <c r="EP53" s="83">
        <f>IFERROR(VLOOKUP(EP$1,'Existing Customers'!$A:$AD,30,FALSE),EP6)</f>
        <v>0</v>
      </c>
      <c r="EQ53" s="998"/>
      <c r="ER53" s="998"/>
      <c r="ES53" s="998"/>
      <c r="ET53" s="998"/>
      <c r="EU53" s="998"/>
      <c r="FI53" s="998"/>
      <c r="FJ53" s="998"/>
      <c r="FL53" s="101" t="s">
        <v>1411</v>
      </c>
      <c r="FM53" s="83">
        <f>IFERROR(VLOOKUP(FM$1,'Existing Customers'!$A:$AD,30,FALSE),FM6)</f>
        <v>0</v>
      </c>
      <c r="FN53" s="998"/>
      <c r="FO53" s="998"/>
      <c r="FP53" s="998"/>
      <c r="FQ53" s="998"/>
      <c r="FR53" s="998"/>
      <c r="GF53" s="998"/>
      <c r="GG53" s="998"/>
      <c r="GI53" s="101" t="s">
        <v>1411</v>
      </c>
      <c r="GJ53" s="83">
        <f>IFERROR(VLOOKUP(GJ$1,'Existing Customers'!$A:$AD,30,FALSE),GJ6)</f>
        <v>0</v>
      </c>
      <c r="GK53" s="998"/>
      <c r="GL53" s="998"/>
      <c r="GM53" s="998"/>
      <c r="GN53" s="998"/>
      <c r="GO53" s="998"/>
      <c r="HC53" s="998"/>
      <c r="HD53" s="998"/>
      <c r="HF53" s="101" t="s">
        <v>1411</v>
      </c>
      <c r="HG53" s="83">
        <f>IFERROR(VLOOKUP(HG$1,'Existing Customers'!$A:$AD,30,FALSE),HG6)</f>
        <v>0</v>
      </c>
      <c r="HH53" s="998"/>
      <c r="HI53" s="998"/>
      <c r="HJ53" s="998"/>
      <c r="HK53" s="998"/>
      <c r="HL53" s="998"/>
      <c r="HZ53" s="998"/>
      <c r="IA53" s="998"/>
      <c r="IC53" s="101" t="s">
        <v>1411</v>
      </c>
      <c r="ID53" s="83">
        <f>IFERROR(VLOOKUP(ID$1,'Existing Customers'!$A:$AD,30,FALSE),ID6)</f>
        <v>0</v>
      </c>
      <c r="IE53" s="998"/>
      <c r="IF53" s="998"/>
      <c r="IG53" s="998"/>
      <c r="IH53" s="998"/>
      <c r="II53" s="998"/>
      <c r="IW53" s="998"/>
      <c r="IX53" s="998"/>
      <c r="IZ53" s="101" t="s">
        <v>1411</v>
      </c>
      <c r="JA53" s="83">
        <f>IFERROR(VLOOKUP(JA$1,'Existing Customers'!$A:$AD,30,FALSE),JA6)</f>
        <v>0</v>
      </c>
    </row>
    <row r="54" spans="18:261" x14ac:dyDescent="0.25">
      <c r="R54" s="998"/>
      <c r="S54" s="998"/>
      <c r="T54" s="998"/>
      <c r="Z54" s="422">
        <f t="shared" si="70"/>
        <v>2</v>
      </c>
      <c r="AA54" s="420"/>
      <c r="AB54" s="423">
        <f t="shared" si="71"/>
        <v>9</v>
      </c>
    </row>
    <row r="55" spans="18:261" x14ac:dyDescent="0.25">
      <c r="R55" s="998"/>
      <c r="S55" s="998"/>
      <c r="T55" s="998"/>
      <c r="Z55" s="422">
        <f t="shared" si="70"/>
        <v>2</v>
      </c>
      <c r="AA55" s="420"/>
      <c r="AB55" s="423">
        <f t="shared" si="71"/>
        <v>9</v>
      </c>
    </row>
    <row r="56" spans="18:261" x14ac:dyDescent="0.25">
      <c r="R56" s="998"/>
      <c r="S56" s="998"/>
      <c r="T56" s="998"/>
      <c r="Z56" s="422">
        <f t="shared" si="70"/>
        <v>2</v>
      </c>
      <c r="AA56" s="420"/>
      <c r="AB56" s="423">
        <f t="shared" si="71"/>
        <v>9</v>
      </c>
    </row>
    <row r="57" spans="18:261" x14ac:dyDescent="0.25">
      <c r="R57" s="998"/>
      <c r="S57" s="998"/>
      <c r="T57" s="998"/>
      <c r="Z57" s="422">
        <f t="shared" si="70"/>
        <v>2</v>
      </c>
      <c r="AA57" s="420"/>
      <c r="AB57" s="423">
        <f t="shared" si="71"/>
        <v>9</v>
      </c>
    </row>
    <row r="58" spans="18:261" x14ac:dyDescent="0.25">
      <c r="R58" s="998"/>
      <c r="S58" s="998"/>
      <c r="T58" s="998"/>
      <c r="Z58" s="422">
        <f t="shared" si="70"/>
        <v>2</v>
      </c>
      <c r="AA58" s="420"/>
      <c r="AB58" s="423">
        <f t="shared" si="71"/>
        <v>9</v>
      </c>
    </row>
    <row r="59" spans="18:261" x14ac:dyDescent="0.25">
      <c r="R59" s="998"/>
      <c r="S59" s="998"/>
      <c r="T59" s="998"/>
      <c r="Z59" s="422">
        <f t="shared" si="70"/>
        <v>2</v>
      </c>
      <c r="AA59" s="420"/>
      <c r="AB59" s="423">
        <f t="shared" si="71"/>
        <v>9</v>
      </c>
    </row>
    <row r="60" spans="18:261" x14ac:dyDescent="0.25">
      <c r="R60" s="998"/>
      <c r="S60" s="998"/>
      <c r="T60" s="998"/>
      <c r="Z60" s="422">
        <f t="shared" si="70"/>
        <v>2</v>
      </c>
      <c r="AA60" s="420"/>
      <c r="AB60" s="423">
        <f t="shared" si="71"/>
        <v>9</v>
      </c>
    </row>
    <row r="61" spans="18:261" x14ac:dyDescent="0.25">
      <c r="R61" s="998"/>
      <c r="S61" s="998"/>
      <c r="T61" s="998"/>
      <c r="Z61" s="422">
        <f t="shared" si="70"/>
        <v>2</v>
      </c>
      <c r="AA61" s="420"/>
      <c r="AB61" s="423">
        <f t="shared" si="71"/>
        <v>9</v>
      </c>
    </row>
    <row r="62" spans="18:261" x14ac:dyDescent="0.25">
      <c r="R62" s="998"/>
      <c r="S62" s="998"/>
      <c r="T62" s="998"/>
      <c r="Z62" s="422">
        <f t="shared" si="70"/>
        <v>2</v>
      </c>
      <c r="AA62" s="420"/>
      <c r="AB62" s="423">
        <f t="shared" si="71"/>
        <v>9</v>
      </c>
    </row>
    <row r="63" spans="18:261" x14ac:dyDescent="0.25">
      <c r="R63" s="998"/>
      <c r="S63" s="998"/>
      <c r="T63" s="998"/>
      <c r="Z63" s="422">
        <f t="shared" si="70"/>
        <v>2</v>
      </c>
      <c r="AA63" s="420"/>
      <c r="AB63" s="423">
        <f t="shared" si="71"/>
        <v>9</v>
      </c>
    </row>
    <row r="64" spans="18:261" x14ac:dyDescent="0.25">
      <c r="R64" s="998"/>
      <c r="S64" s="998"/>
      <c r="T64" s="998"/>
      <c r="Z64" s="422">
        <f t="shared" si="70"/>
        <v>2</v>
      </c>
      <c r="AA64" s="420"/>
      <c r="AB64" s="423">
        <f t="shared" si="71"/>
        <v>9</v>
      </c>
    </row>
    <row r="65" spans="18:28" x14ac:dyDescent="0.25">
      <c r="R65" s="998"/>
      <c r="S65" s="998"/>
      <c r="T65" s="998"/>
      <c r="Z65" s="422">
        <f t="shared" si="70"/>
        <v>2</v>
      </c>
      <c r="AA65" s="420"/>
      <c r="AB65" s="423">
        <f t="shared" si="71"/>
        <v>9</v>
      </c>
    </row>
    <row r="66" spans="18:28" x14ac:dyDescent="0.25">
      <c r="R66" s="998"/>
      <c r="S66" s="998"/>
      <c r="T66" s="998"/>
      <c r="Z66" s="422"/>
      <c r="AA66" s="420"/>
      <c r="AB66" s="423"/>
    </row>
    <row r="67" spans="18:28" x14ac:dyDescent="0.25">
      <c r="R67" s="998"/>
      <c r="S67" s="998"/>
      <c r="T67" s="998"/>
      <c r="Z67" s="999"/>
      <c r="AA67" s="1000"/>
      <c r="AB67" s="1001"/>
    </row>
    <row r="68" spans="18:28" x14ac:dyDescent="0.25">
      <c r="R68" s="998"/>
      <c r="S68" s="998"/>
      <c r="T68" s="998"/>
      <c r="Z68" s="999"/>
      <c r="AA68" s="1000"/>
      <c r="AB68" s="1001"/>
    </row>
    <row r="69" spans="18:28" x14ac:dyDescent="0.25">
      <c r="R69" s="998"/>
      <c r="S69" s="998"/>
      <c r="T69" s="998"/>
      <c r="Z69" s="999"/>
      <c r="AA69" s="1000"/>
      <c r="AB69" s="1001"/>
    </row>
    <row r="70" spans="18:28" x14ac:dyDescent="0.25">
      <c r="R70" s="998"/>
      <c r="S70" s="998"/>
      <c r="T70" s="998"/>
      <c r="Z70" s="999"/>
      <c r="AA70" s="1000"/>
      <c r="AB70" s="1001"/>
    </row>
    <row r="71" spans="18:28" x14ac:dyDescent="0.25">
      <c r="R71" s="998"/>
      <c r="S71" s="998"/>
      <c r="T71" s="998"/>
      <c r="Z71" s="999"/>
      <c r="AA71" s="1000"/>
      <c r="AB71" s="1001"/>
    </row>
    <row r="72" spans="18:28" x14ac:dyDescent="0.25">
      <c r="R72" s="998"/>
      <c r="S72" s="998"/>
      <c r="T72" s="998"/>
      <c r="Z72" s="999"/>
      <c r="AA72" s="1000"/>
      <c r="AB72" s="1001"/>
    </row>
    <row r="73" spans="18:28" x14ac:dyDescent="0.25">
      <c r="R73" s="998"/>
      <c r="S73" s="998"/>
      <c r="T73" s="998"/>
      <c r="Z73" s="999"/>
      <c r="AA73" s="1000"/>
      <c r="AB73" s="1001"/>
    </row>
    <row r="74" spans="18:28" x14ac:dyDescent="0.25">
      <c r="R74" s="998"/>
      <c r="S74" s="998"/>
      <c r="T74" s="998"/>
      <c r="Z74" s="999"/>
      <c r="AA74" s="1000"/>
      <c r="AB74" s="1001"/>
    </row>
    <row r="75" spans="18:28" x14ac:dyDescent="0.25">
      <c r="R75" s="998"/>
      <c r="S75" s="998"/>
      <c r="T75" s="998"/>
      <c r="Z75" s="999"/>
      <c r="AA75" s="1000"/>
      <c r="AB75" s="1001"/>
    </row>
    <row r="76" spans="18:28" ht="15.75" thickBot="1" x14ac:dyDescent="0.3">
      <c r="R76" s="998"/>
      <c r="S76" s="998"/>
      <c r="T76" s="998"/>
      <c r="Z76" s="32"/>
      <c r="AA76" s="1002"/>
      <c r="AB76" s="1004"/>
    </row>
    <row r="77" spans="18:28" x14ac:dyDescent="0.25">
      <c r="R77" s="998"/>
      <c r="S77" s="998"/>
      <c r="T77" s="998"/>
    </row>
    <row r="78" spans="18:28" x14ac:dyDescent="0.25">
      <c r="R78" s="998"/>
      <c r="S78" s="998"/>
      <c r="T78" s="998"/>
    </row>
    <row r="79" spans="18:28" x14ac:dyDescent="0.25">
      <c r="R79" s="998"/>
      <c r="S79" s="998"/>
      <c r="T79" s="998"/>
    </row>
    <row r="80" spans="18:28" x14ac:dyDescent="0.25">
      <c r="R80" s="998"/>
      <c r="S80" s="998"/>
      <c r="T80" s="998"/>
    </row>
    <row r="81" spans="18:20" x14ac:dyDescent="0.25">
      <c r="R81" s="998"/>
      <c r="S81" s="998"/>
      <c r="T81" s="998"/>
    </row>
    <row r="82" spans="18:20" x14ac:dyDescent="0.25">
      <c r="R82" s="998"/>
      <c r="S82" s="998"/>
      <c r="T82" s="998"/>
    </row>
    <row r="83" spans="18:20" x14ac:dyDescent="0.25">
      <c r="R83" s="998"/>
      <c r="S83" s="998"/>
      <c r="T83" s="998"/>
    </row>
    <row r="84" spans="18:20" x14ac:dyDescent="0.25">
      <c r="R84" s="998"/>
      <c r="S84" s="998"/>
      <c r="T84" s="998"/>
    </row>
    <row r="85" spans="18:20" x14ac:dyDescent="0.25">
      <c r="R85" s="998"/>
      <c r="S85" s="998"/>
      <c r="T85" s="998"/>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927</v>
      </c>
      <c r="AU2" s="38">
        <f>$AL$33</f>
        <v>0</v>
      </c>
      <c r="AY2" s="485" t="s">
        <v>962</v>
      </c>
      <c r="AZ2" s="257"/>
      <c r="BA2" s="257"/>
      <c r="BB2" s="257"/>
      <c r="BC2" s="257"/>
      <c r="BD2" s="257"/>
      <c r="BE2" s="257"/>
      <c r="BF2" s="257"/>
      <c r="BK2" s="485" t="s">
        <v>962</v>
      </c>
    </row>
    <row r="3" spans="1:70" x14ac:dyDescent="0.25">
      <c r="AT3" s="82" t="s">
        <v>464</v>
      </c>
      <c r="AU3" s="24">
        <f>'Customer Inputs'!$AB$16</f>
        <v>0</v>
      </c>
      <c r="AY3" s="487">
        <v>334319</v>
      </c>
      <c r="AZ3" s="486" t="s">
        <v>212</v>
      </c>
      <c r="BA3" s="51" t="s">
        <v>212</v>
      </c>
      <c r="BB3" s="479">
        <v>0.04</v>
      </c>
      <c r="BC3" s="479">
        <v>0.08</v>
      </c>
      <c r="BD3" s="479">
        <v>9.2999999999999999E-2</v>
      </c>
      <c r="BE3" s="479">
        <v>0.11</v>
      </c>
      <c r="BF3" s="480">
        <v>0.153</v>
      </c>
      <c r="BK3" s="487">
        <v>301441</v>
      </c>
      <c r="BL3" s="486" t="s">
        <v>212</v>
      </c>
      <c r="BM3" s="51" t="s">
        <v>212</v>
      </c>
      <c r="BN3" s="479">
        <v>4.5999999999999999E-2</v>
      </c>
      <c r="BO3" s="479">
        <v>8.8999999999999996E-2</v>
      </c>
      <c r="BP3" s="479">
        <v>0.107</v>
      </c>
      <c r="BQ3" s="479">
        <v>0.127</v>
      </c>
      <c r="BR3" s="479">
        <v>0.17100000000000001</v>
      </c>
    </row>
    <row r="4" spans="1:70" ht="15.75" thickBot="1" x14ac:dyDescent="0.3">
      <c r="AY4" s="488">
        <v>723899</v>
      </c>
      <c r="AZ4" s="282" t="s">
        <v>213</v>
      </c>
      <c r="BA4" s="1" t="s">
        <v>213</v>
      </c>
      <c r="BB4" s="481">
        <v>4.2000000000000003E-2</v>
      </c>
      <c r="BC4" s="481">
        <v>7.4999999999999997E-2</v>
      </c>
      <c r="BD4" s="481">
        <v>8.6999999999999994E-2</v>
      </c>
      <c r="BE4" s="481">
        <v>0.1</v>
      </c>
      <c r="BF4" s="482">
        <v>0.13600000000000001</v>
      </c>
      <c r="BK4" s="488">
        <v>684993</v>
      </c>
      <c r="BL4" s="282" t="s">
        <v>213</v>
      </c>
      <c r="BM4" s="1" t="s">
        <v>213</v>
      </c>
      <c r="BN4" s="481">
        <v>4.8000000000000001E-2</v>
      </c>
      <c r="BO4" s="481">
        <v>8.3000000000000004E-2</v>
      </c>
      <c r="BP4" s="481">
        <v>0.1</v>
      </c>
      <c r="BQ4" s="481">
        <v>0.115</v>
      </c>
      <c r="BR4" s="481">
        <v>0.152</v>
      </c>
    </row>
    <row r="5" spans="1:70" ht="15.75" thickBot="1" x14ac:dyDescent="0.3">
      <c r="AW5" s="1633" t="s">
        <v>960</v>
      </c>
      <c r="AX5" s="1634"/>
      <c r="AY5" s="488">
        <v>1757315</v>
      </c>
      <c r="AZ5" s="282" t="s">
        <v>214</v>
      </c>
      <c r="BA5" s="1" t="s">
        <v>214</v>
      </c>
      <c r="BB5" s="481">
        <v>3.2000000000000001E-2</v>
      </c>
      <c r="BC5" s="481">
        <v>6.9000000000000006E-2</v>
      </c>
      <c r="BD5" s="481">
        <v>8.2000000000000003E-2</v>
      </c>
      <c r="BE5" s="481">
        <v>9.6000000000000002E-2</v>
      </c>
      <c r="BF5" s="482">
        <v>0.13300000000000001</v>
      </c>
      <c r="BI5" s="1633" t="s">
        <v>961</v>
      </c>
      <c r="BJ5" s="1634"/>
      <c r="BK5" s="488">
        <v>1554219</v>
      </c>
      <c r="BL5" s="282" t="s">
        <v>214</v>
      </c>
      <c r="BM5" s="1" t="s">
        <v>214</v>
      </c>
      <c r="BN5" s="481">
        <v>3.6999999999999998E-2</v>
      </c>
      <c r="BO5" s="481">
        <v>7.8E-2</v>
      </c>
      <c r="BP5" s="481">
        <v>9.4E-2</v>
      </c>
      <c r="BQ5" s="481">
        <v>0.11</v>
      </c>
      <c r="BR5" s="481">
        <v>0.151</v>
      </c>
    </row>
    <row r="6" spans="1:70" ht="15.75" thickBot="1" x14ac:dyDescent="0.3">
      <c r="AW6" s="47" t="s">
        <v>494</v>
      </c>
      <c r="AX6" s="48" t="str">
        <f>IF($AU$2&lt;$AY$3,$AZ$3,IF($AU$2&lt;$AY$4,$AZ$4,IF($AU$2&lt;$AY$5,$AZ$5,IF($AU$2&lt;$AY$6,$AZ$6,$AZ$7))))</f>
        <v>Q1</v>
      </c>
      <c r="AY6" s="488">
        <v>3873056</v>
      </c>
      <c r="AZ6" s="282" t="s">
        <v>267</v>
      </c>
      <c r="BA6" s="1" t="s">
        <v>267</v>
      </c>
      <c r="BB6" s="481">
        <v>2.5000000000000001E-2</v>
      </c>
      <c r="BC6" s="481">
        <v>6.3E-2</v>
      </c>
      <c r="BD6" s="481">
        <v>7.5999999999999998E-2</v>
      </c>
      <c r="BE6" s="481">
        <v>0.09</v>
      </c>
      <c r="BF6" s="482">
        <v>0.13</v>
      </c>
      <c r="BI6" s="47" t="s">
        <v>494</v>
      </c>
      <c r="BJ6" s="48" t="str">
        <f>IF($AU$2&lt;$AY$3,$AZ$3,IF($AU$2&lt;$AY$4,$AZ$4,IF($AU$2&lt;$AY$5,$AZ$5,IF($AU$2&lt;$AY$6,$AZ$6,$AZ$7))))</f>
        <v>Q1</v>
      </c>
      <c r="BK6" s="488">
        <v>3316405</v>
      </c>
      <c r="BL6" s="282" t="s">
        <v>267</v>
      </c>
      <c r="BM6" s="1" t="s">
        <v>267</v>
      </c>
      <c r="BN6" s="481">
        <v>3.1E-2</v>
      </c>
      <c r="BO6" s="481">
        <v>7.0000000000000007E-2</v>
      </c>
      <c r="BP6" s="481">
        <v>8.6999999999999994E-2</v>
      </c>
      <c r="BQ6" s="481">
        <v>0.104</v>
      </c>
      <c r="BR6" s="481">
        <v>0.14899999999999999</v>
      </c>
    </row>
    <row r="7" spans="1:70" ht="15.75" thickBot="1" x14ac:dyDescent="0.3">
      <c r="AW7" s="47" t="s">
        <v>495</v>
      </c>
      <c r="AX7" s="49">
        <f>VLOOKUP($AX$6,$BA$3:$BF$7,3,FALSE)</f>
        <v>0.08</v>
      </c>
      <c r="AY7" s="489"/>
      <c r="AZ7" s="411" t="s">
        <v>268</v>
      </c>
      <c r="BA7" s="33" t="s">
        <v>268</v>
      </c>
      <c r="BB7" s="483">
        <v>2.5999999999999999E-2</v>
      </c>
      <c r="BC7" s="483">
        <v>5.6000000000000001E-2</v>
      </c>
      <c r="BD7" s="483">
        <v>6.8000000000000005E-2</v>
      </c>
      <c r="BE7" s="483">
        <v>8.3000000000000004E-2</v>
      </c>
      <c r="BF7" s="484">
        <v>0.114</v>
      </c>
      <c r="BI7" s="47" t="s">
        <v>495</v>
      </c>
      <c r="BJ7" s="49">
        <f>VLOOKUP($BJ$6,$BM$3:$BO$7,3,FALSE)</f>
        <v>8.8999999999999996E-2</v>
      </c>
      <c r="BK7" s="490"/>
      <c r="BL7" s="411" t="s">
        <v>268</v>
      </c>
      <c r="BM7" s="33" t="s">
        <v>268</v>
      </c>
      <c r="BN7" s="483">
        <v>0.03</v>
      </c>
      <c r="BO7" s="483">
        <v>6.4000000000000001E-2</v>
      </c>
      <c r="BP7" s="483">
        <v>7.8E-2</v>
      </c>
      <c r="BQ7" s="483">
        <v>9.5000000000000001E-2</v>
      </c>
      <c r="BR7" s="483">
        <v>0.13100000000000001</v>
      </c>
    </row>
    <row r="8" spans="1:70" x14ac:dyDescent="0.25">
      <c r="AU8" s="39"/>
    </row>
    <row r="10" spans="1:70" ht="15.75" x14ac:dyDescent="0.25">
      <c r="C10" s="458" t="s">
        <v>952</v>
      </c>
      <c r="D10" s="2" t="s">
        <v>463</v>
      </c>
      <c r="E10" s="2" t="s">
        <v>463</v>
      </c>
      <c r="F10" s="2" t="s">
        <v>463</v>
      </c>
      <c r="G10" s="2" t="s">
        <v>463</v>
      </c>
      <c r="H10" s="2" t="s">
        <v>463</v>
      </c>
      <c r="I10" s="2" t="s">
        <v>463</v>
      </c>
      <c r="J10" s="2"/>
      <c r="K10" s="2"/>
      <c r="L10" s="2"/>
      <c r="N10" s="458" t="s">
        <v>953</v>
      </c>
      <c r="O10" s="2" t="s">
        <v>463</v>
      </c>
      <c r="P10" s="2" t="s">
        <v>463</v>
      </c>
      <c r="Q10" s="2" t="s">
        <v>463</v>
      </c>
      <c r="R10" s="2" t="s">
        <v>463</v>
      </c>
      <c r="S10" s="2" t="s">
        <v>463</v>
      </c>
      <c r="T10" s="2" t="s">
        <v>463</v>
      </c>
      <c r="U10" s="2"/>
      <c r="V10" s="2"/>
      <c r="W10" s="369" t="str">
        <f>IF('Multi-Customer'!$AH$37="MULTIPLE MENU TYPES","INDEPENDENT RESTAURATEURS (PYR)",'Multi-Customer'!$AH$37)</f>
        <v>MULTIPLE TYPES</v>
      </c>
      <c r="X10" s="2"/>
      <c r="Y10" s="2"/>
      <c r="Z10" s="2"/>
      <c r="AA10" s="2"/>
      <c r="AB10" s="2"/>
      <c r="AC10" s="2"/>
      <c r="AD10" s="2" t="s">
        <v>998</v>
      </c>
      <c r="AE10" s="2"/>
      <c r="AF10" s="2"/>
      <c r="AG10" s="2"/>
      <c r="AH10" s="2"/>
      <c r="AI10" s="2"/>
      <c r="AJ10" s="2"/>
      <c r="AK10" s="458" t="s">
        <v>955</v>
      </c>
      <c r="AL10" s="40" t="s">
        <v>463</v>
      </c>
      <c r="AM10" s="40" t="s">
        <v>463</v>
      </c>
      <c r="AN10" s="40" t="s">
        <v>463</v>
      </c>
      <c r="AO10" s="40" t="s">
        <v>463</v>
      </c>
      <c r="AP10" s="40" t="s">
        <v>463</v>
      </c>
      <c r="AQ10" s="1636" t="s">
        <v>959</v>
      </c>
      <c r="AR10" s="1636"/>
      <c r="AW10" s="1635" t="s">
        <v>957</v>
      </c>
      <c r="AX10" s="1635"/>
      <c r="AY10" s="1635"/>
      <c r="AZ10" s="1635"/>
      <c r="BA10" s="1635"/>
      <c r="BD10" s="1635" t="s">
        <v>958</v>
      </c>
      <c r="BE10" s="1635"/>
      <c r="BF10" s="1635"/>
      <c r="BG10" s="1635"/>
      <c r="BH10" s="1635"/>
    </row>
    <row r="11" spans="1:70" x14ac:dyDescent="0.25">
      <c r="A11" s="2" t="s">
        <v>905</v>
      </c>
      <c r="C11" t="s">
        <v>254</v>
      </c>
      <c r="D11" s="2" t="s">
        <v>397</v>
      </c>
      <c r="E11" s="2" t="s">
        <v>83</v>
      </c>
      <c r="F11" s="2" t="s">
        <v>398</v>
      </c>
      <c r="G11" s="2" t="s">
        <v>501</v>
      </c>
      <c r="H11" s="2" t="s">
        <v>504</v>
      </c>
      <c r="I11" s="2" t="s">
        <v>502</v>
      </c>
      <c r="J11" s="2"/>
      <c r="K11" s="2"/>
      <c r="L11" s="2" t="s">
        <v>905</v>
      </c>
      <c r="N11" s="2" t="s">
        <v>254</v>
      </c>
      <c r="O11" s="2" t="s">
        <v>397</v>
      </c>
      <c r="P11" s="2" t="s">
        <v>83</v>
      </c>
      <c r="Q11" s="2" t="s">
        <v>398</v>
      </c>
      <c r="R11" s="2" t="s">
        <v>501</v>
      </c>
      <c r="S11" s="2" t="s">
        <v>504</v>
      </c>
      <c r="T11" s="2" t="s">
        <v>502</v>
      </c>
      <c r="U11" s="2"/>
      <c r="V11" s="2" t="s">
        <v>992</v>
      </c>
      <c r="W11" s="2" t="s">
        <v>993</v>
      </c>
      <c r="X11" s="2" t="s">
        <v>994</v>
      </c>
      <c r="Y11" s="2"/>
      <c r="Z11" s="2"/>
      <c r="AA11" s="2" t="s">
        <v>954</v>
      </c>
      <c r="AB11" s="2" t="s">
        <v>997</v>
      </c>
      <c r="AC11" s="2" t="s">
        <v>995</v>
      </c>
      <c r="AD11" s="2" t="s">
        <v>996</v>
      </c>
      <c r="AE11" s="2"/>
      <c r="AF11" s="2" t="s">
        <v>954</v>
      </c>
      <c r="AG11" s="2"/>
      <c r="AH11" s="2"/>
      <c r="AI11" s="2"/>
      <c r="AJ11" s="2"/>
      <c r="AK11" s="40" t="s">
        <v>254</v>
      </c>
      <c r="AL11" s="40" t="s">
        <v>397</v>
      </c>
      <c r="AM11" s="40" t="s">
        <v>83</v>
      </c>
      <c r="AN11" s="40" t="s">
        <v>501</v>
      </c>
      <c r="AO11" s="40" t="s">
        <v>504</v>
      </c>
      <c r="AP11" s="40" t="s">
        <v>502</v>
      </c>
      <c r="AQ11" s="471" t="s">
        <v>374</v>
      </c>
      <c r="AR11" s="471" t="s">
        <v>991</v>
      </c>
      <c r="AV11" s="2"/>
      <c r="AW11" s="52" t="s">
        <v>254</v>
      </c>
      <c r="AX11" s="15" t="s">
        <v>212</v>
      </c>
      <c r="AY11" s="15" t="s">
        <v>213</v>
      </c>
      <c r="AZ11" s="15" t="s">
        <v>214</v>
      </c>
      <c r="BA11" s="15" t="s">
        <v>267</v>
      </c>
      <c r="BC11" s="2"/>
      <c r="BD11" s="52" t="s">
        <v>254</v>
      </c>
      <c r="BE11" s="15" t="s">
        <v>212</v>
      </c>
      <c r="BF11" s="15" t="s">
        <v>213</v>
      </c>
      <c r="BG11" s="15" t="s">
        <v>214</v>
      </c>
      <c r="BH11" s="15" t="s">
        <v>267</v>
      </c>
      <c r="BO11" s="54"/>
    </row>
    <row r="12" spans="1:70" x14ac:dyDescent="0.25">
      <c r="A12">
        <f>IFERROR(D12/$D$33,0)</f>
        <v>0</v>
      </c>
      <c r="B12">
        <v>3</v>
      </c>
      <c r="C12" t="s">
        <v>99</v>
      </c>
      <c r="D12" s="25">
        <f>'Multi-Customer'!C14</f>
        <v>0</v>
      </c>
      <c r="E12">
        <f>'Multi-Customer'!D14</f>
        <v>0</v>
      </c>
      <c r="F12">
        <f>'Multi-Customer'!E14</f>
        <v>0</v>
      </c>
      <c r="G12" s="319">
        <f>'Multi-Customer'!F14</f>
        <v>0</v>
      </c>
      <c r="H12" s="19">
        <f>IFERROR(D12/E12,0)</f>
        <v>0</v>
      </c>
      <c r="I12" s="19">
        <f>IFERROR(D12/G12,0)</f>
        <v>0</v>
      </c>
      <c r="J12" s="319"/>
      <c r="K12" s="319" t="str">
        <f>'PIM Model'!E10</f>
        <v>INCLUDE</v>
      </c>
      <c r="L12" s="319">
        <f>IFERROR(IF($K12="Exclude",0,$A12),0)</f>
        <v>0</v>
      </c>
      <c r="M12">
        <v>3</v>
      </c>
      <c r="N12" s="319" t="s">
        <v>99</v>
      </c>
      <c r="O12" s="319">
        <f>IFERROR(IF($K12="Exclude",0,D12/$L$33),0)</f>
        <v>0</v>
      </c>
      <c r="P12" s="319">
        <f t="shared" ref="P12:P31" si="0">IFERROR(IF($K12="Exclude",0,E12/$L$33),0)</f>
        <v>0</v>
      </c>
      <c r="Q12" s="319">
        <f>IFERROR(IF($K12="Exclude",0,F12/$L$33),0)</f>
        <v>0</v>
      </c>
      <c r="R12" s="319">
        <f t="shared" ref="R12:R31" si="1">IFERROR(IF($K12="Exclude",0,G12/$L$33),0)</f>
        <v>0</v>
      </c>
      <c r="S12" s="319">
        <f>IFERROR(O12/P12,0)</f>
        <v>0</v>
      </c>
      <c r="T12" s="19">
        <f>IFERROR(O12/R12,0)</f>
        <v>0</v>
      </c>
      <c r="U12" s="19"/>
      <c r="V12" s="2">
        <f>'PIM Model'!$C$10</f>
        <v>0</v>
      </c>
      <c r="W12" s="598">
        <f>IFERROR('Multi-Customer'!M14,0)</f>
        <v>0</v>
      </c>
      <c r="X12" s="19">
        <f t="shared" ref="X12:X31" si="2">IFERROR($W12*$Z$33,0)</f>
        <v>0</v>
      </c>
      <c r="Y12" s="319">
        <f>IFERROR(IF(V12="AVG",X12,O12),0)</f>
        <v>0</v>
      </c>
      <c r="Z12" s="319">
        <f>IFERROR(IF($V12="AVG",0,$Y12),0)</f>
        <v>0</v>
      </c>
      <c r="AA12" s="319">
        <f>IFERROR(IF($V12="AVG",IF($O12=0,$Y12,$Y12-$O12),0),0)</f>
        <v>0</v>
      </c>
      <c r="AB12" s="599">
        <f>IFERROR($X12/$X$33,0)</f>
        <v>0</v>
      </c>
      <c r="AC12" s="599">
        <f t="shared" ref="AC12:AC31" si="3">IFERROR(IF($AA12=0,AB12,0),0)</f>
        <v>0</v>
      </c>
      <c r="AD12" s="319">
        <f>IFERROR(IF($AA12=0,$O12-($AA$33*($AC12/$AC$33)),$Y12),0)</f>
        <v>0</v>
      </c>
      <c r="AE12" s="319"/>
      <c r="AF12" s="319">
        <f t="shared" ref="AF12:AF31" si="4">IFERROR(AD12*(1+$AG12)-AD12,0)</f>
        <v>0</v>
      </c>
      <c r="AG12" s="39">
        <f>'PIM Model'!B10</f>
        <v>0</v>
      </c>
      <c r="AH12" s="459">
        <f t="shared" ref="AH12:AH32" si="5">L12*(1+AG12)</f>
        <v>0</v>
      </c>
      <c r="AI12" s="459">
        <f>IFERROR(IF(AF12=0,AH12,0),0)</f>
        <v>0</v>
      </c>
      <c r="AJ12">
        <v>3</v>
      </c>
      <c r="AK12" s="460" t="s">
        <v>99</v>
      </c>
      <c r="AL12" s="460">
        <f t="shared" ref="AL12:AL31" si="6">IFERROR(IF($AG12=0,$AD12-($AF$33*($AI12/$AI$33)),$AD12+$AF12),0)</f>
        <v>0</v>
      </c>
      <c r="AM12" s="460">
        <f t="shared" ref="AM12:AM32" si="7">IFERROR($AL12/AO12,0)</f>
        <v>0</v>
      </c>
      <c r="AN12" s="460">
        <f t="shared" ref="AN12:AN32" si="8">IFERROR($AL12/AP12,0)</f>
        <v>0</v>
      </c>
      <c r="AO12" s="461">
        <f t="shared" ref="AO12:AO32" si="9">S12</f>
        <v>0</v>
      </c>
      <c r="AP12" s="461">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91"/>
      <c r="AW12" s="52" t="s">
        <v>99</v>
      </c>
      <c r="AX12" s="492">
        <v>6992</v>
      </c>
      <c r="AY12" s="492">
        <v>18976</v>
      </c>
      <c r="AZ12" s="492">
        <v>35942</v>
      </c>
      <c r="BA12" s="492">
        <v>79246</v>
      </c>
      <c r="BC12" s="2"/>
      <c r="BD12" s="52" t="s">
        <v>99</v>
      </c>
      <c r="BE12" s="492">
        <v>13830</v>
      </c>
      <c r="BF12" s="492">
        <v>40121</v>
      </c>
      <c r="BG12" s="492">
        <v>106847</v>
      </c>
      <c r="BH12" s="492">
        <v>246211</v>
      </c>
    </row>
    <row r="13" spans="1:70" x14ac:dyDescent="0.25">
      <c r="A13" s="1141">
        <f t="shared" ref="A13:A33" si="12">IFERROR(D13/$D$33,0)</f>
        <v>0</v>
      </c>
      <c r="B13">
        <v>4</v>
      </c>
      <c r="C13" t="s">
        <v>103</v>
      </c>
      <c r="D13" s="25">
        <f>'Multi-Customer'!C15</f>
        <v>0</v>
      </c>
      <c r="E13">
        <f>'Multi-Customer'!D15</f>
        <v>0</v>
      </c>
      <c r="F13">
        <f>'Multi-Customer'!E15</f>
        <v>0</v>
      </c>
      <c r="G13" s="319">
        <f>'Multi-Customer'!F15</f>
        <v>0</v>
      </c>
      <c r="H13" s="19">
        <f t="shared" ref="H13:H32" si="13">IFERROR(D13/E13,0)</f>
        <v>0</v>
      </c>
      <c r="I13" s="19">
        <f t="shared" ref="I13:I32" si="14">IFERROR(D13/G13,0)</f>
        <v>0</v>
      </c>
      <c r="J13" s="319"/>
      <c r="K13" s="319" t="str">
        <f>'PIM Model'!E11</f>
        <v>INCLUDE</v>
      </c>
      <c r="L13" s="319">
        <f t="shared" ref="L13:L32" si="15">IFERROR(IF($K13="Exclude",0,$A13),0)</f>
        <v>0</v>
      </c>
      <c r="M13">
        <v>4</v>
      </c>
      <c r="N13" s="319" t="s">
        <v>103</v>
      </c>
      <c r="O13" s="319">
        <f t="shared" ref="O13:O32" si="16">IFERROR(IF($K13="Exclude",0,D13/$L$33),0)</f>
        <v>0</v>
      </c>
      <c r="P13" s="319">
        <f t="shared" si="0"/>
        <v>0</v>
      </c>
      <c r="Q13" s="319">
        <f t="shared" ref="Q13:Q32" si="17">IFERROR(IF($K13="Exclude",0,F13/$L$33),0)</f>
        <v>0</v>
      </c>
      <c r="R13" s="319">
        <f t="shared" si="1"/>
        <v>0</v>
      </c>
      <c r="S13" s="319">
        <f t="shared" ref="S13:S32" si="18">IFERROR(O13/P13,0)</f>
        <v>0</v>
      </c>
      <c r="T13" s="19">
        <f t="shared" ref="T13:T32" si="19">IFERROR(O13/R13,0)</f>
        <v>0</v>
      </c>
      <c r="U13" s="19"/>
      <c r="V13" s="2">
        <f>'PIM Model'!$C$11</f>
        <v>0</v>
      </c>
      <c r="W13" s="598">
        <f>IFERROR('Multi-Customer'!M15,0)</f>
        <v>0</v>
      </c>
      <c r="X13" s="19">
        <f t="shared" si="2"/>
        <v>0</v>
      </c>
      <c r="Y13" s="319">
        <f t="shared" ref="Y13:Y32" si="20">IFERROR(IF(V13="AVG",X13,O13),0)</f>
        <v>0</v>
      </c>
      <c r="Z13" s="319">
        <f t="shared" ref="Z13:Z32" si="21">IFERROR(IF($V13="AVG",0,$Y13),0)</f>
        <v>0</v>
      </c>
      <c r="AA13" s="319">
        <f t="shared" ref="AA13:AA32" si="22">IFERROR(IF($V13="AVG",IF($O13=0,$Y13,$Y13-$O13),0),0)</f>
        <v>0</v>
      </c>
      <c r="AB13" s="599">
        <f t="shared" ref="AB13:AB32" si="23">IFERROR($X13/$X$33,0)</f>
        <v>0</v>
      </c>
      <c r="AC13" s="599">
        <f t="shared" si="3"/>
        <v>0</v>
      </c>
      <c r="AD13" s="319">
        <f t="shared" ref="AD13:AD32" si="24">IFERROR(IF($AA13=0,$O13-($AA$33*($AC13/$AC$33)),$Y13),0)</f>
        <v>0</v>
      </c>
      <c r="AE13" s="319"/>
      <c r="AF13" s="319">
        <f t="shared" si="4"/>
        <v>0</v>
      </c>
      <c r="AG13" s="39">
        <f>'PIM Model'!B11</f>
        <v>0</v>
      </c>
      <c r="AH13" s="459">
        <f t="shared" si="5"/>
        <v>0</v>
      </c>
      <c r="AI13" s="459">
        <f t="shared" ref="AI13:AI32" si="25">IFERROR(IF(AF13=0,AH13,0),0)</f>
        <v>0</v>
      </c>
      <c r="AJ13">
        <v>4</v>
      </c>
      <c r="AK13" s="460" t="s">
        <v>103</v>
      </c>
      <c r="AL13" s="460">
        <f t="shared" si="6"/>
        <v>0</v>
      </c>
      <c r="AM13" s="460">
        <f t="shared" si="7"/>
        <v>0</v>
      </c>
      <c r="AN13" s="460">
        <f t="shared" si="8"/>
        <v>0</v>
      </c>
      <c r="AO13" s="461">
        <f>S13</f>
        <v>0</v>
      </c>
      <c r="AP13" s="461">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91"/>
      <c r="AW13" s="56" t="s">
        <v>103</v>
      </c>
      <c r="AX13" s="492">
        <v>9726</v>
      </c>
      <c r="AY13" s="492">
        <v>36145</v>
      </c>
      <c r="AZ13" s="492">
        <v>112255</v>
      </c>
      <c r="BA13" s="492">
        <v>235495</v>
      </c>
      <c r="BD13" s="56" t="s">
        <v>103</v>
      </c>
      <c r="BE13" s="492">
        <v>10238</v>
      </c>
      <c r="BF13" s="492">
        <v>41074</v>
      </c>
      <c r="BG13" s="492">
        <v>127563</v>
      </c>
      <c r="BH13" s="492">
        <v>301917</v>
      </c>
    </row>
    <row r="14" spans="1:70" x14ac:dyDescent="0.25">
      <c r="A14" s="1141">
        <f t="shared" si="12"/>
        <v>0</v>
      </c>
      <c r="B14">
        <v>5</v>
      </c>
      <c r="C14" t="s">
        <v>1389</v>
      </c>
      <c r="D14" s="25">
        <f>'Multi-Customer'!C16</f>
        <v>0</v>
      </c>
      <c r="E14">
        <f>'Multi-Customer'!D16</f>
        <v>0</v>
      </c>
      <c r="F14">
        <f>'Multi-Customer'!E16</f>
        <v>0</v>
      </c>
      <c r="G14" s="319">
        <f>'Multi-Customer'!F16</f>
        <v>0</v>
      </c>
      <c r="H14" s="19">
        <f t="shared" si="13"/>
        <v>0</v>
      </c>
      <c r="I14" s="19">
        <f t="shared" si="14"/>
        <v>0</v>
      </c>
      <c r="J14" s="319"/>
      <c r="K14" s="319" t="str">
        <f>'PIM Model'!E12</f>
        <v>INCLUDE</v>
      </c>
      <c r="L14" s="319">
        <f t="shared" si="15"/>
        <v>0</v>
      </c>
      <c r="M14">
        <v>5</v>
      </c>
      <c r="N14" s="319" t="s">
        <v>1389</v>
      </c>
      <c r="O14" s="319">
        <f t="shared" si="16"/>
        <v>0</v>
      </c>
      <c r="P14" s="319">
        <f t="shared" si="0"/>
        <v>0</v>
      </c>
      <c r="Q14" s="319">
        <f t="shared" si="17"/>
        <v>0</v>
      </c>
      <c r="R14" s="319">
        <f t="shared" si="1"/>
        <v>0</v>
      </c>
      <c r="S14" s="319">
        <f t="shared" si="18"/>
        <v>0</v>
      </c>
      <c r="T14" s="19">
        <f t="shared" si="19"/>
        <v>0</v>
      </c>
      <c r="U14" s="19"/>
      <c r="V14" s="2">
        <f>'PIM Model'!$C$12</f>
        <v>0</v>
      </c>
      <c r="W14" s="598">
        <f>IFERROR('Multi-Customer'!M16,0)</f>
        <v>0</v>
      </c>
      <c r="X14" s="19">
        <f t="shared" si="2"/>
        <v>0</v>
      </c>
      <c r="Y14" s="319">
        <f t="shared" si="20"/>
        <v>0</v>
      </c>
      <c r="Z14" s="319">
        <f t="shared" si="21"/>
        <v>0</v>
      </c>
      <c r="AA14" s="319">
        <f t="shared" si="22"/>
        <v>0</v>
      </c>
      <c r="AB14" s="599">
        <f t="shared" si="23"/>
        <v>0</v>
      </c>
      <c r="AC14" s="599">
        <f t="shared" si="3"/>
        <v>0</v>
      </c>
      <c r="AD14" s="319">
        <f t="shared" si="24"/>
        <v>0</v>
      </c>
      <c r="AE14" s="319"/>
      <c r="AF14" s="319">
        <f t="shared" si="4"/>
        <v>0</v>
      </c>
      <c r="AG14" s="39">
        <f>'PIM Model'!B12</f>
        <v>0</v>
      </c>
      <c r="AH14" s="459">
        <f t="shared" si="5"/>
        <v>0</v>
      </c>
      <c r="AI14" s="459">
        <f t="shared" si="25"/>
        <v>0</v>
      </c>
      <c r="AJ14">
        <v>5</v>
      </c>
      <c r="AK14" s="460" t="s">
        <v>1389</v>
      </c>
      <c r="AL14" s="460">
        <f t="shared" si="6"/>
        <v>0</v>
      </c>
      <c r="AM14" s="460">
        <f t="shared" si="7"/>
        <v>0</v>
      </c>
      <c r="AN14" s="460">
        <f t="shared" si="8"/>
        <v>0</v>
      </c>
      <c r="AO14" s="461">
        <f t="shared" si="9"/>
        <v>0</v>
      </c>
      <c r="AP14" s="461">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91"/>
      <c r="AW14" s="56" t="s">
        <v>1389</v>
      </c>
      <c r="AX14" s="492">
        <v>7627</v>
      </c>
      <c r="AY14" s="492">
        <v>25048</v>
      </c>
      <c r="AZ14" s="492">
        <v>65918</v>
      </c>
      <c r="BA14" s="492">
        <v>149490</v>
      </c>
      <c r="BD14" s="56" t="s">
        <v>1389</v>
      </c>
      <c r="BE14" s="492">
        <v>8381</v>
      </c>
      <c r="BF14" s="492">
        <v>27692</v>
      </c>
      <c r="BG14" s="492">
        <v>73242</v>
      </c>
      <c r="BH14" s="492">
        <v>169875</v>
      </c>
    </row>
    <row r="15" spans="1:70" x14ac:dyDescent="0.25">
      <c r="A15" s="1141">
        <f t="shared" si="12"/>
        <v>0</v>
      </c>
      <c r="B15">
        <v>6</v>
      </c>
      <c r="C15" t="s">
        <v>102</v>
      </c>
      <c r="D15" s="25">
        <f>'Multi-Customer'!C17</f>
        <v>0</v>
      </c>
      <c r="E15">
        <f>'Multi-Customer'!D17</f>
        <v>0</v>
      </c>
      <c r="F15">
        <f>'Multi-Customer'!E17</f>
        <v>0</v>
      </c>
      <c r="G15" s="319">
        <f>'Multi-Customer'!F17</f>
        <v>0</v>
      </c>
      <c r="H15" s="19">
        <f t="shared" si="13"/>
        <v>0</v>
      </c>
      <c r="I15" s="19">
        <f t="shared" si="14"/>
        <v>0</v>
      </c>
      <c r="J15" s="319"/>
      <c r="K15" s="319" t="str">
        <f>'PIM Model'!E13</f>
        <v>INCLUDE</v>
      </c>
      <c r="L15" s="319">
        <f t="shared" si="15"/>
        <v>0</v>
      </c>
      <c r="M15">
        <v>6</v>
      </c>
      <c r="N15" s="319" t="s">
        <v>102</v>
      </c>
      <c r="O15" s="319">
        <f t="shared" si="16"/>
        <v>0</v>
      </c>
      <c r="P15" s="319">
        <f t="shared" si="0"/>
        <v>0</v>
      </c>
      <c r="Q15" s="319">
        <f t="shared" si="17"/>
        <v>0</v>
      </c>
      <c r="R15" s="319">
        <f t="shared" si="1"/>
        <v>0</v>
      </c>
      <c r="S15" s="319">
        <f t="shared" si="18"/>
        <v>0</v>
      </c>
      <c r="T15" s="19">
        <f t="shared" si="19"/>
        <v>0</v>
      </c>
      <c r="U15" s="19"/>
      <c r="V15" s="2">
        <f>'PIM Model'!$C$13</f>
        <v>0</v>
      </c>
      <c r="W15" s="598">
        <f>IFERROR('Multi-Customer'!M17,0)</f>
        <v>0</v>
      </c>
      <c r="X15" s="19">
        <f t="shared" si="2"/>
        <v>0</v>
      </c>
      <c r="Y15" s="319">
        <f t="shared" si="20"/>
        <v>0</v>
      </c>
      <c r="Z15" s="319">
        <f t="shared" si="21"/>
        <v>0</v>
      </c>
      <c r="AA15" s="319">
        <f t="shared" si="22"/>
        <v>0</v>
      </c>
      <c r="AB15" s="599">
        <f t="shared" si="23"/>
        <v>0</v>
      </c>
      <c r="AC15" s="599">
        <f t="shared" si="3"/>
        <v>0</v>
      </c>
      <c r="AD15" s="319">
        <f t="shared" si="24"/>
        <v>0</v>
      </c>
      <c r="AE15" s="319"/>
      <c r="AF15" s="319">
        <f t="shared" si="4"/>
        <v>0</v>
      </c>
      <c r="AG15" s="39">
        <f>'PIM Model'!B13</f>
        <v>0</v>
      </c>
      <c r="AH15" s="459">
        <f t="shared" si="5"/>
        <v>0</v>
      </c>
      <c r="AI15" s="459">
        <f t="shared" si="25"/>
        <v>0</v>
      </c>
      <c r="AJ15">
        <v>6</v>
      </c>
      <c r="AK15" s="460" t="s">
        <v>102</v>
      </c>
      <c r="AL15" s="460">
        <f t="shared" si="6"/>
        <v>0</v>
      </c>
      <c r="AM15" s="460">
        <f t="shared" si="7"/>
        <v>0</v>
      </c>
      <c r="AN15" s="460">
        <f t="shared" si="8"/>
        <v>0</v>
      </c>
      <c r="AO15" s="461">
        <f t="shared" si="9"/>
        <v>0</v>
      </c>
      <c r="AP15" s="461">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91"/>
      <c r="AW15" s="52" t="s">
        <v>102</v>
      </c>
      <c r="AX15" s="492">
        <v>2926</v>
      </c>
      <c r="AY15" s="492">
        <v>7075</v>
      </c>
      <c r="AZ15" s="492">
        <v>14145</v>
      </c>
      <c r="BA15" s="492">
        <v>30916</v>
      </c>
      <c r="BD15" s="52" t="s">
        <v>102</v>
      </c>
      <c r="BE15" s="492">
        <v>5828</v>
      </c>
      <c r="BF15" s="492">
        <v>18598</v>
      </c>
      <c r="BG15" s="492">
        <v>52273</v>
      </c>
      <c r="BH15" s="492">
        <v>121106</v>
      </c>
    </row>
    <row r="16" spans="1:70" x14ac:dyDescent="0.25">
      <c r="A16" s="1141">
        <f t="shared" si="12"/>
        <v>0</v>
      </c>
      <c r="B16">
        <v>7</v>
      </c>
      <c r="C16" t="s">
        <v>100</v>
      </c>
      <c r="D16" s="25">
        <f>'Multi-Customer'!C18</f>
        <v>0</v>
      </c>
      <c r="E16">
        <f>'Multi-Customer'!D18</f>
        <v>0</v>
      </c>
      <c r="F16">
        <f>'Multi-Customer'!E18</f>
        <v>0</v>
      </c>
      <c r="G16" s="319">
        <f>'Multi-Customer'!F18</f>
        <v>0</v>
      </c>
      <c r="H16" s="19">
        <f t="shared" si="13"/>
        <v>0</v>
      </c>
      <c r="I16" s="19">
        <f t="shared" si="14"/>
        <v>0</v>
      </c>
      <c r="J16" s="319"/>
      <c r="K16" s="319" t="str">
        <f>'PIM Model'!E14</f>
        <v>INCLUDE</v>
      </c>
      <c r="L16" s="319">
        <f t="shared" si="15"/>
        <v>0</v>
      </c>
      <c r="M16">
        <v>7</v>
      </c>
      <c r="N16" s="319" t="s">
        <v>100</v>
      </c>
      <c r="O16" s="319">
        <f t="shared" si="16"/>
        <v>0</v>
      </c>
      <c r="P16" s="319">
        <f t="shared" si="0"/>
        <v>0</v>
      </c>
      <c r="Q16" s="319">
        <f t="shared" si="17"/>
        <v>0</v>
      </c>
      <c r="R16" s="319">
        <f t="shared" si="1"/>
        <v>0</v>
      </c>
      <c r="S16" s="319">
        <f t="shared" si="18"/>
        <v>0</v>
      </c>
      <c r="T16" s="19">
        <f t="shared" si="19"/>
        <v>0</v>
      </c>
      <c r="U16" s="19"/>
      <c r="V16" s="2">
        <f>'PIM Model'!$C$14</f>
        <v>0</v>
      </c>
      <c r="W16" s="598">
        <f>IFERROR('Multi-Customer'!M18,0)</f>
        <v>0</v>
      </c>
      <c r="X16" s="19">
        <f t="shared" si="2"/>
        <v>0</v>
      </c>
      <c r="Y16" s="319">
        <f t="shared" si="20"/>
        <v>0</v>
      </c>
      <c r="Z16" s="319">
        <f t="shared" si="21"/>
        <v>0</v>
      </c>
      <c r="AA16" s="319">
        <f t="shared" si="22"/>
        <v>0</v>
      </c>
      <c r="AB16" s="599">
        <f t="shared" si="23"/>
        <v>0</v>
      </c>
      <c r="AC16" s="599">
        <f t="shared" si="3"/>
        <v>0</v>
      </c>
      <c r="AD16" s="319">
        <f t="shared" si="24"/>
        <v>0</v>
      </c>
      <c r="AE16" s="319"/>
      <c r="AF16" s="319">
        <f t="shared" si="4"/>
        <v>0</v>
      </c>
      <c r="AG16" s="39">
        <f>'PIM Model'!B14</f>
        <v>0</v>
      </c>
      <c r="AH16" s="459">
        <f t="shared" si="5"/>
        <v>0</v>
      </c>
      <c r="AI16" s="459">
        <f t="shared" si="25"/>
        <v>0</v>
      </c>
      <c r="AJ16">
        <v>7</v>
      </c>
      <c r="AK16" s="460" t="s">
        <v>100</v>
      </c>
      <c r="AL16" s="460">
        <f t="shared" si="6"/>
        <v>0</v>
      </c>
      <c r="AM16" s="460">
        <f t="shared" si="7"/>
        <v>0</v>
      </c>
      <c r="AN16" s="460">
        <f t="shared" si="8"/>
        <v>0</v>
      </c>
      <c r="AO16" s="461">
        <f t="shared" si="9"/>
        <v>0</v>
      </c>
      <c r="AP16" s="461">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91"/>
      <c r="AW16" s="52" t="s">
        <v>100</v>
      </c>
      <c r="AX16" s="492">
        <v>9661</v>
      </c>
      <c r="AY16" s="492">
        <v>18992</v>
      </c>
      <c r="AZ16" s="492">
        <v>36524</v>
      </c>
      <c r="BA16" s="492">
        <v>76773</v>
      </c>
      <c r="BD16" s="52" t="s">
        <v>100</v>
      </c>
      <c r="BE16" s="492">
        <v>14922</v>
      </c>
      <c r="BF16" s="492">
        <v>36880</v>
      </c>
      <c r="BG16" s="492">
        <v>97878</v>
      </c>
      <c r="BH16" s="492">
        <v>221341</v>
      </c>
    </row>
    <row r="17" spans="1:60" x14ac:dyDescent="0.25">
      <c r="A17" s="1141">
        <f t="shared" si="12"/>
        <v>0</v>
      </c>
      <c r="B17">
        <v>8</v>
      </c>
      <c r="C17" t="s">
        <v>104</v>
      </c>
      <c r="D17" s="25">
        <f>'Multi-Customer'!C19</f>
        <v>0</v>
      </c>
      <c r="E17">
        <f>'Multi-Customer'!D19</f>
        <v>0</v>
      </c>
      <c r="F17">
        <f>'Multi-Customer'!E19</f>
        <v>0</v>
      </c>
      <c r="G17" s="319">
        <f>'Multi-Customer'!F19</f>
        <v>0</v>
      </c>
      <c r="H17" s="19">
        <f t="shared" si="13"/>
        <v>0</v>
      </c>
      <c r="I17" s="19">
        <f t="shared" si="14"/>
        <v>0</v>
      </c>
      <c r="J17" s="319"/>
      <c r="K17" s="319" t="str">
        <f>'PIM Model'!E15</f>
        <v>INCLUDE</v>
      </c>
      <c r="L17" s="319">
        <f t="shared" si="15"/>
        <v>0</v>
      </c>
      <c r="M17">
        <v>8</v>
      </c>
      <c r="N17" s="319" t="s">
        <v>104</v>
      </c>
      <c r="O17" s="319">
        <f t="shared" si="16"/>
        <v>0</v>
      </c>
      <c r="P17" s="319">
        <f t="shared" si="0"/>
        <v>0</v>
      </c>
      <c r="Q17" s="319">
        <f t="shared" si="17"/>
        <v>0</v>
      </c>
      <c r="R17" s="319">
        <f t="shared" si="1"/>
        <v>0</v>
      </c>
      <c r="S17" s="319">
        <f t="shared" si="18"/>
        <v>0</v>
      </c>
      <c r="T17" s="19">
        <f t="shared" si="19"/>
        <v>0</v>
      </c>
      <c r="U17" s="19"/>
      <c r="V17" s="2">
        <f>'PIM Model'!$C$15</f>
        <v>0</v>
      </c>
      <c r="W17" s="598">
        <f>IFERROR('Multi-Customer'!M19,0)</f>
        <v>0</v>
      </c>
      <c r="X17" s="19">
        <f t="shared" si="2"/>
        <v>0</v>
      </c>
      <c r="Y17" s="319">
        <f t="shared" si="20"/>
        <v>0</v>
      </c>
      <c r="Z17" s="319">
        <f t="shared" si="21"/>
        <v>0</v>
      </c>
      <c r="AA17" s="319">
        <f t="shared" si="22"/>
        <v>0</v>
      </c>
      <c r="AB17" s="599">
        <f t="shared" si="23"/>
        <v>0</v>
      </c>
      <c r="AC17" s="599">
        <f t="shared" si="3"/>
        <v>0</v>
      </c>
      <c r="AD17" s="319">
        <f t="shared" si="24"/>
        <v>0</v>
      </c>
      <c r="AE17" s="319"/>
      <c r="AF17" s="319">
        <f t="shared" si="4"/>
        <v>0</v>
      </c>
      <c r="AG17" s="39">
        <f>'PIM Model'!B15</f>
        <v>0</v>
      </c>
      <c r="AH17" s="459">
        <f t="shared" si="5"/>
        <v>0</v>
      </c>
      <c r="AI17" s="459">
        <f t="shared" si="25"/>
        <v>0</v>
      </c>
      <c r="AJ17">
        <v>8</v>
      </c>
      <c r="AK17" s="460" t="s">
        <v>104</v>
      </c>
      <c r="AL17" s="460">
        <f t="shared" si="6"/>
        <v>0</v>
      </c>
      <c r="AM17" s="460">
        <f t="shared" si="7"/>
        <v>0</v>
      </c>
      <c r="AN17" s="460">
        <f t="shared" si="8"/>
        <v>0</v>
      </c>
      <c r="AO17" s="461">
        <f t="shared" si="9"/>
        <v>0</v>
      </c>
      <c r="AP17" s="461">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91"/>
      <c r="AW17" s="52" t="s">
        <v>104</v>
      </c>
      <c r="AX17" s="492">
        <v>1374</v>
      </c>
      <c r="AY17" s="492">
        <v>4152</v>
      </c>
      <c r="AZ17" s="492">
        <v>8859</v>
      </c>
      <c r="BA17" s="492">
        <v>20083</v>
      </c>
      <c r="BD17" s="52" t="s">
        <v>104</v>
      </c>
      <c r="BE17" s="492">
        <v>2515</v>
      </c>
      <c r="BF17" s="492">
        <v>9191</v>
      </c>
      <c r="BG17" s="492">
        <v>28229</v>
      </c>
      <c r="BH17" s="492">
        <v>66332</v>
      </c>
    </row>
    <row r="18" spans="1:60" x14ac:dyDescent="0.25">
      <c r="A18" s="1141">
        <f t="shared" si="12"/>
        <v>0</v>
      </c>
      <c r="B18">
        <v>9</v>
      </c>
      <c r="C18" t="s">
        <v>98</v>
      </c>
      <c r="D18" s="25">
        <f>'Multi-Customer'!C20</f>
        <v>0</v>
      </c>
      <c r="E18">
        <f>'Multi-Customer'!D20</f>
        <v>0</v>
      </c>
      <c r="F18">
        <f>'Multi-Customer'!E20</f>
        <v>0</v>
      </c>
      <c r="G18" s="319">
        <f>'Multi-Customer'!F20</f>
        <v>0</v>
      </c>
      <c r="H18" s="19">
        <f t="shared" si="13"/>
        <v>0</v>
      </c>
      <c r="I18" s="19">
        <f t="shared" si="14"/>
        <v>0</v>
      </c>
      <c r="J18" s="319"/>
      <c r="K18" s="319" t="str">
        <f>'PIM Model'!E16</f>
        <v>INCLUDE</v>
      </c>
      <c r="L18" s="319">
        <f t="shared" si="15"/>
        <v>0</v>
      </c>
      <c r="M18">
        <v>9</v>
      </c>
      <c r="N18" s="319" t="s">
        <v>98</v>
      </c>
      <c r="O18" s="319">
        <f t="shared" si="16"/>
        <v>0</v>
      </c>
      <c r="P18" s="319">
        <f t="shared" si="0"/>
        <v>0</v>
      </c>
      <c r="Q18" s="319">
        <f t="shared" si="17"/>
        <v>0</v>
      </c>
      <c r="R18" s="319">
        <f t="shared" si="1"/>
        <v>0</v>
      </c>
      <c r="S18" s="319">
        <f t="shared" si="18"/>
        <v>0</v>
      </c>
      <c r="T18" s="19">
        <f t="shared" si="19"/>
        <v>0</v>
      </c>
      <c r="U18" s="19"/>
      <c r="V18" s="2">
        <f>'PIM Model'!$C$16</f>
        <v>0</v>
      </c>
      <c r="W18" s="598">
        <f>IFERROR('Multi-Customer'!M20,0)</f>
        <v>0</v>
      </c>
      <c r="X18" s="19">
        <f t="shared" si="2"/>
        <v>0</v>
      </c>
      <c r="Y18" s="319">
        <f t="shared" si="20"/>
        <v>0</v>
      </c>
      <c r="Z18" s="319">
        <f t="shared" si="21"/>
        <v>0</v>
      </c>
      <c r="AA18" s="319">
        <f t="shared" si="22"/>
        <v>0</v>
      </c>
      <c r="AB18" s="599">
        <f t="shared" si="23"/>
        <v>0</v>
      </c>
      <c r="AC18" s="599">
        <f t="shared" si="3"/>
        <v>0</v>
      </c>
      <c r="AD18" s="319">
        <f t="shared" si="24"/>
        <v>0</v>
      </c>
      <c r="AE18" s="319"/>
      <c r="AF18" s="319">
        <f t="shared" si="4"/>
        <v>0</v>
      </c>
      <c r="AG18" s="39">
        <f>'PIM Model'!B16</f>
        <v>0</v>
      </c>
      <c r="AH18" s="459">
        <f t="shared" si="5"/>
        <v>0</v>
      </c>
      <c r="AI18" s="459">
        <f t="shared" si="25"/>
        <v>0</v>
      </c>
      <c r="AJ18">
        <v>9</v>
      </c>
      <c r="AK18" s="460" t="s">
        <v>98</v>
      </c>
      <c r="AL18" s="460">
        <f t="shared" si="6"/>
        <v>0</v>
      </c>
      <c r="AM18" s="460">
        <f t="shared" si="7"/>
        <v>0</v>
      </c>
      <c r="AN18" s="460">
        <f t="shared" si="8"/>
        <v>0</v>
      </c>
      <c r="AO18" s="461">
        <f t="shared" si="9"/>
        <v>0</v>
      </c>
      <c r="AP18" s="461">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91"/>
      <c r="AW18" s="52" t="s">
        <v>98</v>
      </c>
      <c r="AX18" s="492">
        <v>5735</v>
      </c>
      <c r="AY18" s="492">
        <v>12048</v>
      </c>
      <c r="AZ18" s="492">
        <v>22223</v>
      </c>
      <c r="BA18" s="492">
        <v>46885</v>
      </c>
      <c r="BD18" s="52" t="s">
        <v>98</v>
      </c>
      <c r="BE18" s="492">
        <v>11588</v>
      </c>
      <c r="BF18" s="492">
        <v>31399</v>
      </c>
      <c r="BG18" s="492">
        <v>78180</v>
      </c>
      <c r="BH18" s="492">
        <v>177577</v>
      </c>
    </row>
    <row r="19" spans="1:60" x14ac:dyDescent="0.25">
      <c r="A19" s="1141">
        <f t="shared" si="12"/>
        <v>0</v>
      </c>
      <c r="B19">
        <v>10</v>
      </c>
      <c r="C19" t="s">
        <v>95</v>
      </c>
      <c r="D19" s="25">
        <f>'Multi-Customer'!C21</f>
        <v>0</v>
      </c>
      <c r="E19">
        <f>'Multi-Customer'!D21</f>
        <v>0</v>
      </c>
      <c r="F19">
        <f>'Multi-Customer'!E21</f>
        <v>0</v>
      </c>
      <c r="G19" s="319">
        <f>'Multi-Customer'!F21</f>
        <v>0</v>
      </c>
      <c r="H19" s="19">
        <f t="shared" si="13"/>
        <v>0</v>
      </c>
      <c r="I19" s="19">
        <f t="shared" si="14"/>
        <v>0</v>
      </c>
      <c r="J19" s="319"/>
      <c r="K19" s="319" t="str">
        <f>'PIM Model'!E17</f>
        <v>INCLUDE</v>
      </c>
      <c r="L19" s="319">
        <f t="shared" si="15"/>
        <v>0</v>
      </c>
      <c r="M19">
        <v>10</v>
      </c>
      <c r="N19" s="319" t="s">
        <v>95</v>
      </c>
      <c r="O19" s="319">
        <f t="shared" si="16"/>
        <v>0</v>
      </c>
      <c r="P19" s="319">
        <f t="shared" si="0"/>
        <v>0</v>
      </c>
      <c r="Q19" s="319">
        <f t="shared" si="17"/>
        <v>0</v>
      </c>
      <c r="R19" s="319">
        <f t="shared" si="1"/>
        <v>0</v>
      </c>
      <c r="S19" s="319">
        <f t="shared" si="18"/>
        <v>0</v>
      </c>
      <c r="T19" s="19">
        <f t="shared" si="19"/>
        <v>0</v>
      </c>
      <c r="U19" s="19"/>
      <c r="V19" s="2">
        <f>'PIM Model'!$C$17</f>
        <v>0</v>
      </c>
      <c r="W19" s="598">
        <f>IFERROR('Multi-Customer'!M21,0)</f>
        <v>0</v>
      </c>
      <c r="X19" s="19">
        <f t="shared" si="2"/>
        <v>0</v>
      </c>
      <c r="Y19" s="319">
        <f t="shared" si="20"/>
        <v>0</v>
      </c>
      <c r="Z19" s="319">
        <f t="shared" si="21"/>
        <v>0</v>
      </c>
      <c r="AA19" s="319">
        <f t="shared" si="22"/>
        <v>0</v>
      </c>
      <c r="AB19" s="599">
        <f t="shared" si="23"/>
        <v>0</v>
      </c>
      <c r="AC19" s="599">
        <f t="shared" si="3"/>
        <v>0</v>
      </c>
      <c r="AD19" s="319">
        <f t="shared" si="24"/>
        <v>0</v>
      </c>
      <c r="AE19" s="319"/>
      <c r="AF19" s="319">
        <f t="shared" si="4"/>
        <v>0</v>
      </c>
      <c r="AG19" s="39">
        <f>'PIM Model'!B17</f>
        <v>0</v>
      </c>
      <c r="AH19" s="459">
        <f t="shared" si="5"/>
        <v>0</v>
      </c>
      <c r="AI19" s="459">
        <f t="shared" si="25"/>
        <v>0</v>
      </c>
      <c r="AJ19">
        <v>10</v>
      </c>
      <c r="AK19" s="460" t="s">
        <v>95</v>
      </c>
      <c r="AL19" s="460">
        <f t="shared" si="6"/>
        <v>0</v>
      </c>
      <c r="AM19" s="460">
        <f t="shared" si="7"/>
        <v>0</v>
      </c>
      <c r="AN19" s="460">
        <f t="shared" si="8"/>
        <v>0</v>
      </c>
      <c r="AO19" s="461">
        <f t="shared" si="9"/>
        <v>0</v>
      </c>
      <c r="AP19" s="461">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91"/>
      <c r="AW19" s="52" t="s">
        <v>95</v>
      </c>
      <c r="AX19" s="492">
        <v>5783</v>
      </c>
      <c r="AY19" s="492">
        <v>15190</v>
      </c>
      <c r="AZ19" s="492">
        <v>28191</v>
      </c>
      <c r="BA19" s="492">
        <v>61587</v>
      </c>
      <c r="BD19" s="52" t="s">
        <v>95</v>
      </c>
      <c r="BE19" s="492">
        <v>11697</v>
      </c>
      <c r="BF19" s="492">
        <v>35019</v>
      </c>
      <c r="BG19" s="492">
        <v>103570</v>
      </c>
      <c r="BH19" s="492">
        <v>238698</v>
      </c>
    </row>
    <row r="20" spans="1:60" x14ac:dyDescent="0.25">
      <c r="A20" s="1141">
        <f t="shared" si="12"/>
        <v>0</v>
      </c>
      <c r="B20">
        <v>11</v>
      </c>
      <c r="C20" t="s">
        <v>96</v>
      </c>
      <c r="D20" s="25">
        <f>'Multi-Customer'!C22</f>
        <v>0</v>
      </c>
      <c r="E20">
        <f>'Multi-Customer'!D22</f>
        <v>0</v>
      </c>
      <c r="F20">
        <f>'Multi-Customer'!E22</f>
        <v>0</v>
      </c>
      <c r="G20" s="319">
        <f>'Multi-Customer'!F22</f>
        <v>0</v>
      </c>
      <c r="H20" s="19">
        <f t="shared" si="13"/>
        <v>0</v>
      </c>
      <c r="I20" s="19">
        <f t="shared" si="14"/>
        <v>0</v>
      </c>
      <c r="J20" s="319"/>
      <c r="K20" s="319" t="str">
        <f>'PIM Model'!E18</f>
        <v>INCLUDE</v>
      </c>
      <c r="L20" s="319">
        <f t="shared" si="15"/>
        <v>0</v>
      </c>
      <c r="M20">
        <v>11</v>
      </c>
      <c r="N20" s="319" t="s">
        <v>96</v>
      </c>
      <c r="O20" s="319">
        <f t="shared" si="16"/>
        <v>0</v>
      </c>
      <c r="P20" s="319">
        <f t="shared" si="0"/>
        <v>0</v>
      </c>
      <c r="Q20" s="319">
        <f t="shared" si="17"/>
        <v>0</v>
      </c>
      <c r="R20" s="319">
        <f t="shared" si="1"/>
        <v>0</v>
      </c>
      <c r="S20" s="319">
        <f t="shared" si="18"/>
        <v>0</v>
      </c>
      <c r="T20" s="19">
        <f t="shared" si="19"/>
        <v>0</v>
      </c>
      <c r="U20" s="19"/>
      <c r="V20" s="2">
        <f>'PIM Model'!$C$18</f>
        <v>0</v>
      </c>
      <c r="W20" s="598">
        <f>IFERROR('Multi-Customer'!M22,0)</f>
        <v>0</v>
      </c>
      <c r="X20" s="19">
        <f t="shared" si="2"/>
        <v>0</v>
      </c>
      <c r="Y20" s="319">
        <f t="shared" si="20"/>
        <v>0</v>
      </c>
      <c r="Z20" s="319">
        <f t="shared" si="21"/>
        <v>0</v>
      </c>
      <c r="AA20" s="319">
        <f t="shared" si="22"/>
        <v>0</v>
      </c>
      <c r="AB20" s="599">
        <f t="shared" si="23"/>
        <v>0</v>
      </c>
      <c r="AC20" s="599">
        <f t="shared" si="3"/>
        <v>0</v>
      </c>
      <c r="AD20" s="319">
        <f t="shared" si="24"/>
        <v>0</v>
      </c>
      <c r="AE20" s="319"/>
      <c r="AF20" s="319">
        <f t="shared" si="4"/>
        <v>0</v>
      </c>
      <c r="AG20" s="39">
        <f>'PIM Model'!B18</f>
        <v>0</v>
      </c>
      <c r="AH20" s="459">
        <f t="shared" si="5"/>
        <v>0</v>
      </c>
      <c r="AI20" s="459">
        <f t="shared" si="25"/>
        <v>0</v>
      </c>
      <c r="AJ20">
        <v>11</v>
      </c>
      <c r="AK20" s="460" t="s">
        <v>96</v>
      </c>
      <c r="AL20" s="460">
        <f t="shared" si="6"/>
        <v>0</v>
      </c>
      <c r="AM20" s="460">
        <f t="shared" si="7"/>
        <v>0</v>
      </c>
      <c r="AN20" s="460">
        <f t="shared" si="8"/>
        <v>0</v>
      </c>
      <c r="AO20" s="461">
        <f t="shared" si="9"/>
        <v>0</v>
      </c>
      <c r="AP20" s="461">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91"/>
      <c r="AW20" s="52" t="s">
        <v>96</v>
      </c>
      <c r="AX20" s="492">
        <v>830</v>
      </c>
      <c r="AY20" s="492">
        <v>2480</v>
      </c>
      <c r="AZ20" s="492">
        <v>6004</v>
      </c>
      <c r="BA20" s="492">
        <v>13761</v>
      </c>
      <c r="BD20" s="52" t="s">
        <v>96</v>
      </c>
      <c r="BE20" s="492">
        <v>1562</v>
      </c>
      <c r="BF20" s="492">
        <v>5701</v>
      </c>
      <c r="BG20" s="492">
        <v>19578</v>
      </c>
      <c r="BH20" s="492">
        <v>45979</v>
      </c>
    </row>
    <row r="21" spans="1:60" x14ac:dyDescent="0.25">
      <c r="A21" s="1141">
        <f t="shared" si="12"/>
        <v>0</v>
      </c>
      <c r="B21">
        <v>12</v>
      </c>
      <c r="C21" t="s">
        <v>101</v>
      </c>
      <c r="D21" s="25">
        <f>'Multi-Customer'!C23</f>
        <v>0</v>
      </c>
      <c r="E21">
        <f>'Multi-Customer'!D23</f>
        <v>0</v>
      </c>
      <c r="F21">
        <f>'Multi-Customer'!E23</f>
        <v>0</v>
      </c>
      <c r="G21" s="319">
        <f>'Multi-Customer'!F23</f>
        <v>0</v>
      </c>
      <c r="H21" s="19">
        <f t="shared" si="13"/>
        <v>0</v>
      </c>
      <c r="I21" s="19">
        <f t="shared" si="14"/>
        <v>0</v>
      </c>
      <c r="J21" s="319"/>
      <c r="K21" s="319" t="str">
        <f>'PIM Model'!E19</f>
        <v>INCLUDE</v>
      </c>
      <c r="L21" s="319">
        <f t="shared" si="15"/>
        <v>0</v>
      </c>
      <c r="M21">
        <v>12</v>
      </c>
      <c r="N21" s="319" t="s">
        <v>101</v>
      </c>
      <c r="O21" s="319">
        <f t="shared" si="16"/>
        <v>0</v>
      </c>
      <c r="P21" s="319">
        <f t="shared" si="0"/>
        <v>0</v>
      </c>
      <c r="Q21" s="319">
        <f t="shared" si="17"/>
        <v>0</v>
      </c>
      <c r="R21" s="319">
        <f t="shared" si="1"/>
        <v>0</v>
      </c>
      <c r="S21" s="319">
        <f t="shared" si="18"/>
        <v>0</v>
      </c>
      <c r="T21" s="19">
        <f t="shared" si="19"/>
        <v>0</v>
      </c>
      <c r="U21" s="19"/>
      <c r="V21" s="2">
        <f>'PIM Model'!$C$19</f>
        <v>0</v>
      </c>
      <c r="W21" s="598">
        <f>IFERROR('Multi-Customer'!M23,0)</f>
        <v>0</v>
      </c>
      <c r="X21" s="19">
        <f t="shared" si="2"/>
        <v>0</v>
      </c>
      <c r="Y21" s="319">
        <f t="shared" si="20"/>
        <v>0</v>
      </c>
      <c r="Z21" s="319">
        <f t="shared" si="21"/>
        <v>0</v>
      </c>
      <c r="AA21" s="319">
        <f t="shared" si="22"/>
        <v>0</v>
      </c>
      <c r="AB21" s="599">
        <f t="shared" si="23"/>
        <v>0</v>
      </c>
      <c r="AC21" s="599">
        <f t="shared" si="3"/>
        <v>0</v>
      </c>
      <c r="AD21" s="319">
        <f t="shared" si="24"/>
        <v>0</v>
      </c>
      <c r="AE21" s="319"/>
      <c r="AF21" s="319">
        <f t="shared" si="4"/>
        <v>0</v>
      </c>
      <c r="AG21" s="39">
        <f>'PIM Model'!B19</f>
        <v>0</v>
      </c>
      <c r="AH21" s="459">
        <f t="shared" si="5"/>
        <v>0</v>
      </c>
      <c r="AI21" s="459">
        <f t="shared" si="25"/>
        <v>0</v>
      </c>
      <c r="AJ21">
        <v>12</v>
      </c>
      <c r="AK21" s="460" t="s">
        <v>101</v>
      </c>
      <c r="AL21" s="460">
        <f t="shared" si="6"/>
        <v>0</v>
      </c>
      <c r="AM21" s="460">
        <f t="shared" si="7"/>
        <v>0</v>
      </c>
      <c r="AN21" s="460">
        <f t="shared" si="8"/>
        <v>0</v>
      </c>
      <c r="AO21" s="461">
        <f t="shared" si="9"/>
        <v>0</v>
      </c>
      <c r="AP21" s="461">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91"/>
      <c r="AW21" s="52" t="s">
        <v>101</v>
      </c>
      <c r="AX21" s="492">
        <v>2353</v>
      </c>
      <c r="AY21" s="492">
        <v>5189</v>
      </c>
      <c r="AZ21" s="492">
        <v>10687</v>
      </c>
      <c r="BA21" s="492">
        <v>23163</v>
      </c>
      <c r="BD21" s="52" t="s">
        <v>101</v>
      </c>
      <c r="BE21" s="492">
        <v>3473</v>
      </c>
      <c r="BF21" s="492">
        <v>9790</v>
      </c>
      <c r="BG21" s="492">
        <v>29037</v>
      </c>
      <c r="BH21" s="492">
        <v>66663</v>
      </c>
    </row>
    <row r="22" spans="1:60" x14ac:dyDescent="0.25">
      <c r="A22" s="1141">
        <f t="shared" si="12"/>
        <v>0</v>
      </c>
      <c r="B22">
        <v>13</v>
      </c>
      <c r="C22" t="s">
        <v>97</v>
      </c>
      <c r="D22" s="25">
        <f>'Multi-Customer'!C24</f>
        <v>0</v>
      </c>
      <c r="E22">
        <f>'Multi-Customer'!D24</f>
        <v>0</v>
      </c>
      <c r="F22">
        <f>'Multi-Customer'!E24</f>
        <v>0</v>
      </c>
      <c r="G22" s="319">
        <f>'Multi-Customer'!F24</f>
        <v>0</v>
      </c>
      <c r="H22" s="19">
        <f t="shared" si="13"/>
        <v>0</v>
      </c>
      <c r="I22" s="19">
        <f t="shared" si="14"/>
        <v>0</v>
      </c>
      <c r="J22" s="319"/>
      <c r="K22" s="319" t="str">
        <f>'PIM Model'!E20</f>
        <v>INCLUDE</v>
      </c>
      <c r="L22" s="319">
        <f t="shared" si="15"/>
        <v>0</v>
      </c>
      <c r="M22">
        <v>13</v>
      </c>
      <c r="N22" s="319" t="s">
        <v>97</v>
      </c>
      <c r="O22" s="319">
        <f t="shared" si="16"/>
        <v>0</v>
      </c>
      <c r="P22" s="319">
        <f t="shared" si="0"/>
        <v>0</v>
      </c>
      <c r="Q22" s="319">
        <f t="shared" si="17"/>
        <v>0</v>
      </c>
      <c r="R22" s="319">
        <f t="shared" si="1"/>
        <v>0</v>
      </c>
      <c r="S22" s="319">
        <f t="shared" si="18"/>
        <v>0</v>
      </c>
      <c r="T22" s="19">
        <f t="shared" si="19"/>
        <v>0</v>
      </c>
      <c r="U22" s="19"/>
      <c r="V22" s="2">
        <f>'PIM Model'!$C$20</f>
        <v>0</v>
      </c>
      <c r="W22" s="598">
        <f>IFERROR('Multi-Customer'!M24,0)</f>
        <v>0</v>
      </c>
      <c r="X22" s="19">
        <f t="shared" si="2"/>
        <v>0</v>
      </c>
      <c r="Y22" s="319">
        <f t="shared" si="20"/>
        <v>0</v>
      </c>
      <c r="Z22" s="319">
        <f t="shared" si="21"/>
        <v>0</v>
      </c>
      <c r="AA22" s="319">
        <f t="shared" si="22"/>
        <v>0</v>
      </c>
      <c r="AB22" s="599">
        <f t="shared" si="23"/>
        <v>0</v>
      </c>
      <c r="AC22" s="599">
        <f t="shared" si="3"/>
        <v>0</v>
      </c>
      <c r="AD22" s="319">
        <f t="shared" si="24"/>
        <v>0</v>
      </c>
      <c r="AE22" s="319"/>
      <c r="AF22" s="319">
        <f t="shared" si="4"/>
        <v>0</v>
      </c>
      <c r="AG22" s="39">
        <f>'PIM Model'!B20</f>
        <v>0</v>
      </c>
      <c r="AH22" s="459">
        <f t="shared" si="5"/>
        <v>0</v>
      </c>
      <c r="AI22" s="459">
        <f t="shared" si="25"/>
        <v>0</v>
      </c>
      <c r="AJ22">
        <v>13</v>
      </c>
      <c r="AK22" s="460" t="s">
        <v>97</v>
      </c>
      <c r="AL22" s="460">
        <f t="shared" si="6"/>
        <v>0</v>
      </c>
      <c r="AM22" s="460">
        <f t="shared" si="7"/>
        <v>0</v>
      </c>
      <c r="AN22" s="460">
        <f t="shared" si="8"/>
        <v>0</v>
      </c>
      <c r="AO22" s="461">
        <f t="shared" si="9"/>
        <v>0</v>
      </c>
      <c r="AP22" s="461">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91"/>
      <c r="AW22" s="52" t="s">
        <v>97</v>
      </c>
      <c r="AX22" s="492">
        <v>26250</v>
      </c>
      <c r="AY22" s="492">
        <v>37715</v>
      </c>
      <c r="AZ22" s="492">
        <v>54986</v>
      </c>
      <c r="BA22" s="492">
        <v>98006</v>
      </c>
      <c r="BD22" s="52" t="s">
        <v>97</v>
      </c>
      <c r="BE22" s="492">
        <v>34732</v>
      </c>
      <c r="BF22" s="492">
        <v>78310</v>
      </c>
      <c r="BG22" s="492">
        <v>203159</v>
      </c>
      <c r="BH22" s="492">
        <v>451886</v>
      </c>
    </row>
    <row r="23" spans="1:60" x14ac:dyDescent="0.25">
      <c r="A23" s="1141">
        <f t="shared" si="12"/>
        <v>0</v>
      </c>
      <c r="B23">
        <v>14</v>
      </c>
      <c r="C23" t="s">
        <v>93</v>
      </c>
      <c r="D23" s="25">
        <f>'Multi-Customer'!C25</f>
        <v>0</v>
      </c>
      <c r="E23">
        <f>'Multi-Customer'!D25</f>
        <v>0</v>
      </c>
      <c r="F23">
        <f>'Multi-Customer'!E25</f>
        <v>0</v>
      </c>
      <c r="G23" s="319">
        <f>'Multi-Customer'!F25</f>
        <v>0</v>
      </c>
      <c r="H23" s="19">
        <f t="shared" si="13"/>
        <v>0</v>
      </c>
      <c r="I23" s="19">
        <f t="shared" si="14"/>
        <v>0</v>
      </c>
      <c r="J23" s="319"/>
      <c r="K23" s="319" t="str">
        <f>'PIM Model'!E21</f>
        <v>INCLUDE</v>
      </c>
      <c r="L23" s="319">
        <f t="shared" si="15"/>
        <v>0</v>
      </c>
      <c r="M23">
        <v>14</v>
      </c>
      <c r="N23" s="319" t="s">
        <v>93</v>
      </c>
      <c r="O23" s="319">
        <f t="shared" si="16"/>
        <v>0</v>
      </c>
      <c r="P23" s="319">
        <f t="shared" si="0"/>
        <v>0</v>
      </c>
      <c r="Q23" s="319">
        <f t="shared" si="17"/>
        <v>0</v>
      </c>
      <c r="R23" s="319">
        <f t="shared" si="1"/>
        <v>0</v>
      </c>
      <c r="S23" s="319">
        <f t="shared" si="18"/>
        <v>0</v>
      </c>
      <c r="T23" s="19">
        <f t="shared" si="19"/>
        <v>0</v>
      </c>
      <c r="U23" s="19"/>
      <c r="V23" s="2">
        <f>'PIM Model'!$C$21</f>
        <v>0</v>
      </c>
      <c r="W23" s="598">
        <f>IFERROR('Multi-Customer'!M25,0)</f>
        <v>0</v>
      </c>
      <c r="X23" s="19">
        <f t="shared" si="2"/>
        <v>0</v>
      </c>
      <c r="Y23" s="319">
        <f t="shared" si="20"/>
        <v>0</v>
      </c>
      <c r="Z23" s="319">
        <f t="shared" si="21"/>
        <v>0</v>
      </c>
      <c r="AA23" s="319">
        <f t="shared" si="22"/>
        <v>0</v>
      </c>
      <c r="AB23" s="599">
        <f t="shared" si="23"/>
        <v>0</v>
      </c>
      <c r="AC23" s="599">
        <f t="shared" si="3"/>
        <v>0</v>
      </c>
      <c r="AD23" s="319">
        <f t="shared" si="24"/>
        <v>0</v>
      </c>
      <c r="AE23" s="319"/>
      <c r="AF23" s="319">
        <f t="shared" si="4"/>
        <v>0</v>
      </c>
      <c r="AG23" s="39">
        <f>'PIM Model'!B21</f>
        <v>0</v>
      </c>
      <c r="AH23" s="459">
        <f t="shared" si="5"/>
        <v>0</v>
      </c>
      <c r="AI23" s="459">
        <f t="shared" si="25"/>
        <v>0</v>
      </c>
      <c r="AJ23">
        <v>14</v>
      </c>
      <c r="AK23" s="460" t="s">
        <v>93</v>
      </c>
      <c r="AL23" s="460">
        <f t="shared" si="6"/>
        <v>0</v>
      </c>
      <c r="AM23" s="460">
        <f t="shared" si="7"/>
        <v>0</v>
      </c>
      <c r="AN23" s="460">
        <f t="shared" si="8"/>
        <v>0</v>
      </c>
      <c r="AO23" s="461">
        <f t="shared" si="9"/>
        <v>0</v>
      </c>
      <c r="AP23" s="461">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91"/>
      <c r="AW23" s="52" t="s">
        <v>93</v>
      </c>
      <c r="AX23" s="492">
        <v>9242</v>
      </c>
      <c r="AY23" s="492">
        <v>18705</v>
      </c>
      <c r="AZ23" s="492">
        <v>31626</v>
      </c>
      <c r="BA23" s="492">
        <v>65192</v>
      </c>
      <c r="BD23" s="52" t="s">
        <v>93</v>
      </c>
      <c r="BE23" s="492">
        <v>19767</v>
      </c>
      <c r="BF23" s="492">
        <v>50065</v>
      </c>
      <c r="BG23" s="492">
        <v>124322</v>
      </c>
      <c r="BH23" s="492">
        <v>278212</v>
      </c>
    </row>
    <row r="24" spans="1:60" x14ac:dyDescent="0.25">
      <c r="A24" s="1141">
        <f t="shared" si="12"/>
        <v>0</v>
      </c>
      <c r="B24">
        <v>15</v>
      </c>
      <c r="C24" t="s">
        <v>105</v>
      </c>
      <c r="D24" s="25">
        <f>'Multi-Customer'!C26</f>
        <v>0</v>
      </c>
      <c r="E24">
        <f>'Multi-Customer'!D26</f>
        <v>0</v>
      </c>
      <c r="F24">
        <f>'Multi-Customer'!E26</f>
        <v>0</v>
      </c>
      <c r="G24" s="319">
        <f>'Multi-Customer'!F26</f>
        <v>0</v>
      </c>
      <c r="H24" s="19">
        <f t="shared" si="13"/>
        <v>0</v>
      </c>
      <c r="I24" s="19">
        <f t="shared" si="14"/>
        <v>0</v>
      </c>
      <c r="J24" s="319"/>
      <c r="K24" s="319" t="str">
        <f>'PIM Model'!E22</f>
        <v>INCLUDE</v>
      </c>
      <c r="L24" s="319">
        <f t="shared" si="15"/>
        <v>0</v>
      </c>
      <c r="M24">
        <v>15</v>
      </c>
      <c r="N24" s="319" t="s">
        <v>105</v>
      </c>
      <c r="O24" s="319">
        <f t="shared" si="16"/>
        <v>0</v>
      </c>
      <c r="P24" s="319">
        <f t="shared" si="0"/>
        <v>0</v>
      </c>
      <c r="Q24" s="319">
        <f t="shared" si="17"/>
        <v>0</v>
      </c>
      <c r="R24" s="319">
        <f t="shared" si="1"/>
        <v>0</v>
      </c>
      <c r="S24" s="319">
        <f t="shared" si="18"/>
        <v>0</v>
      </c>
      <c r="T24" s="19">
        <f t="shared" si="19"/>
        <v>0</v>
      </c>
      <c r="U24" s="19"/>
      <c r="V24" s="2">
        <f>'PIM Model'!$C$22</f>
        <v>0</v>
      </c>
      <c r="W24" s="598">
        <f>IFERROR('Multi-Customer'!M26,0)</f>
        <v>0</v>
      </c>
      <c r="X24" s="19">
        <f t="shared" si="2"/>
        <v>0</v>
      </c>
      <c r="Y24" s="319">
        <f t="shared" si="20"/>
        <v>0</v>
      </c>
      <c r="Z24" s="319">
        <f t="shared" si="21"/>
        <v>0</v>
      </c>
      <c r="AA24" s="319">
        <f t="shared" si="22"/>
        <v>0</v>
      </c>
      <c r="AB24" s="599">
        <f t="shared" si="23"/>
        <v>0</v>
      </c>
      <c r="AC24" s="599">
        <f t="shared" si="3"/>
        <v>0</v>
      </c>
      <c r="AD24" s="319">
        <f t="shared" si="24"/>
        <v>0</v>
      </c>
      <c r="AE24" s="319"/>
      <c r="AF24" s="319">
        <f t="shared" si="4"/>
        <v>0</v>
      </c>
      <c r="AG24" s="39">
        <f>'PIM Model'!B22</f>
        <v>0</v>
      </c>
      <c r="AH24" s="459">
        <f t="shared" si="5"/>
        <v>0</v>
      </c>
      <c r="AI24" s="459">
        <f t="shared" si="25"/>
        <v>0</v>
      </c>
      <c r="AJ24">
        <v>15</v>
      </c>
      <c r="AK24" s="460" t="s">
        <v>105</v>
      </c>
      <c r="AL24" s="460">
        <f t="shared" si="6"/>
        <v>0</v>
      </c>
      <c r="AM24" s="460">
        <f t="shared" si="7"/>
        <v>0</v>
      </c>
      <c r="AN24" s="460">
        <f t="shared" si="8"/>
        <v>0</v>
      </c>
      <c r="AO24" s="461">
        <f t="shared" si="9"/>
        <v>0</v>
      </c>
      <c r="AP24" s="461">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91"/>
      <c r="AW24" s="52" t="s">
        <v>105</v>
      </c>
      <c r="AX24" s="492">
        <v>142</v>
      </c>
      <c r="AY24" s="492">
        <v>469</v>
      </c>
      <c r="AZ24" s="492">
        <v>1089</v>
      </c>
      <c r="BA24" s="492">
        <v>2473</v>
      </c>
      <c r="BD24" s="52" t="s">
        <v>105</v>
      </c>
      <c r="BE24" s="492">
        <v>179</v>
      </c>
      <c r="BF24" s="492">
        <v>732</v>
      </c>
      <c r="BG24" s="492">
        <v>2385</v>
      </c>
      <c r="BH24" s="492">
        <v>5645</v>
      </c>
    </row>
    <row r="25" spans="1:60" x14ac:dyDescent="0.25">
      <c r="A25" s="1141">
        <f t="shared" si="12"/>
        <v>0</v>
      </c>
      <c r="B25">
        <v>16</v>
      </c>
      <c r="C25" t="s">
        <v>92</v>
      </c>
      <c r="D25" s="25">
        <f>'Multi-Customer'!C27</f>
        <v>0</v>
      </c>
      <c r="E25">
        <f>'Multi-Customer'!D27</f>
        <v>0</v>
      </c>
      <c r="F25">
        <f>'Multi-Customer'!E27</f>
        <v>0</v>
      </c>
      <c r="G25" s="319">
        <f>'Multi-Customer'!F27</f>
        <v>0</v>
      </c>
      <c r="H25" s="19">
        <f>IFERROR(D25/E25,0)</f>
        <v>0</v>
      </c>
      <c r="I25" s="19">
        <f>IFERROR(D25/G25,0)</f>
        <v>0</v>
      </c>
      <c r="J25" s="319"/>
      <c r="K25" s="319" t="str">
        <f>'PIM Model'!E23</f>
        <v>INCLUDE</v>
      </c>
      <c r="L25" s="319">
        <f t="shared" si="15"/>
        <v>0</v>
      </c>
      <c r="M25">
        <v>16</v>
      </c>
      <c r="N25" s="319" t="s">
        <v>92</v>
      </c>
      <c r="O25" s="319">
        <f t="shared" si="16"/>
        <v>0</v>
      </c>
      <c r="P25" s="319">
        <f t="shared" si="0"/>
        <v>0</v>
      </c>
      <c r="Q25" s="319">
        <f t="shared" si="17"/>
        <v>0</v>
      </c>
      <c r="R25" s="319">
        <f t="shared" si="1"/>
        <v>0</v>
      </c>
      <c r="S25" s="319">
        <f t="shared" si="18"/>
        <v>0</v>
      </c>
      <c r="T25" s="19">
        <f t="shared" si="19"/>
        <v>0</v>
      </c>
      <c r="U25" s="19"/>
      <c r="V25" s="2">
        <f>'PIM Model'!$C$23</f>
        <v>0</v>
      </c>
      <c r="W25" s="598">
        <f>IFERROR('Multi-Customer'!M27,0)</f>
        <v>0</v>
      </c>
      <c r="X25" s="19">
        <f t="shared" si="2"/>
        <v>0</v>
      </c>
      <c r="Y25" s="319">
        <f t="shared" si="20"/>
        <v>0</v>
      </c>
      <c r="Z25" s="319">
        <f t="shared" si="21"/>
        <v>0</v>
      </c>
      <c r="AA25" s="319">
        <f t="shared" si="22"/>
        <v>0</v>
      </c>
      <c r="AB25" s="599">
        <f t="shared" si="23"/>
        <v>0</v>
      </c>
      <c r="AC25" s="599">
        <f t="shared" si="3"/>
        <v>0</v>
      </c>
      <c r="AD25" s="319">
        <f t="shared" si="24"/>
        <v>0</v>
      </c>
      <c r="AE25" s="319"/>
      <c r="AF25" s="319">
        <f t="shared" si="4"/>
        <v>0</v>
      </c>
      <c r="AG25" s="39">
        <f>'PIM Model'!B23</f>
        <v>0</v>
      </c>
      <c r="AH25" s="459">
        <f t="shared" si="5"/>
        <v>0</v>
      </c>
      <c r="AI25" s="459">
        <f t="shared" si="25"/>
        <v>0</v>
      </c>
      <c r="AJ25">
        <v>16</v>
      </c>
      <c r="AK25" s="460" t="s">
        <v>92</v>
      </c>
      <c r="AL25" s="460">
        <f t="shared" si="6"/>
        <v>0</v>
      </c>
      <c r="AM25" s="460">
        <f t="shared" si="7"/>
        <v>0</v>
      </c>
      <c r="AN25" s="460">
        <f t="shared" si="8"/>
        <v>0</v>
      </c>
      <c r="AO25" s="461">
        <f t="shared" si="9"/>
        <v>0</v>
      </c>
      <c r="AP25" s="461">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91"/>
      <c r="AW25" s="52" t="s">
        <v>92</v>
      </c>
      <c r="AX25" s="492">
        <v>6610</v>
      </c>
      <c r="AY25" s="492">
        <v>11026</v>
      </c>
      <c r="AZ25" s="492">
        <v>16902</v>
      </c>
      <c r="BA25" s="492">
        <v>32235</v>
      </c>
      <c r="BD25" s="52" t="s">
        <v>92</v>
      </c>
      <c r="BE25" s="492">
        <v>7323</v>
      </c>
      <c r="BF25" s="492">
        <v>19194</v>
      </c>
      <c r="BG25" s="492">
        <v>47517</v>
      </c>
      <c r="BH25" s="492">
        <v>107183</v>
      </c>
    </row>
    <row r="26" spans="1:60" x14ac:dyDescent="0.25">
      <c r="A26" s="1141">
        <f t="shared" si="12"/>
        <v>0</v>
      </c>
      <c r="B26">
        <v>17</v>
      </c>
      <c r="C26" t="s">
        <v>91</v>
      </c>
      <c r="D26" s="25">
        <f>'Multi-Customer'!C28</f>
        <v>0</v>
      </c>
      <c r="E26">
        <f>'Multi-Customer'!D28</f>
        <v>0</v>
      </c>
      <c r="F26">
        <f>'Multi-Customer'!E28</f>
        <v>0</v>
      </c>
      <c r="G26" s="319">
        <f>'Multi-Customer'!F28</f>
        <v>0</v>
      </c>
      <c r="H26" s="19">
        <f t="shared" si="13"/>
        <v>0</v>
      </c>
      <c r="I26" s="19">
        <f t="shared" si="14"/>
        <v>0</v>
      </c>
      <c r="J26" s="319"/>
      <c r="K26" s="319" t="str">
        <f>'PIM Model'!E24</f>
        <v>INCLUDE</v>
      </c>
      <c r="L26" s="319">
        <f t="shared" si="15"/>
        <v>0</v>
      </c>
      <c r="M26">
        <v>17</v>
      </c>
      <c r="N26" s="319" t="s">
        <v>91</v>
      </c>
      <c r="O26" s="319">
        <f t="shared" si="16"/>
        <v>0</v>
      </c>
      <c r="P26" s="319">
        <f t="shared" si="0"/>
        <v>0</v>
      </c>
      <c r="Q26" s="319">
        <f t="shared" si="17"/>
        <v>0</v>
      </c>
      <c r="R26" s="319">
        <f t="shared" si="1"/>
        <v>0</v>
      </c>
      <c r="S26" s="319">
        <f t="shared" si="18"/>
        <v>0</v>
      </c>
      <c r="T26" s="19">
        <f t="shared" si="19"/>
        <v>0</v>
      </c>
      <c r="U26" s="19"/>
      <c r="V26" s="2">
        <f>'PIM Model'!$C$24</f>
        <v>0</v>
      </c>
      <c r="W26" s="598">
        <f>IFERROR('Multi-Customer'!M28,0)</f>
        <v>0</v>
      </c>
      <c r="X26" s="19">
        <f t="shared" si="2"/>
        <v>0</v>
      </c>
      <c r="Y26" s="319">
        <f t="shared" si="20"/>
        <v>0</v>
      </c>
      <c r="Z26" s="319">
        <f t="shared" si="21"/>
        <v>0</v>
      </c>
      <c r="AA26" s="319">
        <f t="shared" si="22"/>
        <v>0</v>
      </c>
      <c r="AB26" s="599">
        <f t="shared" si="23"/>
        <v>0</v>
      </c>
      <c r="AC26" s="599">
        <f t="shared" si="3"/>
        <v>0</v>
      </c>
      <c r="AD26" s="319">
        <f t="shared" si="24"/>
        <v>0</v>
      </c>
      <c r="AE26" s="319"/>
      <c r="AF26" s="319">
        <f t="shared" si="4"/>
        <v>0</v>
      </c>
      <c r="AG26" s="39">
        <f>'PIM Model'!B24</f>
        <v>0</v>
      </c>
      <c r="AH26" s="459">
        <f t="shared" si="5"/>
        <v>0</v>
      </c>
      <c r="AI26" s="459">
        <f t="shared" si="25"/>
        <v>0</v>
      </c>
      <c r="AJ26">
        <v>17</v>
      </c>
      <c r="AK26" s="460" t="s">
        <v>91</v>
      </c>
      <c r="AL26" s="460">
        <f t="shared" si="6"/>
        <v>0</v>
      </c>
      <c r="AM26" s="460">
        <f t="shared" si="7"/>
        <v>0</v>
      </c>
      <c r="AN26" s="460">
        <f t="shared" si="8"/>
        <v>0</v>
      </c>
      <c r="AO26" s="461">
        <f t="shared" si="9"/>
        <v>0</v>
      </c>
      <c r="AP26" s="461">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91"/>
      <c r="AW26" s="52" t="s">
        <v>91</v>
      </c>
      <c r="AX26" s="492">
        <v>7459</v>
      </c>
      <c r="AY26" s="492">
        <v>15542</v>
      </c>
      <c r="AZ26" s="492">
        <v>28734</v>
      </c>
      <c r="BA26" s="492">
        <v>60450</v>
      </c>
      <c r="BD26" s="52" t="s">
        <v>91</v>
      </c>
      <c r="BE26" s="492">
        <v>13315</v>
      </c>
      <c r="BF26" s="492">
        <v>33760</v>
      </c>
      <c r="BG26" s="492">
        <v>91382</v>
      </c>
      <c r="BH26" s="492">
        <v>208294</v>
      </c>
    </row>
    <row r="27" spans="1:60" x14ac:dyDescent="0.25">
      <c r="A27" s="1141">
        <f t="shared" si="12"/>
        <v>0</v>
      </c>
      <c r="B27">
        <v>18</v>
      </c>
      <c r="C27" t="s">
        <v>90</v>
      </c>
      <c r="D27" s="25">
        <f>'Multi-Customer'!C29</f>
        <v>0</v>
      </c>
      <c r="E27">
        <f>'Multi-Customer'!D29</f>
        <v>0</v>
      </c>
      <c r="F27">
        <f>'Multi-Customer'!E29</f>
        <v>0</v>
      </c>
      <c r="G27" s="319">
        <f>'Multi-Customer'!F29</f>
        <v>0</v>
      </c>
      <c r="H27" s="19">
        <f t="shared" si="13"/>
        <v>0</v>
      </c>
      <c r="I27" s="19">
        <f t="shared" si="14"/>
        <v>0</v>
      </c>
      <c r="J27" s="319"/>
      <c r="K27" s="319" t="str">
        <f>'PIM Model'!E25</f>
        <v>INCLUDE</v>
      </c>
      <c r="L27" s="319">
        <f t="shared" si="15"/>
        <v>0</v>
      </c>
      <c r="M27">
        <v>18</v>
      </c>
      <c r="N27" s="319" t="s">
        <v>90</v>
      </c>
      <c r="O27" s="319">
        <f t="shared" si="16"/>
        <v>0</v>
      </c>
      <c r="P27" s="319">
        <f t="shared" si="0"/>
        <v>0</v>
      </c>
      <c r="Q27" s="319">
        <f t="shared" si="17"/>
        <v>0</v>
      </c>
      <c r="R27" s="319">
        <f t="shared" si="1"/>
        <v>0</v>
      </c>
      <c r="S27" s="319">
        <f t="shared" si="18"/>
        <v>0</v>
      </c>
      <c r="T27" s="19">
        <f t="shared" si="19"/>
        <v>0</v>
      </c>
      <c r="U27" s="19"/>
      <c r="V27" s="2">
        <f>'PIM Model'!$C$25</f>
        <v>0</v>
      </c>
      <c r="W27" s="598">
        <f>IFERROR('Multi-Customer'!M29,0)</f>
        <v>0</v>
      </c>
      <c r="X27" s="19">
        <f t="shared" si="2"/>
        <v>0</v>
      </c>
      <c r="Y27" s="319">
        <f t="shared" si="20"/>
        <v>0</v>
      </c>
      <c r="Z27" s="319">
        <f t="shared" si="21"/>
        <v>0</v>
      </c>
      <c r="AA27" s="319">
        <f t="shared" si="22"/>
        <v>0</v>
      </c>
      <c r="AB27" s="599">
        <f t="shared" si="23"/>
        <v>0</v>
      </c>
      <c r="AC27" s="599">
        <f t="shared" si="3"/>
        <v>0</v>
      </c>
      <c r="AD27" s="319">
        <f t="shared" si="24"/>
        <v>0</v>
      </c>
      <c r="AE27" s="319"/>
      <c r="AF27" s="319">
        <f t="shared" si="4"/>
        <v>0</v>
      </c>
      <c r="AG27" s="39">
        <f>'PIM Model'!B25</f>
        <v>0</v>
      </c>
      <c r="AH27" s="459">
        <f t="shared" si="5"/>
        <v>0</v>
      </c>
      <c r="AI27" s="459">
        <f t="shared" si="25"/>
        <v>0</v>
      </c>
      <c r="AJ27">
        <v>18</v>
      </c>
      <c r="AK27" s="460" t="s">
        <v>90</v>
      </c>
      <c r="AL27" s="460">
        <f t="shared" si="6"/>
        <v>0</v>
      </c>
      <c r="AM27" s="460">
        <f t="shared" si="7"/>
        <v>0</v>
      </c>
      <c r="AN27" s="460">
        <f t="shared" si="8"/>
        <v>0</v>
      </c>
      <c r="AO27" s="461">
        <f t="shared" si="9"/>
        <v>0</v>
      </c>
      <c r="AP27" s="461">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91"/>
      <c r="AW27" s="52" t="s">
        <v>90</v>
      </c>
      <c r="AX27" s="492">
        <v>17969</v>
      </c>
      <c r="AY27" s="492">
        <v>34626</v>
      </c>
      <c r="AZ27" s="492">
        <v>59214</v>
      </c>
      <c r="BA27" s="492">
        <v>120996</v>
      </c>
      <c r="BD27" s="52" t="s">
        <v>90</v>
      </c>
      <c r="BE27" s="492">
        <v>25337</v>
      </c>
      <c r="BF27" s="492">
        <v>62445</v>
      </c>
      <c r="BG27" s="492">
        <v>178249</v>
      </c>
      <c r="BH27" s="492">
        <v>407116</v>
      </c>
    </row>
    <row r="28" spans="1:60" x14ac:dyDescent="0.25">
      <c r="A28" s="1141">
        <f t="shared" si="12"/>
        <v>0</v>
      </c>
      <c r="B28">
        <v>19</v>
      </c>
      <c r="C28" t="s">
        <v>89</v>
      </c>
      <c r="D28" s="25">
        <f>'Multi-Customer'!C30</f>
        <v>0</v>
      </c>
      <c r="E28">
        <f>'Multi-Customer'!D30</f>
        <v>0</v>
      </c>
      <c r="F28">
        <f>'Multi-Customer'!E30</f>
        <v>0</v>
      </c>
      <c r="G28" s="319">
        <f>'Multi-Customer'!F30</f>
        <v>0</v>
      </c>
      <c r="H28" s="19">
        <f t="shared" si="13"/>
        <v>0</v>
      </c>
      <c r="I28" s="19">
        <f t="shared" si="14"/>
        <v>0</v>
      </c>
      <c r="J28" s="319"/>
      <c r="K28" s="319" t="str">
        <f>'PIM Model'!E26</f>
        <v>INCLUDE</v>
      </c>
      <c r="L28" s="319">
        <f t="shared" si="15"/>
        <v>0</v>
      </c>
      <c r="M28">
        <v>19</v>
      </c>
      <c r="N28" s="319" t="s">
        <v>89</v>
      </c>
      <c r="O28" s="319">
        <f t="shared" si="16"/>
        <v>0</v>
      </c>
      <c r="P28" s="319">
        <f t="shared" si="0"/>
        <v>0</v>
      </c>
      <c r="Q28" s="319">
        <f t="shared" si="17"/>
        <v>0</v>
      </c>
      <c r="R28" s="319">
        <f t="shared" si="1"/>
        <v>0</v>
      </c>
      <c r="S28" s="319">
        <f t="shared" si="18"/>
        <v>0</v>
      </c>
      <c r="T28" s="19">
        <f t="shared" si="19"/>
        <v>0</v>
      </c>
      <c r="U28" s="19"/>
      <c r="V28" s="2">
        <f>'PIM Model'!$C$26</f>
        <v>0</v>
      </c>
      <c r="W28" s="598">
        <f>IFERROR('Multi-Customer'!M30,0)</f>
        <v>0</v>
      </c>
      <c r="X28" s="19">
        <f t="shared" si="2"/>
        <v>0</v>
      </c>
      <c r="Y28" s="319">
        <f t="shared" si="20"/>
        <v>0</v>
      </c>
      <c r="Z28" s="319">
        <f t="shared" si="21"/>
        <v>0</v>
      </c>
      <c r="AA28" s="319">
        <f t="shared" si="22"/>
        <v>0</v>
      </c>
      <c r="AB28" s="599">
        <f t="shared" si="23"/>
        <v>0</v>
      </c>
      <c r="AC28" s="599">
        <f t="shared" si="3"/>
        <v>0</v>
      </c>
      <c r="AD28" s="319">
        <f t="shared" si="24"/>
        <v>0</v>
      </c>
      <c r="AE28" s="319"/>
      <c r="AF28" s="319">
        <f t="shared" si="4"/>
        <v>0</v>
      </c>
      <c r="AG28" s="39">
        <f>'PIM Model'!B26</f>
        <v>0</v>
      </c>
      <c r="AH28" s="459">
        <f t="shared" si="5"/>
        <v>0</v>
      </c>
      <c r="AI28" s="459">
        <f t="shared" si="25"/>
        <v>0</v>
      </c>
      <c r="AJ28">
        <v>19</v>
      </c>
      <c r="AK28" s="460" t="s">
        <v>89</v>
      </c>
      <c r="AL28" s="460">
        <f t="shared" si="6"/>
        <v>0</v>
      </c>
      <c r="AM28" s="460">
        <f t="shared" si="7"/>
        <v>0</v>
      </c>
      <c r="AN28" s="460">
        <f t="shared" si="8"/>
        <v>0</v>
      </c>
      <c r="AO28" s="461">
        <f t="shared" si="9"/>
        <v>0</v>
      </c>
      <c r="AP28" s="461">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91"/>
      <c r="AW28" s="52" t="s">
        <v>89</v>
      </c>
      <c r="AX28" s="492">
        <v>1058</v>
      </c>
      <c r="AY28" s="492">
        <v>3034</v>
      </c>
      <c r="AZ28" s="492">
        <v>8013</v>
      </c>
      <c r="BA28" s="492">
        <v>18443</v>
      </c>
      <c r="BD28" s="52" t="s">
        <v>89</v>
      </c>
      <c r="BE28" s="492">
        <v>2315</v>
      </c>
      <c r="BF28" s="492">
        <v>7746</v>
      </c>
      <c r="BG28" s="492">
        <v>24790</v>
      </c>
      <c r="BH28" s="492">
        <v>58388</v>
      </c>
    </row>
    <row r="29" spans="1:60" x14ac:dyDescent="0.25">
      <c r="A29" s="1141">
        <f t="shared" si="12"/>
        <v>0</v>
      </c>
      <c r="B29">
        <v>20</v>
      </c>
      <c r="C29" t="s">
        <v>94</v>
      </c>
      <c r="D29" s="25">
        <f>'Multi-Customer'!C31</f>
        <v>0</v>
      </c>
      <c r="E29">
        <f>'Multi-Customer'!D31</f>
        <v>0</v>
      </c>
      <c r="F29">
        <f>'Multi-Customer'!E31</f>
        <v>0</v>
      </c>
      <c r="G29" s="319">
        <f>'Multi-Customer'!F31</f>
        <v>0</v>
      </c>
      <c r="H29" s="19">
        <f t="shared" si="13"/>
        <v>0</v>
      </c>
      <c r="I29" s="19">
        <f t="shared" si="14"/>
        <v>0</v>
      </c>
      <c r="J29" s="319"/>
      <c r="K29" s="319" t="str">
        <f>'PIM Model'!E27</f>
        <v>INCLUDE</v>
      </c>
      <c r="L29" s="319">
        <f t="shared" si="15"/>
        <v>0</v>
      </c>
      <c r="M29">
        <v>20</v>
      </c>
      <c r="N29" s="319" t="s">
        <v>94</v>
      </c>
      <c r="O29" s="319">
        <f t="shared" si="16"/>
        <v>0</v>
      </c>
      <c r="P29" s="319">
        <f t="shared" si="0"/>
        <v>0</v>
      </c>
      <c r="Q29" s="319">
        <f t="shared" si="17"/>
        <v>0</v>
      </c>
      <c r="R29" s="319">
        <f t="shared" si="1"/>
        <v>0</v>
      </c>
      <c r="S29" s="319">
        <f t="shared" si="18"/>
        <v>0</v>
      </c>
      <c r="T29" s="19">
        <f t="shared" si="19"/>
        <v>0</v>
      </c>
      <c r="U29" s="19"/>
      <c r="V29" s="2">
        <f>'PIM Model'!$C$27</f>
        <v>0</v>
      </c>
      <c r="W29" s="598">
        <f>IFERROR('Multi-Customer'!M31,0)</f>
        <v>0</v>
      </c>
      <c r="X29" s="19">
        <f t="shared" si="2"/>
        <v>0</v>
      </c>
      <c r="Y29" s="319">
        <f t="shared" si="20"/>
        <v>0</v>
      </c>
      <c r="Z29" s="319">
        <f t="shared" si="21"/>
        <v>0</v>
      </c>
      <c r="AA29" s="319">
        <f t="shared" si="22"/>
        <v>0</v>
      </c>
      <c r="AB29" s="599">
        <f t="shared" si="23"/>
        <v>0</v>
      </c>
      <c r="AC29" s="599">
        <f t="shared" si="3"/>
        <v>0</v>
      </c>
      <c r="AD29" s="319">
        <f t="shared" si="24"/>
        <v>0</v>
      </c>
      <c r="AE29" s="319"/>
      <c r="AF29" s="319">
        <f t="shared" si="4"/>
        <v>0</v>
      </c>
      <c r="AG29" s="39">
        <f>'PIM Model'!B27</f>
        <v>0</v>
      </c>
      <c r="AH29" s="459">
        <f t="shared" si="5"/>
        <v>0</v>
      </c>
      <c r="AI29" s="459">
        <f t="shared" si="25"/>
        <v>0</v>
      </c>
      <c r="AJ29">
        <v>20</v>
      </c>
      <c r="AK29" s="460" t="s">
        <v>94</v>
      </c>
      <c r="AL29" s="460">
        <f t="shared" si="6"/>
        <v>0</v>
      </c>
      <c r="AM29" s="460">
        <f t="shared" si="7"/>
        <v>0</v>
      </c>
      <c r="AN29" s="460">
        <f t="shared" si="8"/>
        <v>0</v>
      </c>
      <c r="AO29" s="461">
        <f t="shared" si="9"/>
        <v>0</v>
      </c>
      <c r="AP29" s="461">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91"/>
      <c r="AW29" s="52" t="s">
        <v>94</v>
      </c>
      <c r="AX29" s="492">
        <v>6052</v>
      </c>
      <c r="AY29" s="492">
        <v>19330</v>
      </c>
      <c r="AZ29" s="492">
        <v>36449</v>
      </c>
      <c r="BA29" s="492">
        <v>81904</v>
      </c>
      <c r="BD29" s="52" t="s">
        <v>94</v>
      </c>
      <c r="BE29" s="492">
        <v>8676</v>
      </c>
      <c r="BF29" s="492">
        <v>33383</v>
      </c>
      <c r="BG29" s="492">
        <v>87871</v>
      </c>
      <c r="BH29" s="492">
        <v>205967</v>
      </c>
    </row>
    <row r="30" spans="1:60" x14ac:dyDescent="0.25">
      <c r="A30" s="1141">
        <f t="shared" si="12"/>
        <v>0</v>
      </c>
      <c r="B30">
        <v>21</v>
      </c>
      <c r="C30" t="s">
        <v>86</v>
      </c>
      <c r="D30" s="25">
        <f>'Multi-Customer'!C32</f>
        <v>0</v>
      </c>
      <c r="E30">
        <f>'Multi-Customer'!D32</f>
        <v>0</v>
      </c>
      <c r="F30">
        <f>'Multi-Customer'!E32</f>
        <v>0</v>
      </c>
      <c r="G30" s="319">
        <f>'Multi-Customer'!F32</f>
        <v>0</v>
      </c>
      <c r="H30" s="19">
        <f t="shared" si="13"/>
        <v>0</v>
      </c>
      <c r="I30" s="19">
        <f t="shared" si="14"/>
        <v>0</v>
      </c>
      <c r="J30" s="319"/>
      <c r="K30" s="319" t="str">
        <f>'PIM Model'!E28</f>
        <v>INCLUDE</v>
      </c>
      <c r="L30" s="319">
        <f t="shared" si="15"/>
        <v>0</v>
      </c>
      <c r="M30">
        <v>21</v>
      </c>
      <c r="N30" s="319" t="s">
        <v>86</v>
      </c>
      <c r="O30" s="319">
        <f t="shared" si="16"/>
        <v>0</v>
      </c>
      <c r="P30" s="319">
        <f t="shared" si="0"/>
        <v>0</v>
      </c>
      <c r="Q30" s="319">
        <f t="shared" si="17"/>
        <v>0</v>
      </c>
      <c r="R30" s="319">
        <f t="shared" si="1"/>
        <v>0</v>
      </c>
      <c r="S30" s="319">
        <f t="shared" si="18"/>
        <v>0</v>
      </c>
      <c r="T30" s="19">
        <f t="shared" si="19"/>
        <v>0</v>
      </c>
      <c r="U30" s="19"/>
      <c r="V30" s="2">
        <f>'PIM Model'!$C$28</f>
        <v>0</v>
      </c>
      <c r="W30" s="598">
        <f>IFERROR('Multi-Customer'!M32,0)</f>
        <v>0</v>
      </c>
      <c r="X30" s="19">
        <f t="shared" si="2"/>
        <v>0</v>
      </c>
      <c r="Y30" s="319">
        <f t="shared" si="20"/>
        <v>0</v>
      </c>
      <c r="Z30" s="319">
        <f t="shared" si="21"/>
        <v>0</v>
      </c>
      <c r="AA30" s="319">
        <f t="shared" si="22"/>
        <v>0</v>
      </c>
      <c r="AB30" s="599">
        <f t="shared" si="23"/>
        <v>0</v>
      </c>
      <c r="AC30" s="599">
        <f t="shared" si="3"/>
        <v>0</v>
      </c>
      <c r="AD30" s="319">
        <f t="shared" si="24"/>
        <v>0</v>
      </c>
      <c r="AE30" s="319"/>
      <c r="AF30" s="319">
        <f t="shared" si="4"/>
        <v>0</v>
      </c>
      <c r="AG30" s="39">
        <f>'PIM Model'!B28</f>
        <v>0</v>
      </c>
      <c r="AH30" s="459">
        <f t="shared" si="5"/>
        <v>0</v>
      </c>
      <c r="AI30" s="459">
        <f t="shared" si="25"/>
        <v>0</v>
      </c>
      <c r="AJ30">
        <v>21</v>
      </c>
      <c r="AK30" s="460" t="s">
        <v>86</v>
      </c>
      <c r="AL30" s="460">
        <f t="shared" si="6"/>
        <v>0</v>
      </c>
      <c r="AM30" s="460">
        <f t="shared" si="7"/>
        <v>0</v>
      </c>
      <c r="AN30" s="460">
        <f t="shared" si="8"/>
        <v>0</v>
      </c>
      <c r="AO30" s="461">
        <f t="shared" si="9"/>
        <v>0</v>
      </c>
      <c r="AP30" s="461">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91"/>
      <c r="AW30" s="52" t="s">
        <v>86</v>
      </c>
      <c r="AX30" s="492">
        <v>88</v>
      </c>
      <c r="AY30" s="492">
        <v>544</v>
      </c>
      <c r="AZ30" s="492">
        <v>2063</v>
      </c>
      <c r="BA30" s="492">
        <v>4981</v>
      </c>
      <c r="BD30" s="52" t="s">
        <v>86</v>
      </c>
      <c r="BE30" s="492">
        <v>151</v>
      </c>
      <c r="BF30" s="492">
        <v>808</v>
      </c>
      <c r="BG30" s="492">
        <v>4097</v>
      </c>
      <c r="BH30" s="492">
        <v>9886</v>
      </c>
    </row>
    <row r="31" spans="1:60" x14ac:dyDescent="0.25">
      <c r="A31" s="1141">
        <f t="shared" si="12"/>
        <v>0</v>
      </c>
      <c r="B31">
        <v>22</v>
      </c>
      <c r="C31" t="s">
        <v>88</v>
      </c>
      <c r="D31" s="25">
        <f>'Multi-Customer'!C33</f>
        <v>0</v>
      </c>
      <c r="E31">
        <f>'Multi-Customer'!D33</f>
        <v>0</v>
      </c>
      <c r="F31">
        <f>'Multi-Customer'!E33</f>
        <v>0</v>
      </c>
      <c r="G31" s="319">
        <f>'Multi-Customer'!F33</f>
        <v>0</v>
      </c>
      <c r="H31" s="19">
        <f t="shared" si="13"/>
        <v>0</v>
      </c>
      <c r="I31" s="19">
        <f t="shared" si="14"/>
        <v>0</v>
      </c>
      <c r="J31" s="319"/>
      <c r="K31" s="319" t="str">
        <f>'PIM Model'!E29</f>
        <v>INCLUDE</v>
      </c>
      <c r="L31" s="319">
        <f t="shared" si="15"/>
        <v>0</v>
      </c>
      <c r="M31">
        <v>22</v>
      </c>
      <c r="N31" s="319" t="s">
        <v>88</v>
      </c>
      <c r="O31" s="319">
        <f t="shared" si="16"/>
        <v>0</v>
      </c>
      <c r="P31" s="319">
        <f t="shared" si="0"/>
        <v>0</v>
      </c>
      <c r="Q31" s="319">
        <f t="shared" si="17"/>
        <v>0</v>
      </c>
      <c r="R31" s="319">
        <f t="shared" si="1"/>
        <v>0</v>
      </c>
      <c r="S31" s="319">
        <f t="shared" si="18"/>
        <v>0</v>
      </c>
      <c r="T31" s="19">
        <f t="shared" si="19"/>
        <v>0</v>
      </c>
      <c r="U31" s="19"/>
      <c r="V31" s="2">
        <f>'PIM Model'!$C$29</f>
        <v>0</v>
      </c>
      <c r="W31" s="598">
        <f>IFERROR('Multi-Customer'!M33,0)</f>
        <v>0</v>
      </c>
      <c r="X31" s="19">
        <f t="shared" si="2"/>
        <v>0</v>
      </c>
      <c r="Y31" s="319">
        <f t="shared" si="20"/>
        <v>0</v>
      </c>
      <c r="Z31" s="319">
        <f t="shared" si="21"/>
        <v>0</v>
      </c>
      <c r="AA31" s="319">
        <f t="shared" si="22"/>
        <v>0</v>
      </c>
      <c r="AB31" s="599">
        <f t="shared" si="23"/>
        <v>0</v>
      </c>
      <c r="AC31" s="599">
        <f t="shared" si="3"/>
        <v>0</v>
      </c>
      <c r="AD31" s="319">
        <f t="shared" si="24"/>
        <v>0</v>
      </c>
      <c r="AE31" s="319"/>
      <c r="AF31" s="319">
        <f t="shared" si="4"/>
        <v>0</v>
      </c>
      <c r="AG31" s="39">
        <f>'PIM Model'!B29</f>
        <v>0</v>
      </c>
      <c r="AH31" s="459">
        <f t="shared" si="5"/>
        <v>0</v>
      </c>
      <c r="AI31" s="459">
        <f t="shared" si="25"/>
        <v>0</v>
      </c>
      <c r="AJ31">
        <v>22</v>
      </c>
      <c r="AK31" s="460" t="s">
        <v>88</v>
      </c>
      <c r="AL31" s="460">
        <f t="shared" si="6"/>
        <v>0</v>
      </c>
      <c r="AM31" s="460">
        <f t="shared" si="7"/>
        <v>0</v>
      </c>
      <c r="AN31" s="460">
        <f t="shared" si="8"/>
        <v>0</v>
      </c>
      <c r="AO31" s="461">
        <f t="shared" si="9"/>
        <v>0</v>
      </c>
      <c r="AP31" s="461">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91"/>
      <c r="AW31" s="52" t="s">
        <v>88</v>
      </c>
      <c r="AX31" s="492">
        <v>6782</v>
      </c>
      <c r="AY31" s="492">
        <v>19966</v>
      </c>
      <c r="AZ31" s="492">
        <v>43486</v>
      </c>
      <c r="BA31" s="492">
        <v>97858</v>
      </c>
      <c r="BD31" s="52" t="s">
        <v>88</v>
      </c>
      <c r="BE31" s="492">
        <v>8688</v>
      </c>
      <c r="BF31" s="492">
        <v>30144</v>
      </c>
      <c r="BG31" s="492">
        <v>100469</v>
      </c>
      <c r="BH31" s="492">
        <v>234604</v>
      </c>
    </row>
    <row r="32" spans="1:60" x14ac:dyDescent="0.25">
      <c r="A32" s="1141">
        <f t="shared" si="12"/>
        <v>0</v>
      </c>
      <c r="B32">
        <v>23</v>
      </c>
      <c r="C32" t="s">
        <v>87</v>
      </c>
      <c r="D32" s="25">
        <f>'Multi-Customer'!C34</f>
        <v>0</v>
      </c>
      <c r="E32">
        <f>'Multi-Customer'!D34</f>
        <v>0</v>
      </c>
      <c r="F32">
        <f>'Multi-Customer'!E34</f>
        <v>0</v>
      </c>
      <c r="G32" s="319">
        <f>'Multi-Customer'!F34</f>
        <v>0</v>
      </c>
      <c r="H32" s="19">
        <f t="shared" si="13"/>
        <v>0</v>
      </c>
      <c r="I32" s="19">
        <f t="shared" si="14"/>
        <v>0</v>
      </c>
      <c r="J32" s="319"/>
      <c r="K32" s="319" t="str">
        <f>'PIM Model'!E30</f>
        <v>INCLUDE</v>
      </c>
      <c r="L32" s="319">
        <f t="shared" si="15"/>
        <v>0</v>
      </c>
      <c r="M32">
        <v>23</v>
      </c>
      <c r="N32" s="319" t="s">
        <v>87</v>
      </c>
      <c r="O32" s="319">
        <f t="shared" si="16"/>
        <v>0</v>
      </c>
      <c r="P32" s="319">
        <f>IFERROR(IF($K32="Exclude",0,E32/$L$33),0)</f>
        <v>0</v>
      </c>
      <c r="Q32" s="319">
        <f t="shared" si="17"/>
        <v>0</v>
      </c>
      <c r="R32" s="319">
        <f>IFERROR(IF($K32="Exclude",0,G32/$L$33),0)</f>
        <v>0</v>
      </c>
      <c r="S32" s="319">
        <f t="shared" si="18"/>
        <v>0</v>
      </c>
      <c r="T32" s="19">
        <f t="shared" si="19"/>
        <v>0</v>
      </c>
      <c r="U32" s="19"/>
      <c r="V32" s="2">
        <f>'PIM Model'!$C$30</f>
        <v>0</v>
      </c>
      <c r="W32" s="598">
        <f>IFERROR('Multi-Customer'!M34,0)</f>
        <v>0</v>
      </c>
      <c r="X32" s="19">
        <f>IFERROR($W32*$Z$33,0)</f>
        <v>0</v>
      </c>
      <c r="Y32" s="319">
        <f t="shared" si="20"/>
        <v>0</v>
      </c>
      <c r="Z32" s="319">
        <f t="shared" si="21"/>
        <v>0</v>
      </c>
      <c r="AA32" s="319">
        <f t="shared" si="22"/>
        <v>0</v>
      </c>
      <c r="AB32" s="599">
        <f t="shared" si="23"/>
        <v>0</v>
      </c>
      <c r="AC32" s="599">
        <f>IFERROR(IF($AA32=0,AB32,0),0)</f>
        <v>0</v>
      </c>
      <c r="AD32" s="319">
        <f t="shared" si="24"/>
        <v>0</v>
      </c>
      <c r="AE32" s="319"/>
      <c r="AF32" s="319">
        <f>IFERROR(AD32*(1+$AG32)-AD32,0)</f>
        <v>0</v>
      </c>
      <c r="AG32" s="39">
        <f>'PIM Model'!B30</f>
        <v>0</v>
      </c>
      <c r="AH32" s="459">
        <f t="shared" si="5"/>
        <v>0</v>
      </c>
      <c r="AI32" s="459">
        <f t="shared" si="25"/>
        <v>0</v>
      </c>
      <c r="AJ32">
        <v>23</v>
      </c>
      <c r="AK32" s="460" t="s">
        <v>87</v>
      </c>
      <c r="AL32" s="460">
        <f>IFERROR(IF($AG32=0,$AD32-($AF$33*($AI32/$AI$33)),$AD32+$AF32),0)</f>
        <v>0</v>
      </c>
      <c r="AM32" s="460">
        <f t="shared" si="7"/>
        <v>0</v>
      </c>
      <c r="AN32" s="460">
        <f t="shared" si="8"/>
        <v>0</v>
      </c>
      <c r="AO32" s="461">
        <f t="shared" si="9"/>
        <v>0</v>
      </c>
      <c r="AP32" s="461">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91"/>
      <c r="AW32" s="52" t="s">
        <v>87</v>
      </c>
      <c r="AX32" s="492">
        <v>317</v>
      </c>
      <c r="AY32" s="492">
        <v>1177</v>
      </c>
      <c r="AZ32" s="492">
        <v>4361</v>
      </c>
      <c r="BA32" s="492">
        <v>10380</v>
      </c>
      <c r="BD32" s="52" t="s">
        <v>87</v>
      </c>
      <c r="BE32" s="492">
        <v>496</v>
      </c>
      <c r="BF32" s="492">
        <v>2401</v>
      </c>
      <c r="BG32" s="492">
        <v>10817</v>
      </c>
      <c r="BH32" s="492">
        <v>25725</v>
      </c>
    </row>
    <row r="33" spans="1:60" x14ac:dyDescent="0.25">
      <c r="A33" s="1141">
        <f t="shared" si="12"/>
        <v>0</v>
      </c>
      <c r="D33" s="25">
        <f>SUM(D$12:D$32)</f>
        <v>0</v>
      </c>
      <c r="E33">
        <f>SUM(E$12:E$32)</f>
        <v>0</v>
      </c>
      <c r="F33">
        <f>SUM(F$12:F$32)</f>
        <v>0</v>
      </c>
      <c r="G33">
        <f>SUM(G$12:G$32)</f>
        <v>0</v>
      </c>
      <c r="L33" s="319">
        <f>SUM(L12:L32)</f>
        <v>0</v>
      </c>
      <c r="O33" s="25">
        <f>SUM(O$12:O$32)</f>
        <v>0</v>
      </c>
      <c r="P33">
        <f>SUM(P$12:P$32)</f>
        <v>0</v>
      </c>
      <c r="Q33">
        <f>SUM(Q$12:Q$32)</f>
        <v>0</v>
      </c>
      <c r="R33">
        <f>SUM(R$12:R$32)</f>
        <v>0</v>
      </c>
      <c r="W33" s="319">
        <f>SUM($W$12:$W$32)</f>
        <v>0</v>
      </c>
      <c r="X33" s="319">
        <f>SUM(X12:X32)</f>
        <v>0</v>
      </c>
      <c r="Y33" s="319">
        <f>SUM(Y12:Y32)</f>
        <v>0</v>
      </c>
      <c r="Z33" s="319">
        <f>SUM($Z$12:$Z$32)</f>
        <v>0</v>
      </c>
      <c r="AA33" s="319">
        <f>SUM(AA12:AA32)</f>
        <v>0</v>
      </c>
      <c r="AB33" s="599">
        <f>SUM(AB12:AB32)</f>
        <v>0</v>
      </c>
      <c r="AC33" s="599">
        <f>SUM(AC12:AC32)</f>
        <v>0</v>
      </c>
      <c r="AD33" s="319">
        <f>SUM(AD12:AD32)</f>
        <v>0</v>
      </c>
      <c r="AF33" s="319">
        <f>SUM(AF12:AF32)</f>
        <v>0</v>
      </c>
      <c r="AH33" s="319">
        <f>SUM(AH12:AH32)</f>
        <v>0</v>
      </c>
      <c r="AI33" s="319">
        <f>SUM(AI12:AI32)</f>
        <v>0</v>
      </c>
      <c r="AL33" s="319">
        <f>SUM(AL12:AL32)</f>
        <v>0</v>
      </c>
      <c r="AM33" s="319">
        <f t="shared" ref="AM33:AN33" si="26">SUM(AM12:AM32)</f>
        <v>0</v>
      </c>
      <c r="AN33" s="319">
        <f t="shared" si="26"/>
        <v>0</v>
      </c>
      <c r="AV33" s="491"/>
      <c r="AW33" s="52" t="s">
        <v>255</v>
      </c>
      <c r="AX33" s="492">
        <v>3824</v>
      </c>
      <c r="AY33" s="492">
        <v>15819</v>
      </c>
      <c r="AZ33" s="492">
        <v>31421</v>
      </c>
      <c r="BA33" s="492">
        <v>38852</v>
      </c>
      <c r="BD33" s="52" t="s">
        <v>255</v>
      </c>
      <c r="BE33" s="492">
        <v>3824</v>
      </c>
      <c r="BF33" s="492">
        <v>15819</v>
      </c>
      <c r="BG33" s="492">
        <v>31421</v>
      </c>
      <c r="BH33" s="492">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5">
    <tabColor rgb="FFFF0000"/>
    <pageSetUpPr fitToPage="1"/>
  </sheetPr>
  <dimension ref="A1:W84"/>
  <sheetViews>
    <sheetView showFormulas="1" zoomScaleNormal="100" workbookViewId="0">
      <selection activeCell="A48" sqref="A48"/>
    </sheetView>
  </sheetViews>
  <sheetFormatPr defaultColWidth="8.85546875" defaultRowHeight="15" x14ac:dyDescent="0.25"/>
  <cols>
    <col min="1" max="1" width="16.85546875" style="1034" bestFit="1" customWidth="1"/>
    <col min="2" max="2" width="23.5703125" style="1034" bestFit="1" customWidth="1"/>
    <col min="3" max="3" width="18.7109375" style="1034" customWidth="1"/>
    <col min="4" max="4" width="16.5703125" style="1034" bestFit="1" customWidth="1"/>
    <col min="5" max="5" width="1.7109375" style="276" customWidth="1"/>
    <col min="6" max="6" width="14.140625" style="1034" customWidth="1"/>
    <col min="7" max="7" width="11.5703125" style="1034" bestFit="1" customWidth="1"/>
    <col min="8" max="8" width="1.7109375" style="277" customWidth="1"/>
    <col min="9" max="9" width="8.140625" style="1034" customWidth="1"/>
    <col min="10" max="10" width="20.28515625" style="1034" bestFit="1" customWidth="1"/>
    <col min="11" max="11" width="20.7109375" style="1034" bestFit="1" customWidth="1"/>
    <col min="12" max="12" width="12.5703125" style="1034" customWidth="1"/>
    <col min="13" max="13" width="1.7109375" style="277" customWidth="1"/>
    <col min="14" max="14" width="9.5703125" style="1034" customWidth="1"/>
    <col min="15" max="15" width="13.7109375" style="1034" customWidth="1"/>
    <col min="16" max="17" width="14.7109375" style="1034" customWidth="1"/>
    <col min="18" max="18" width="1.7109375" style="277" customWidth="1"/>
    <col min="19" max="19" width="8.140625" style="1034" customWidth="1"/>
    <col min="20" max="20" width="15.85546875" style="1034" customWidth="1"/>
    <col min="21" max="21" width="12.140625" style="1034" bestFit="1" customWidth="1"/>
    <col min="22" max="22" width="14.7109375" style="1034" customWidth="1"/>
    <col min="23" max="23" width="1.7109375" style="277" customWidth="1"/>
    <col min="24" max="16384" width="8.85546875" style="1034"/>
  </cols>
  <sheetData>
    <row r="1" spans="1:23" ht="29.25" thickBot="1" x14ac:dyDescent="0.5">
      <c r="A1" s="1673" t="s">
        <v>799</v>
      </c>
      <c r="B1" s="1673"/>
      <c r="C1" s="1673"/>
      <c r="D1" s="1673"/>
      <c r="F1" s="1674" t="s">
        <v>728</v>
      </c>
      <c r="G1" s="1674"/>
      <c r="I1" s="1675" t="s">
        <v>798</v>
      </c>
      <c r="J1" s="1676"/>
      <c r="K1" s="1676"/>
      <c r="L1" s="1676"/>
      <c r="M1" s="1676"/>
      <c r="N1" s="1676"/>
      <c r="O1" s="1676"/>
      <c r="P1" s="1676"/>
      <c r="Q1" s="1676"/>
      <c r="R1" s="1676"/>
      <c r="S1" s="1676"/>
      <c r="T1" s="1676"/>
      <c r="U1" s="1676"/>
      <c r="V1" s="1677"/>
    </row>
    <row r="2" spans="1:23" x14ac:dyDescent="0.25">
      <c r="I2" s="325"/>
      <c r="J2" s="135"/>
      <c r="K2" s="135"/>
      <c r="L2" s="135"/>
      <c r="M2" s="135"/>
      <c r="N2" s="135"/>
      <c r="O2" s="135"/>
      <c r="P2" s="135"/>
      <c r="Q2" s="135"/>
      <c r="R2" s="135"/>
      <c r="S2" s="135"/>
      <c r="T2" s="135"/>
      <c r="U2" s="135"/>
      <c r="V2" s="328"/>
    </row>
    <row r="3" spans="1:23" x14ac:dyDescent="0.25">
      <c r="A3" s="1034" t="s">
        <v>245</v>
      </c>
      <c r="B3" s="1666">
        <f>Welcome!$D$4</f>
        <v>0</v>
      </c>
      <c r="C3" s="1666"/>
      <c r="I3" s="321">
        <v>1</v>
      </c>
      <c r="J3" s="1034" t="s">
        <v>754</v>
      </c>
      <c r="L3" s="1666" t="str">
        <f>"ALC "&amp;'Required Info to Submit'!$F$6</f>
        <v xml:space="preserve">ALC </v>
      </c>
      <c r="M3" s="1666"/>
      <c r="N3" s="1666"/>
      <c r="O3" s="1666"/>
      <c r="P3" s="1666"/>
      <c r="R3" s="1034"/>
      <c r="V3" s="138"/>
    </row>
    <row r="4" spans="1:23" ht="45" x14ac:dyDescent="0.25">
      <c r="A4" s="1034" t="s">
        <v>735</v>
      </c>
      <c r="B4" s="1671">
        <f>'Required Info to Submit'!$F$6</f>
        <v>0</v>
      </c>
      <c r="C4" s="1671"/>
      <c r="D4" s="1044" t="s">
        <v>889</v>
      </c>
      <c r="F4" s="242" t="s">
        <v>729</v>
      </c>
      <c r="G4" s="627">
        <f>Incentives!$H$9</f>
        <v>0</v>
      </c>
      <c r="H4" s="279"/>
      <c r="I4" s="321">
        <v>2</v>
      </c>
      <c r="J4" s="1034" t="s">
        <v>730</v>
      </c>
      <c r="L4" s="329">
        <f>'Required Info to Submit'!$F$14</f>
        <v>0</v>
      </c>
      <c r="M4" s="329"/>
      <c r="N4" s="329"/>
      <c r="O4" s="330">
        <v>3</v>
      </c>
      <c r="P4" s="1666" t="s">
        <v>732</v>
      </c>
      <c r="Q4" s="1666"/>
      <c r="R4" s="1666"/>
      <c r="S4" s="1672" t="e">
        <f>$L$4+(364*$G$5)+6</f>
        <v>#VALUE!</v>
      </c>
      <c r="T4" s="1672"/>
      <c r="U4" s="329"/>
      <c r="V4" s="138"/>
    </row>
    <row r="5" spans="1:23" x14ac:dyDescent="0.25">
      <c r="A5" s="1034" t="s">
        <v>1017</v>
      </c>
      <c r="B5" s="1668">
        <f>'Required Info to Submit'!$F$8</f>
        <v>0</v>
      </c>
      <c r="C5" s="1668"/>
      <c r="D5" s="1034" t="e">
        <f>G5*12</f>
        <v>#VALUE!</v>
      </c>
      <c r="F5" s="242" t="s">
        <v>731</v>
      </c>
      <c r="G5" s="278" t="str">
        <f>Welcome!$D$12</f>
        <v>Select Term</v>
      </c>
      <c r="H5" s="279"/>
      <c r="I5" s="1046"/>
      <c r="M5" s="1034"/>
      <c r="O5" s="1044"/>
      <c r="P5" s="1039"/>
      <c r="Q5" s="1039"/>
      <c r="R5" s="1039"/>
      <c r="S5" s="1039"/>
      <c r="T5" s="1039"/>
      <c r="V5" s="138"/>
    </row>
    <row r="6" spans="1:23" x14ac:dyDescent="0.25">
      <c r="A6" s="1034" t="s">
        <v>793</v>
      </c>
      <c r="B6" s="1669">
        <f>'Required Info to Submit'!$F$14</f>
        <v>0</v>
      </c>
      <c r="C6" s="1669"/>
      <c r="F6" s="1034" t="s">
        <v>733</v>
      </c>
      <c r="G6" s="719">
        <f>IF(L4&lt;43827,43827-L4+1,IF(L4&lt;43918,43918-L4+1,IF(L4&lt;44009,44009-L4+1,IF(L4&lt;44198,44198-L4+1,IF(L4&lt;44289,44289-L4+1,IF(L4&lt;44380,44380-L4+1,IF(L4&lt;44471,44471-L4+1,44562-L4+1)))))))/7</f>
        <v>6261.1428571428569</v>
      </c>
      <c r="H6" s="280"/>
      <c r="I6" s="321">
        <v>5</v>
      </c>
      <c r="J6" s="1034" t="s">
        <v>734</v>
      </c>
      <c r="L6" s="1039">
        <f>'MDA Worksheet'!$D$95</f>
        <v>0</v>
      </c>
      <c r="M6" s="1034"/>
      <c r="O6" s="330">
        <v>7</v>
      </c>
      <c r="P6" s="1666" t="s">
        <v>755</v>
      </c>
      <c r="Q6" s="1666"/>
      <c r="R6" s="1666"/>
      <c r="S6" s="1670">
        <f>-('Tracking &amp; Profitability'!$E$23)</f>
        <v>0</v>
      </c>
      <c r="T6" s="1670"/>
      <c r="U6" s="20"/>
      <c r="V6" s="138"/>
    </row>
    <row r="7" spans="1:23" x14ac:dyDescent="0.25">
      <c r="A7" s="1034" t="s">
        <v>794</v>
      </c>
      <c r="B7" s="1666">
        <f>'Required Info to Submit'!$F$10</f>
        <v>0</v>
      </c>
      <c r="C7" s="1666"/>
      <c r="F7" s="1044" t="str">
        <f>IF(Incentives!E15="Yes","VB","")</f>
        <v/>
      </c>
      <c r="G7" s="1044" t="str">
        <f>IF(Incentives!E57="YES","DS","")</f>
        <v/>
      </c>
      <c r="I7" s="321">
        <v>6</v>
      </c>
      <c r="J7" s="1034" t="s">
        <v>756</v>
      </c>
      <c r="L7" s="1666" t="str">
        <f>'MDA Worksheet'!$K$95</f>
        <v/>
      </c>
      <c r="M7" s="1666"/>
      <c r="N7" s="1666"/>
      <c r="O7" s="330">
        <v>8</v>
      </c>
      <c r="P7" s="1666" t="s">
        <v>869</v>
      </c>
      <c r="Q7" s="1666"/>
      <c r="R7" s="1666"/>
      <c r="S7" s="1666">
        <f>'Required Info to Submit'!$F$10</f>
        <v>0</v>
      </c>
      <c r="T7" s="1666"/>
      <c r="V7" s="138"/>
    </row>
    <row r="8" spans="1:23" x14ac:dyDescent="0.25">
      <c r="A8" s="1034" t="s">
        <v>795</v>
      </c>
      <c r="B8" s="1666">
        <f>'Required Info to Submit'!$F$9</f>
        <v>0</v>
      </c>
      <c r="C8" s="1666"/>
      <c r="F8" s="1044" t="str">
        <f>IF(Incentives!E85="Yes","EB","")</f>
        <v/>
      </c>
      <c r="G8" s="1044" t="str">
        <f>IF(Incentives!E113="Yes","SG","")</f>
        <v/>
      </c>
      <c r="I8" s="137"/>
      <c r="M8" s="1034"/>
      <c r="R8" s="1034"/>
      <c r="V8" s="138"/>
    </row>
    <row r="9" spans="1:23" x14ac:dyDescent="0.25">
      <c r="A9" s="1034" t="s">
        <v>654</v>
      </c>
      <c r="B9" s="1666">
        <f>'Required Info to Submit'!$F$12</f>
        <v>0</v>
      </c>
      <c r="C9" s="1666"/>
      <c r="F9" s="1044" t="str">
        <f>IF(Incentives!E153="Yes","EC","")</f>
        <v/>
      </c>
      <c r="G9" s="1044" t="str">
        <f>IF(Incentives!E220="Yes","CC","")</f>
        <v/>
      </c>
      <c r="I9" s="331" t="s">
        <v>871</v>
      </c>
      <c r="J9" s="1040" t="s">
        <v>925</v>
      </c>
      <c r="K9" s="281" t="s">
        <v>860</v>
      </c>
      <c r="L9" s="1040" t="s">
        <v>872</v>
      </c>
      <c r="M9" s="1040"/>
      <c r="N9" s="1040"/>
      <c r="O9" s="281" t="s">
        <v>873</v>
      </c>
      <c r="P9" s="1040"/>
      <c r="Q9" s="1041"/>
      <c r="R9" s="1034"/>
      <c r="V9" s="138"/>
    </row>
    <row r="10" spans="1:23" ht="15.75" thickBot="1" x14ac:dyDescent="0.3">
      <c r="A10" s="1034" t="s">
        <v>796</v>
      </c>
      <c r="B10" s="1666">
        <f>'Required Info to Submit'!$F$11</f>
        <v>0</v>
      </c>
      <c r="C10" s="1666"/>
      <c r="F10" s="1044" t="str">
        <f>IF(Incentives!E196="Yes","PP","")</f>
        <v/>
      </c>
      <c r="G10" s="1044" t="e">
        <f>IF(Incentives!#REF!="Yes","CBT","")</f>
        <v>#REF!</v>
      </c>
      <c r="I10" s="256"/>
      <c r="J10" s="257"/>
      <c r="K10" s="257"/>
      <c r="L10" s="257"/>
      <c r="M10" s="257"/>
      <c r="N10" s="257"/>
      <c r="O10" s="257"/>
      <c r="P10" s="257"/>
      <c r="Q10" s="257"/>
      <c r="R10" s="257"/>
      <c r="S10" s="257"/>
      <c r="T10" s="257"/>
      <c r="U10" s="257"/>
      <c r="V10" s="258"/>
    </row>
    <row r="11" spans="1:23" ht="16.5" thickBot="1" x14ac:dyDescent="0.3">
      <c r="B11" s="1667"/>
      <c r="C11" s="1667"/>
      <c r="F11" s="1044" t="str">
        <f>IF(Incentives!E208="Yes","Roll","")</f>
        <v/>
      </c>
      <c r="I11" s="1651" t="s">
        <v>736</v>
      </c>
      <c r="J11" s="1652"/>
      <c r="K11" s="1652"/>
      <c r="L11" s="1653"/>
      <c r="M11" s="284"/>
      <c r="N11" s="1651" t="s">
        <v>478</v>
      </c>
      <c r="O11" s="1652"/>
      <c r="P11" s="1652"/>
      <c r="Q11" s="1653"/>
      <c r="R11" s="284"/>
      <c r="S11" s="1651" t="s">
        <v>530</v>
      </c>
      <c r="T11" s="1652"/>
      <c r="U11" s="1652"/>
      <c r="V11" s="1653"/>
    </row>
    <row r="12" spans="1:23" ht="15.75" thickBot="1" x14ac:dyDescent="0.3">
      <c r="A12" s="1637" t="s">
        <v>736</v>
      </c>
      <c r="B12" s="1638"/>
      <c r="C12" s="1638"/>
      <c r="D12" s="1639"/>
      <c r="E12" s="814"/>
      <c r="F12" s="135"/>
      <c r="G12" s="135"/>
      <c r="H12" s="770"/>
      <c r="I12" s="1640" t="s">
        <v>737</v>
      </c>
      <c r="J12" s="1641"/>
      <c r="K12" s="1641"/>
      <c r="L12" s="1642"/>
      <c r="M12" s="284"/>
      <c r="N12" s="1640" t="s">
        <v>738</v>
      </c>
      <c r="O12" s="1641"/>
      <c r="P12" s="1641"/>
      <c r="Q12" s="1642"/>
      <c r="R12" s="284"/>
      <c r="S12" s="1640" t="s">
        <v>739</v>
      </c>
      <c r="T12" s="1641"/>
      <c r="U12" s="1641"/>
      <c r="V12" s="1642"/>
    </row>
    <row r="13" spans="1:23" x14ac:dyDescent="0.25">
      <c r="A13" s="285" t="s">
        <v>740</v>
      </c>
      <c r="B13" s="286">
        <f>$L$4</f>
        <v>0</v>
      </c>
      <c r="C13" s="287" t="s">
        <v>741</v>
      </c>
      <c r="D13" s="291" t="e">
        <f>$S$4</f>
        <v>#VALUE!</v>
      </c>
      <c r="E13" s="288"/>
      <c r="F13" s="287"/>
      <c r="G13" s="287"/>
      <c r="H13" s="289"/>
      <c r="I13" s="322" t="s">
        <v>742</v>
      </c>
      <c r="J13" s="286">
        <f>L4</f>
        <v>0</v>
      </c>
      <c r="K13" s="290" t="s">
        <v>743</v>
      </c>
      <c r="L13" s="291" t="e">
        <f>D13</f>
        <v>#VALUE!</v>
      </c>
      <c r="M13" s="289"/>
      <c r="N13" s="1045" t="s">
        <v>742</v>
      </c>
      <c r="O13" s="293">
        <f>$L$4</f>
        <v>0</v>
      </c>
      <c r="P13" s="1038" t="s">
        <v>743</v>
      </c>
      <c r="Q13" s="316" t="e">
        <f>$S$4</f>
        <v>#VALUE!</v>
      </c>
      <c r="R13" s="289"/>
      <c r="S13" s="137" t="s">
        <v>742</v>
      </c>
      <c r="T13" s="293">
        <f>$L$4</f>
        <v>0</v>
      </c>
      <c r="U13" s="1038" t="s">
        <v>743</v>
      </c>
      <c r="V13" s="316" t="e">
        <f>$S$4</f>
        <v>#VALUE!</v>
      </c>
      <c r="W13" s="279"/>
    </row>
    <row r="14" spans="1:23" ht="45" x14ac:dyDescent="0.25">
      <c r="A14" s="292" t="s">
        <v>873</v>
      </c>
      <c r="B14" s="293">
        <f>Incentives!$I$14</f>
        <v>0</v>
      </c>
      <c r="C14" s="242"/>
      <c r="D14" s="297"/>
      <c r="E14" s="294"/>
      <c r="F14" s="242"/>
      <c r="G14" s="242"/>
      <c r="H14" s="279"/>
      <c r="I14" s="323" t="s">
        <v>890</v>
      </c>
      <c r="J14" s="293">
        <f>Incentives!$I$14</f>
        <v>0</v>
      </c>
      <c r="K14" s="296" t="str">
        <f>IF(J14="Check","Check","Credit Memo")</f>
        <v>Credit Memo</v>
      </c>
      <c r="L14" s="628">
        <f>Incentives!$K$14</f>
        <v>0</v>
      </c>
      <c r="M14" s="279"/>
      <c r="N14" s="323" t="s">
        <v>891</v>
      </c>
      <c r="O14" s="293">
        <f>Incentives!$I$56</f>
        <v>0</v>
      </c>
      <c r="P14" s="296" t="str">
        <f>IF(O14="Check","Check","Credit Memo")</f>
        <v>Credit Memo</v>
      </c>
      <c r="Q14" s="628">
        <f>Incentives!$K$56</f>
        <v>0</v>
      </c>
      <c r="R14" s="279"/>
      <c r="S14" s="292" t="s">
        <v>891</v>
      </c>
      <c r="T14" s="293">
        <f>Incentives!$I$84</f>
        <v>0</v>
      </c>
      <c r="U14" s="296" t="str">
        <f>IF(T14="Check","Check","Credit Memo")</f>
        <v>Credit Memo</v>
      </c>
      <c r="V14" s="628">
        <f>Incentives!$K$84</f>
        <v>0</v>
      </c>
      <c r="W14" s="279"/>
    </row>
    <row r="15" spans="1:23" x14ac:dyDescent="0.25">
      <c r="A15" s="292" t="s">
        <v>1176</v>
      </c>
      <c r="B15" s="293">
        <f>Incentives!$G$14</f>
        <v>0</v>
      </c>
      <c r="C15" s="242"/>
      <c r="D15" s="297"/>
      <c r="E15" s="294"/>
      <c r="F15" s="242"/>
      <c r="G15" s="242"/>
      <c r="H15" s="279"/>
      <c r="I15" s="711" t="s">
        <v>1176</v>
      </c>
      <c r="J15" s="293">
        <f>B15</f>
        <v>0</v>
      </c>
      <c r="K15" s="296"/>
      <c r="L15" s="297"/>
      <c r="M15" s="279"/>
      <c r="N15" s="137"/>
      <c r="O15" s="1038" t="s">
        <v>885</v>
      </c>
      <c r="P15" s="1034" t="s">
        <v>886</v>
      </c>
      <c r="Q15" s="138"/>
      <c r="R15" s="279"/>
      <c r="S15" s="137"/>
      <c r="T15" s="1038" t="s">
        <v>885</v>
      </c>
      <c r="U15" s="1034" t="s">
        <v>886</v>
      </c>
      <c r="V15" s="138"/>
      <c r="W15" s="279"/>
    </row>
    <row r="16" spans="1:23" x14ac:dyDescent="0.25">
      <c r="A16" s="292"/>
      <c r="B16" s="293"/>
      <c r="C16" s="242"/>
      <c r="D16" s="297"/>
      <c r="E16" s="294"/>
      <c r="F16" s="242"/>
      <c r="G16" s="242"/>
      <c r="H16" s="279"/>
      <c r="I16" s="323"/>
      <c r="J16" s="1038" t="s">
        <v>884</v>
      </c>
      <c r="K16" s="295" t="str">
        <f>Incentives!$I$20</f>
        <v/>
      </c>
      <c r="L16" s="297"/>
      <c r="M16" s="279"/>
      <c r="N16" s="711" t="s">
        <v>1176</v>
      </c>
      <c r="O16" s="1034">
        <f>B27</f>
        <v>0</v>
      </c>
      <c r="P16" s="296"/>
      <c r="Q16" s="297"/>
      <c r="R16" s="279"/>
      <c r="S16" s="711" t="s">
        <v>1176</v>
      </c>
      <c r="T16" s="1034">
        <f>B37</f>
        <v>0</v>
      </c>
      <c r="U16" s="296"/>
      <c r="V16" s="297"/>
      <c r="W16" s="279"/>
    </row>
    <row r="17" spans="1:23" x14ac:dyDescent="0.25">
      <c r="A17" s="137"/>
      <c r="D17" s="138"/>
      <c r="I17" s="137"/>
      <c r="J17" s="1038" t="s">
        <v>885</v>
      </c>
      <c r="K17" s="1034" t="s">
        <v>886</v>
      </c>
      <c r="L17" s="138"/>
      <c r="M17" s="298"/>
      <c r="N17" s="137"/>
      <c r="Q17" s="324"/>
      <c r="S17" s="137"/>
      <c r="V17" s="138"/>
    </row>
    <row r="18" spans="1:23" ht="30" x14ac:dyDescent="0.25">
      <c r="A18" s="299"/>
      <c r="B18" s="300" t="s">
        <v>744</v>
      </c>
      <c r="C18" s="300" t="s">
        <v>745</v>
      </c>
      <c r="D18" s="696" t="s">
        <v>746</v>
      </c>
      <c r="E18" s="301"/>
      <c r="F18" s="302"/>
      <c r="G18" s="302" t="s">
        <v>747</v>
      </c>
      <c r="H18" s="303"/>
      <c r="I18" s="711">
        <v>3</v>
      </c>
      <c r="J18" s="302"/>
      <c r="K18" s="712" t="s">
        <v>1052</v>
      </c>
      <c r="L18" s="713" t="s">
        <v>1053</v>
      </c>
      <c r="M18" s="303"/>
      <c r="N18" s="711">
        <v>3</v>
      </c>
      <c r="P18" s="712" t="s">
        <v>1052</v>
      </c>
      <c r="Q18" s="713" t="s">
        <v>1053</v>
      </c>
      <c r="R18" s="303"/>
      <c r="S18" s="711">
        <v>2</v>
      </c>
      <c r="U18" s="712" t="s">
        <v>1054</v>
      </c>
      <c r="V18" s="713" t="s">
        <v>1055</v>
      </c>
      <c r="W18" s="303"/>
    </row>
    <row r="19" spans="1:23" x14ac:dyDescent="0.25">
      <c r="A19" s="137"/>
      <c r="B19" s="1042">
        <v>0</v>
      </c>
      <c r="C19" s="340">
        <f>IF(ISERROR(B20-0.01),"",B20-0.01)</f>
        <v>-0.01</v>
      </c>
      <c r="D19" s="815">
        <f>Incentives!$K$17</f>
        <v>0</v>
      </c>
      <c r="E19" s="305"/>
      <c r="I19" s="1046" t="s">
        <v>1048</v>
      </c>
      <c r="K19" s="1034">
        <v>0</v>
      </c>
      <c r="L19" s="700">
        <f>D19</f>
        <v>0</v>
      </c>
      <c r="N19" s="1046" t="s">
        <v>1048</v>
      </c>
      <c r="P19" s="337">
        <f>B29</f>
        <v>0</v>
      </c>
      <c r="Q19" s="701">
        <f>D29</f>
        <v>0</v>
      </c>
      <c r="S19" s="1046" t="s">
        <v>1048</v>
      </c>
      <c r="U19" s="24">
        <f>B39</f>
        <v>0</v>
      </c>
      <c r="V19" s="701">
        <f>D39</f>
        <v>0</v>
      </c>
    </row>
    <row r="20" spans="1:23" x14ac:dyDescent="0.25">
      <c r="A20" s="137"/>
      <c r="B20" s="334">
        <f>ROUND(Incentives!$G$19,0)</f>
        <v>0</v>
      </c>
      <c r="C20" s="340" t="str">
        <f>IF(ISERROR(B21-0.01),"",B21-0.01)</f>
        <v/>
      </c>
      <c r="D20" s="815">
        <f>Incentives!$K$19</f>
        <v>0</v>
      </c>
      <c r="E20" s="305"/>
      <c r="F20" s="1034">
        <v>1</v>
      </c>
      <c r="G20" s="306">
        <f>Incentives!$E$20</f>
        <v>0</v>
      </c>
      <c r="H20" s="307"/>
      <c r="I20" s="1046" t="s">
        <v>1049</v>
      </c>
      <c r="J20" s="1034">
        <f>IF(AND($B$20=0, B21=0),"Flat Rate",0)</f>
        <v>0</v>
      </c>
      <c r="K20" s="1034" t="str">
        <f>IF($B$20=0,"",ROUND($B$20,0))</f>
        <v/>
      </c>
      <c r="L20" s="701">
        <f t="shared" ref="L20:L22" si="0">D20</f>
        <v>0</v>
      </c>
      <c r="N20" s="1046" t="s">
        <v>1049</v>
      </c>
      <c r="P20" s="338">
        <f>B30</f>
        <v>0</v>
      </c>
      <c r="Q20" s="701">
        <f>D30</f>
        <v>0</v>
      </c>
      <c r="S20" s="1046" t="s">
        <v>1049</v>
      </c>
      <c r="U20" s="24">
        <f>B40</f>
        <v>0</v>
      </c>
      <c r="V20" s="701">
        <f>D40</f>
        <v>0</v>
      </c>
    </row>
    <row r="21" spans="1:23" x14ac:dyDescent="0.25">
      <c r="A21" s="137"/>
      <c r="B21" s="334" t="str">
        <f>IF(D21=0,"",ROUND(Incentives!$G$20,0))</f>
        <v/>
      </c>
      <c r="C21" s="340" t="str">
        <f>IF(OR(ISERROR(B22-0.01),B22=0),"",B22-0.01)</f>
        <v/>
      </c>
      <c r="D21" s="815">
        <f>Incentives!$K$20</f>
        <v>0</v>
      </c>
      <c r="E21" s="305"/>
      <c r="F21" s="1034">
        <v>2</v>
      </c>
      <c r="G21" s="306">
        <f>Incentives!$E$21</f>
        <v>0</v>
      </c>
      <c r="H21" s="307"/>
      <c r="I21" s="1046" t="s">
        <v>1050</v>
      </c>
      <c r="K21" s="1034" t="str">
        <f>IF($B$21="","",ROUND($B$21,0))</f>
        <v/>
      </c>
      <c r="L21" s="701">
        <f t="shared" si="0"/>
        <v>0</v>
      </c>
      <c r="N21" s="1046" t="s">
        <v>1050</v>
      </c>
      <c r="P21" s="338">
        <f>B31</f>
        <v>0</v>
      </c>
      <c r="Q21" s="701">
        <f>D31</f>
        <v>0</v>
      </c>
      <c r="S21" s="1046" t="s">
        <v>1050</v>
      </c>
      <c r="U21" s="55">
        <f>B41</f>
        <v>0</v>
      </c>
      <c r="V21" s="700">
        <f>D41</f>
        <v>0</v>
      </c>
    </row>
    <row r="22" spans="1:23" ht="15.75" thickBot="1" x14ac:dyDescent="0.3">
      <c r="A22" s="256"/>
      <c r="B22" s="335" t="str">
        <f>IF(D22=0,"",Incentives!$G$21)</f>
        <v/>
      </c>
      <c r="C22" s="309">
        <v>999999.99</v>
      </c>
      <c r="D22" s="816">
        <f>Incentives!$K$21</f>
        <v>0</v>
      </c>
      <c r="E22" s="311"/>
      <c r="F22" s="257">
        <v>3</v>
      </c>
      <c r="G22" s="312">
        <f>Incentives!$E$23</f>
        <v>0</v>
      </c>
      <c r="H22" s="313"/>
      <c r="I22" s="1046" t="s">
        <v>1051</v>
      </c>
      <c r="J22" s="257"/>
      <c r="K22" s="257" t="str">
        <f>IF($B$22="","",ROUND($B$22,0))</f>
        <v/>
      </c>
      <c r="L22" s="776">
        <f t="shared" si="0"/>
        <v>0</v>
      </c>
      <c r="M22" s="314"/>
      <c r="N22" s="1046" t="s">
        <v>1051</v>
      </c>
      <c r="O22" s="257"/>
      <c r="P22" s="339">
        <f>B32</f>
        <v>0</v>
      </c>
      <c r="Q22" s="776">
        <f>D32</f>
        <v>0</v>
      </c>
      <c r="R22" s="314"/>
      <c r="S22" s="1046" t="s">
        <v>1051</v>
      </c>
      <c r="U22" s="55">
        <f>B42</f>
        <v>0</v>
      </c>
      <c r="V22" s="700">
        <f>D42</f>
        <v>0</v>
      </c>
    </row>
    <row r="23" spans="1:23" ht="16.5" thickBot="1" x14ac:dyDescent="0.3">
      <c r="E23" s="809"/>
      <c r="H23" s="770"/>
      <c r="I23" s="1651" t="s">
        <v>1168</v>
      </c>
      <c r="J23" s="1652"/>
      <c r="K23" s="1652"/>
      <c r="L23" s="1653"/>
      <c r="M23" s="769"/>
      <c r="N23" s="1663" t="s">
        <v>1169</v>
      </c>
      <c r="O23" s="1664"/>
      <c r="P23" s="1664"/>
      <c r="Q23" s="1665"/>
      <c r="R23" s="769"/>
      <c r="S23" s="1651" t="s">
        <v>1164</v>
      </c>
      <c r="T23" s="1652"/>
      <c r="U23" s="1652"/>
      <c r="V23" s="1653"/>
    </row>
    <row r="24" spans="1:23" ht="15.75" thickBot="1" x14ac:dyDescent="0.3">
      <c r="A24" s="1637" t="s">
        <v>478</v>
      </c>
      <c r="B24" s="1638"/>
      <c r="C24" s="1638"/>
      <c r="D24" s="1639"/>
      <c r="E24" s="283"/>
      <c r="F24" s="135"/>
      <c r="G24" s="135"/>
      <c r="H24" s="284"/>
      <c r="I24" s="1640" t="s">
        <v>748</v>
      </c>
      <c r="J24" s="1641"/>
      <c r="K24" s="1641"/>
      <c r="L24" s="1642"/>
      <c r="M24" s="769"/>
      <c r="N24" s="1654" t="s">
        <v>748</v>
      </c>
      <c r="O24" s="1655"/>
      <c r="P24" s="1655"/>
      <c r="Q24" s="1656"/>
      <c r="R24" s="769"/>
      <c r="S24" s="1640" t="s">
        <v>749</v>
      </c>
      <c r="T24" s="1641"/>
      <c r="U24" s="1641"/>
      <c r="V24" s="1642"/>
    </row>
    <row r="25" spans="1:23" x14ac:dyDescent="0.25">
      <c r="A25" s="292" t="s">
        <v>730</v>
      </c>
      <c r="B25" s="293">
        <f>$L$4</f>
        <v>0</v>
      </c>
      <c r="C25" s="242" t="s">
        <v>741</v>
      </c>
      <c r="D25" s="297" t="e">
        <f>$S$4</f>
        <v>#VALUE!</v>
      </c>
      <c r="I25" s="821" t="s">
        <v>742</v>
      </c>
      <c r="J25" s="286">
        <f>$L$4</f>
        <v>0</v>
      </c>
      <c r="K25" s="326" t="s">
        <v>743</v>
      </c>
      <c r="L25" s="327" t="e">
        <f>$S$4</f>
        <v>#VALUE!</v>
      </c>
      <c r="N25" s="137"/>
      <c r="Q25" s="138"/>
      <c r="S25" s="137" t="s">
        <v>742</v>
      </c>
      <c r="T25" s="293">
        <f>$L$4</f>
        <v>0</v>
      </c>
      <c r="U25" s="1038" t="s">
        <v>743</v>
      </c>
      <c r="V25" s="316" t="e">
        <f>$S$4</f>
        <v>#VALUE!</v>
      </c>
    </row>
    <row r="26" spans="1:23" ht="30" x14ac:dyDescent="0.25">
      <c r="A26" s="292" t="s">
        <v>873</v>
      </c>
      <c r="B26" s="293">
        <f>Incentives!$I$56</f>
        <v>0</v>
      </c>
      <c r="C26" s="242"/>
      <c r="D26" s="297"/>
      <c r="I26" s="1045"/>
      <c r="J26" s="1038" t="str">
        <f>IF(Incentives!$I$195="Check","Check","Credit Memo")</f>
        <v>Credit Memo</v>
      </c>
      <c r="K26" s="1034">
        <f>Incentives!$K$195</f>
        <v>0</v>
      </c>
      <c r="L26" s="316"/>
      <c r="N26" s="137"/>
      <c r="O26" s="690" t="s">
        <v>1157</v>
      </c>
      <c r="P26" s="690"/>
      <c r="Q26" s="759">
        <f>D62</f>
        <v>0</v>
      </c>
      <c r="S26" s="292" t="s">
        <v>891</v>
      </c>
      <c r="T26" s="293" t="e">
        <f>Incentives!#REF!</f>
        <v>#REF!</v>
      </c>
      <c r="U26" s="296" t="e">
        <f>IF($T$26="Check","Check","Credit Memo")</f>
        <v>#REF!</v>
      </c>
      <c r="V26" s="628" t="e">
        <f>Incentives!#REF!</f>
        <v>#REF!</v>
      </c>
    </row>
    <row r="27" spans="1:23" x14ac:dyDescent="0.25">
      <c r="A27" s="137" t="s">
        <v>1176</v>
      </c>
      <c r="B27" s="1034">
        <f>Incentives!$G$56</f>
        <v>0</v>
      </c>
      <c r="D27" s="138"/>
      <c r="I27" s="137"/>
      <c r="L27" s="138"/>
      <c r="N27" s="760" t="s">
        <v>1156</v>
      </c>
      <c r="O27" s="690" t="s">
        <v>742</v>
      </c>
      <c r="P27" s="690" t="s">
        <v>743</v>
      </c>
      <c r="Q27" s="761"/>
      <c r="S27" s="137"/>
      <c r="T27" s="1034" t="s">
        <v>870</v>
      </c>
      <c r="V27" s="138"/>
    </row>
    <row r="28" spans="1:23" ht="30" x14ac:dyDescent="0.25">
      <c r="A28" s="137"/>
      <c r="B28" s="300" t="s">
        <v>126</v>
      </c>
      <c r="C28" s="300" t="s">
        <v>128</v>
      </c>
      <c r="D28" s="696" t="s">
        <v>746</v>
      </c>
      <c r="E28" s="317"/>
      <c r="I28" s="137"/>
      <c r="L28" s="138"/>
      <c r="N28" s="762" t="s">
        <v>1159</v>
      </c>
      <c r="O28" s="1069">
        <f>L4</f>
        <v>0</v>
      </c>
      <c r="P28" s="1069">
        <f>O28+363</f>
        <v>363</v>
      </c>
      <c r="Q28" s="763" t="e">
        <f>$C$62/$B$62</f>
        <v>#VALUE!</v>
      </c>
      <c r="S28" s="137"/>
      <c r="V28" s="138"/>
    </row>
    <row r="29" spans="1:23" ht="30" x14ac:dyDescent="0.25">
      <c r="A29" s="137"/>
      <c r="B29" s="336">
        <v>0</v>
      </c>
      <c r="C29" s="340">
        <f>ROUND(IF(ISERROR(B30-0.01),"",B30-0.01),2)</f>
        <v>-0.01</v>
      </c>
      <c r="D29" s="699">
        <f>Incentives!$K$59</f>
        <v>0</v>
      </c>
      <c r="I29" s="321">
        <v>1</v>
      </c>
      <c r="J29" s="302" t="s">
        <v>751</v>
      </c>
      <c r="K29" s="757">
        <f>IF(B60="YES - Purchase Commitment",Incentives!$M$198,Incentives!$K$198)</f>
        <v>0</v>
      </c>
      <c r="L29" s="138"/>
      <c r="N29" s="762" t="s">
        <v>1160</v>
      </c>
      <c r="O29" s="1069">
        <f>P28+1</f>
        <v>364</v>
      </c>
      <c r="P29" s="1069">
        <f>O29+370</f>
        <v>734</v>
      </c>
      <c r="Q29" s="763" t="e">
        <f>$C$62/$B$62</f>
        <v>#VALUE!</v>
      </c>
      <c r="S29" s="321">
        <v>2</v>
      </c>
      <c r="T29" s="302" t="s">
        <v>751</v>
      </c>
      <c r="U29" s="757" t="e">
        <f>Incentives!#REF!</f>
        <v>#REF!</v>
      </c>
      <c r="V29" s="138"/>
    </row>
    <row r="30" spans="1:23" x14ac:dyDescent="0.25">
      <c r="A30" s="137"/>
      <c r="B30" s="334">
        <f>ROUND(Incentives!$G$61,0)</f>
        <v>0</v>
      </c>
      <c r="C30" s="340">
        <f t="shared" ref="C30:C31" si="1">ROUND(IF(ISERROR(B31-0.01),"",B31-0.01),2)</f>
        <v>-0.01</v>
      </c>
      <c r="D30" s="699">
        <f>Incentives!$K$61</f>
        <v>0</v>
      </c>
      <c r="I30" s="822" t="str">
        <f>IF($B$60="YES - Purchase Commitment",3,"")</f>
        <v/>
      </c>
      <c r="J30" s="302" t="str">
        <f>IF($B$60="YES - Purchase Commitment","Min Sales Required","")</f>
        <v/>
      </c>
      <c r="K30" s="758">
        <f>$G$4</f>
        <v>0</v>
      </c>
      <c r="L30" s="138" t="s">
        <v>874</v>
      </c>
      <c r="N30" s="762" t="s">
        <v>1161</v>
      </c>
      <c r="O30" s="1069">
        <f>P29+1</f>
        <v>735</v>
      </c>
      <c r="P30" s="1069">
        <f>O30+363</f>
        <v>1098</v>
      </c>
      <c r="Q30" s="763" t="e">
        <f>$C$62/$B$62</f>
        <v>#VALUE!</v>
      </c>
      <c r="S30" s="137"/>
      <c r="V30" s="138"/>
    </row>
    <row r="31" spans="1:23" x14ac:dyDescent="0.25">
      <c r="A31" s="137"/>
      <c r="B31" s="334">
        <f>ROUND(Incentives!$G$62,0)</f>
        <v>0</v>
      </c>
      <c r="C31" s="340">
        <f t="shared" si="1"/>
        <v>-0.01</v>
      </c>
      <c r="D31" s="699">
        <f>Incentives!$K$62</f>
        <v>0</v>
      </c>
      <c r="I31" s="822">
        <f>IF($B$60="YES - Purchase Commitment"," ",3)</f>
        <v>3</v>
      </c>
      <c r="J31" s="302" t="str">
        <f>IF($B$60="YES - Purchase Commitment"," ","Min Sales Required")</f>
        <v>Min Sales Required</v>
      </c>
      <c r="K31" s="758" t="e">
        <f>IF($B$60="YES - Purchase Commitment","",$G$4*$G$5)</f>
        <v>#VALUE!</v>
      </c>
      <c r="L31" s="628" t="s">
        <v>757</v>
      </c>
      <c r="N31" s="762" t="s">
        <v>1162</v>
      </c>
      <c r="O31" s="1069">
        <f>P30+1</f>
        <v>1099</v>
      </c>
      <c r="P31" s="1069">
        <f>O31+363</f>
        <v>1462</v>
      </c>
      <c r="Q31" s="763" t="e">
        <f>$C$62/$B$62</f>
        <v>#VALUE!</v>
      </c>
      <c r="S31" s="137"/>
      <c r="V31" s="138"/>
    </row>
    <row r="32" spans="1:23" ht="15.75" thickBot="1" x14ac:dyDescent="0.3">
      <c r="A32" s="256"/>
      <c r="B32" s="335">
        <f>ROUND(Incentives!$G$63,0)</f>
        <v>0</v>
      </c>
      <c r="C32" s="309">
        <v>999999.99</v>
      </c>
      <c r="D32" s="698">
        <f>Incentives!$K$63</f>
        <v>0</v>
      </c>
      <c r="E32" s="318"/>
      <c r="F32" s="257"/>
      <c r="G32" s="257"/>
      <c r="H32" s="314"/>
      <c r="I32" s="256"/>
      <c r="J32" s="257"/>
      <c r="K32" s="257"/>
      <c r="L32" s="258"/>
      <c r="N32" s="764" t="s">
        <v>1163</v>
      </c>
      <c r="O32" s="765">
        <f>P31+1</f>
        <v>1463</v>
      </c>
      <c r="P32" s="765">
        <f>O32+363</f>
        <v>1826</v>
      </c>
      <c r="Q32" s="766" t="e">
        <f>$C$62/$B$62</f>
        <v>#VALUE!</v>
      </c>
      <c r="S32" s="256"/>
      <c r="T32" s="257"/>
      <c r="U32" s="257"/>
      <c r="V32" s="258"/>
    </row>
    <row r="33" spans="1:22" ht="16.5" thickBot="1" x14ac:dyDescent="0.3">
      <c r="E33" s="809"/>
      <c r="H33" s="770"/>
      <c r="I33" s="1657" t="s">
        <v>750</v>
      </c>
      <c r="J33" s="1658"/>
      <c r="K33" s="1658"/>
      <c r="L33" s="1659"/>
      <c r="M33" s="770"/>
      <c r="N33" s="1660" t="s">
        <v>1058</v>
      </c>
      <c r="O33" s="1661"/>
      <c r="P33" s="1661"/>
      <c r="Q33" s="1662"/>
      <c r="R33" s="770"/>
      <c r="S33" s="1660" t="s">
        <v>1177</v>
      </c>
      <c r="T33" s="1661"/>
      <c r="U33" s="1661"/>
      <c r="V33" s="1662"/>
    </row>
    <row r="34" spans="1:22" ht="15.75" thickBot="1" x14ac:dyDescent="0.3">
      <c r="A34" s="1637" t="s">
        <v>530</v>
      </c>
      <c r="B34" s="1638"/>
      <c r="C34" s="1638"/>
      <c r="D34" s="1639"/>
      <c r="E34" s="283"/>
      <c r="F34" s="135"/>
      <c r="G34" s="135"/>
      <c r="H34" s="284"/>
      <c r="I34" s="1645" t="s">
        <v>753</v>
      </c>
      <c r="J34" s="1646"/>
      <c r="K34" s="1646"/>
      <c r="L34" s="1647"/>
      <c r="M34" s="770"/>
      <c r="N34" s="1648" t="s">
        <v>752</v>
      </c>
      <c r="O34" s="1649"/>
      <c r="P34" s="1649"/>
      <c r="Q34" s="1650"/>
      <c r="R34" s="770"/>
      <c r="S34" s="1640" t="s">
        <v>1183</v>
      </c>
      <c r="T34" s="1641"/>
      <c r="U34" s="1641"/>
      <c r="V34" s="1642"/>
    </row>
    <row r="35" spans="1:22" x14ac:dyDescent="0.25">
      <c r="A35" s="292" t="s">
        <v>730</v>
      </c>
      <c r="B35" s="293">
        <f>$L$4</f>
        <v>0</v>
      </c>
      <c r="C35" s="242" t="s">
        <v>741</v>
      </c>
      <c r="D35" s="297" t="e">
        <f>$S$4</f>
        <v>#VALUE!</v>
      </c>
      <c r="I35" s="325" t="s">
        <v>742</v>
      </c>
      <c r="J35" s="286">
        <f>$L$4</f>
        <v>0</v>
      </c>
      <c r="K35" s="326" t="s">
        <v>743</v>
      </c>
      <c r="L35" s="327" t="e">
        <f>$S$4</f>
        <v>#VALUE!</v>
      </c>
      <c r="N35" s="137" t="s">
        <v>1059</v>
      </c>
      <c r="O35" s="329">
        <f>$L$4</f>
        <v>0</v>
      </c>
      <c r="P35" s="1034" t="s">
        <v>743</v>
      </c>
      <c r="Q35" s="316" t="e">
        <f>$S$4</f>
        <v>#VALUE!</v>
      </c>
      <c r="S35" s="137" t="s">
        <v>801</v>
      </c>
      <c r="T35" s="329">
        <f>$L$4</f>
        <v>0</v>
      </c>
      <c r="U35" s="1038" t="s">
        <v>743</v>
      </c>
      <c r="V35" s="316" t="e">
        <f>$S$4</f>
        <v>#VALUE!</v>
      </c>
    </row>
    <row r="36" spans="1:22" ht="45" x14ac:dyDescent="0.25">
      <c r="A36" s="292" t="s">
        <v>892</v>
      </c>
      <c r="B36" s="293">
        <f>Incentives!$I$84</f>
        <v>0</v>
      </c>
      <c r="C36" s="242"/>
      <c r="D36" s="297"/>
      <c r="I36" s="292" t="s">
        <v>891</v>
      </c>
      <c r="J36" s="293">
        <f>Incentives!$I$152</f>
        <v>0</v>
      </c>
      <c r="K36" s="296" t="str">
        <f>IF(J36="Check","Check","Credit Memo")</f>
        <v>Credit Memo</v>
      </c>
      <c r="L36" s="628">
        <f>Incentives!$K$152</f>
        <v>0</v>
      </c>
      <c r="N36" s="292" t="s">
        <v>891</v>
      </c>
      <c r="O36" s="242">
        <f>$B$82</f>
        <v>0</v>
      </c>
      <c r="Q36" s="138"/>
      <c r="S36" s="292" t="s">
        <v>1179</v>
      </c>
      <c r="T36" s="242">
        <f>$B$46</f>
        <v>0</v>
      </c>
      <c r="V36" s="138"/>
    </row>
    <row r="37" spans="1:22" x14ac:dyDescent="0.25">
      <c r="A37" s="137" t="s">
        <v>1176</v>
      </c>
      <c r="B37" s="1034">
        <f>Incentives!$G$84</f>
        <v>0</v>
      </c>
      <c r="D37" s="138"/>
      <c r="I37" s="711" t="s">
        <v>1176</v>
      </c>
      <c r="J37" s="1034">
        <f>B54</f>
        <v>0</v>
      </c>
      <c r="L37" s="138"/>
      <c r="N37" s="137"/>
      <c r="Q37" s="138"/>
      <c r="S37" s="137" t="s">
        <v>1180</v>
      </c>
      <c r="T37" s="1034">
        <f>$B$47</f>
        <v>0</v>
      </c>
      <c r="V37" s="138"/>
    </row>
    <row r="38" spans="1:22" ht="30" x14ac:dyDescent="0.25">
      <c r="A38" s="137"/>
      <c r="B38" s="300" t="s">
        <v>126</v>
      </c>
      <c r="C38" s="300" t="s">
        <v>128</v>
      </c>
      <c r="D38" s="696" t="s">
        <v>521</v>
      </c>
      <c r="I38" s="711">
        <v>3</v>
      </c>
      <c r="J38" s="302" t="s">
        <v>1182</v>
      </c>
      <c r="K38" s="18">
        <f>D55</f>
        <v>0</v>
      </c>
      <c r="L38" s="138"/>
      <c r="N38" s="137"/>
      <c r="O38" s="1034" t="s">
        <v>751</v>
      </c>
      <c r="P38" s="22">
        <f>D84</f>
        <v>0</v>
      </c>
      <c r="Q38" s="138"/>
      <c r="S38" s="137"/>
      <c r="U38" s="1034" t="s">
        <v>1174</v>
      </c>
      <c r="V38" s="782">
        <f>$C$48</f>
        <v>0</v>
      </c>
    </row>
    <row r="39" spans="1:22" x14ac:dyDescent="0.25">
      <c r="A39" s="137"/>
      <c r="B39" s="694">
        <v>0</v>
      </c>
      <c r="C39" s="695">
        <f>IF(ISERROR(B40-0.01),"",(B40-0.0001))</f>
        <v>-1E-4</v>
      </c>
      <c r="D39" s="697">
        <v>0</v>
      </c>
      <c r="I39" s="711">
        <v>4</v>
      </c>
      <c r="J39" s="302" t="s">
        <v>1181</v>
      </c>
      <c r="K39" s="18">
        <f>$C$55</f>
        <v>0</v>
      </c>
      <c r="L39" s="138"/>
      <c r="N39" s="137"/>
      <c r="Q39" s="138"/>
      <c r="S39" s="137"/>
      <c r="U39" s="1034" t="s">
        <v>1175</v>
      </c>
      <c r="V39" s="700" t="str">
        <f>D48</f>
        <v/>
      </c>
    </row>
    <row r="40" spans="1:22" ht="15.75" thickBot="1" x14ac:dyDescent="0.3">
      <c r="A40" s="137"/>
      <c r="B40" s="304">
        <f>Incentives!$G$89</f>
        <v>0</v>
      </c>
      <c r="C40" s="695" t="str">
        <f>IF(OR(ISERROR(B41-0.01),B41=0),"",(B41-0.0001))</f>
        <v/>
      </c>
      <c r="D40" s="699">
        <f>Incentives!$K$89</f>
        <v>0</v>
      </c>
      <c r="I40" s="256"/>
      <c r="J40" s="257"/>
      <c r="K40" s="257"/>
      <c r="L40" s="258"/>
      <c r="N40" s="256"/>
      <c r="O40" s="257"/>
      <c r="P40" s="257"/>
      <c r="Q40" s="258"/>
      <c r="S40" s="256"/>
      <c r="T40" s="257"/>
      <c r="U40" s="257"/>
      <c r="V40" s="258"/>
    </row>
    <row r="41" spans="1:22" ht="16.5" thickBot="1" x14ac:dyDescent="0.3">
      <c r="A41" s="137"/>
      <c r="B41" s="304">
        <f>Incentives!$G$90</f>
        <v>0</v>
      </c>
      <c r="C41" s="695" t="str">
        <f>IF(OR(ISERROR(B42-0.01),B42=0),"",(B42-0.0001))</f>
        <v/>
      </c>
      <c r="D41" s="699">
        <f>Incentives!$K$90</f>
        <v>0</v>
      </c>
      <c r="H41" s="806"/>
      <c r="N41" s="1651" t="s">
        <v>1221</v>
      </c>
      <c r="O41" s="1652"/>
      <c r="P41" s="1652"/>
      <c r="Q41" s="1653"/>
      <c r="S41" s="1651"/>
      <c r="T41" s="1652"/>
      <c r="U41" s="1652"/>
      <c r="V41" s="1653"/>
    </row>
    <row r="42" spans="1:22" ht="15.75" thickBot="1" x14ac:dyDescent="0.3">
      <c r="A42" s="256"/>
      <c r="B42" s="310">
        <f>Incentives!$G$91</f>
        <v>0</v>
      </c>
      <c r="C42" s="320">
        <v>1</v>
      </c>
      <c r="D42" s="698">
        <f>Incentives!$K$91</f>
        <v>0</v>
      </c>
      <c r="E42" s="318"/>
      <c r="N42" s="1640" t="s">
        <v>1222</v>
      </c>
      <c r="O42" s="1641"/>
      <c r="P42" s="1641"/>
      <c r="Q42" s="1642"/>
      <c r="S42" s="1640"/>
      <c r="T42" s="1641"/>
      <c r="U42" s="1641"/>
      <c r="V42" s="1642"/>
    </row>
    <row r="43" spans="1:22" ht="15.75" thickBot="1" x14ac:dyDescent="0.3">
      <c r="E43" s="809"/>
      <c r="F43" s="810"/>
      <c r="G43" s="812"/>
      <c r="H43" s="770"/>
      <c r="I43" s="767"/>
      <c r="J43" s="333" t="s">
        <v>734</v>
      </c>
      <c r="K43" s="768" t="s">
        <v>735</v>
      </c>
      <c r="L43" s="728"/>
      <c r="N43" s="821" t="s">
        <v>742</v>
      </c>
      <c r="O43" s="286">
        <f>$L$4</f>
        <v>0</v>
      </c>
      <c r="P43" s="326" t="s">
        <v>743</v>
      </c>
      <c r="Q43" s="327" t="e">
        <f>$S$4</f>
        <v>#VALUE!</v>
      </c>
      <c r="S43" s="821"/>
      <c r="T43" s="286"/>
      <c r="U43" s="326"/>
      <c r="V43" s="327"/>
    </row>
    <row r="44" spans="1:22" x14ac:dyDescent="0.25">
      <c r="A44" s="1637" t="s">
        <v>1177</v>
      </c>
      <c r="B44" s="1638"/>
      <c r="C44" s="1638"/>
      <c r="D44" s="1639"/>
      <c r="E44" s="283"/>
      <c r="I44" s="807">
        <v>1</v>
      </c>
      <c r="J44" s="262">
        <f>IFERROR('MDA Worksheet'!D95,"")</f>
        <v>0</v>
      </c>
      <c r="K44" s="685" t="str">
        <f>IFERROR('MDA Worksheet'!$K$95,"")</f>
        <v/>
      </c>
      <c r="N44" s="137"/>
      <c r="Q44" s="138"/>
      <c r="S44" s="137"/>
      <c r="V44" s="138"/>
    </row>
    <row r="45" spans="1:22" x14ac:dyDescent="0.25">
      <c r="A45" s="137" t="s">
        <v>740</v>
      </c>
      <c r="B45" s="293">
        <f>$L$4</f>
        <v>0</v>
      </c>
      <c r="D45" s="297" t="e">
        <f>$S$4</f>
        <v>#VALUE!</v>
      </c>
      <c r="I45" s="808">
        <v>2</v>
      </c>
      <c r="J45" s="263">
        <f>IFERROR('MDA Worksheet'!D96,"")</f>
        <v>0</v>
      </c>
      <c r="K45" s="1042" t="str">
        <f>IFERROR('MDA Worksheet'!K96,"")</f>
        <v/>
      </c>
      <c r="N45" s="137"/>
      <c r="O45" s="1034">
        <f>B68</f>
        <v>0</v>
      </c>
      <c r="Q45" s="138"/>
      <c r="S45" s="137"/>
      <c r="V45" s="138"/>
    </row>
    <row r="46" spans="1:22" x14ac:dyDescent="0.25">
      <c r="A46" s="789" t="s">
        <v>873</v>
      </c>
      <c r="B46" s="1034">
        <f>Incentives!$I$112</f>
        <v>0</v>
      </c>
      <c r="D46" s="138"/>
      <c r="I46" s="808">
        <v>3</v>
      </c>
      <c r="J46" s="263">
        <f>IFERROR('MDA Worksheet'!D97,"")</f>
        <v>0</v>
      </c>
      <c r="K46" s="1042" t="str">
        <f>IFERROR('MDA Worksheet'!K97,"")</f>
        <v/>
      </c>
      <c r="N46" s="137"/>
      <c r="Q46" s="138"/>
      <c r="S46" s="137"/>
      <c r="V46" s="138"/>
    </row>
    <row r="47" spans="1:22" ht="30" x14ac:dyDescent="0.25">
      <c r="A47" s="789" t="s">
        <v>1176</v>
      </c>
      <c r="B47" s="1034">
        <f>Incentives!$G$112</f>
        <v>0</v>
      </c>
      <c r="C47" s="728" t="s">
        <v>1174</v>
      </c>
      <c r="D47" s="790" t="s">
        <v>1175</v>
      </c>
      <c r="I47" s="808">
        <v>4</v>
      </c>
      <c r="J47" s="263">
        <f>IFERROR('MDA Worksheet'!D98,"")</f>
        <v>0</v>
      </c>
      <c r="K47" s="1042" t="str">
        <f>IFERROR('MDA Worksheet'!K98,"")</f>
        <v/>
      </c>
      <c r="N47" s="321">
        <v>1</v>
      </c>
      <c r="O47" s="302" t="s">
        <v>751</v>
      </c>
      <c r="P47" s="834">
        <f>B69</f>
        <v>0</v>
      </c>
      <c r="Q47" s="138"/>
      <c r="S47" s="1046"/>
      <c r="T47" s="302"/>
      <c r="U47" s="860"/>
      <c r="V47" s="138"/>
    </row>
    <row r="48" spans="1:22" x14ac:dyDescent="0.25">
      <c r="A48" s="137"/>
      <c r="C48" s="758">
        <f>Incentives!$G$115</f>
        <v>0</v>
      </c>
      <c r="D48" s="701" t="str">
        <f>Incentives!$I$115</f>
        <v/>
      </c>
      <c r="I48" s="808">
        <v>5</v>
      </c>
      <c r="J48" s="263">
        <f>IFERROR('MDA Worksheet'!D99,"")</f>
        <v>0</v>
      </c>
      <c r="K48" s="1042" t="str">
        <f>IFERROR('MDA Worksheet'!K99,"")</f>
        <v/>
      </c>
      <c r="N48" s="822" t="str">
        <f>IF($B$60="YES - Purchase Commitment",3,"")</f>
        <v/>
      </c>
      <c r="O48" s="302" t="str">
        <f>IF($B$60="YES - Purchase Commitment","Min Sales Required","")</f>
        <v/>
      </c>
      <c r="P48" s="758">
        <f>$G$4</f>
        <v>0</v>
      </c>
      <c r="Q48" s="138" t="s">
        <v>874</v>
      </c>
      <c r="S48" s="822"/>
      <c r="T48" s="302"/>
      <c r="U48" s="861"/>
      <c r="V48" s="138"/>
    </row>
    <row r="49" spans="1:22" ht="30.75" thickBot="1" x14ac:dyDescent="0.3">
      <c r="A49" s="256"/>
      <c r="B49" s="257"/>
      <c r="C49" s="257"/>
      <c r="D49" s="258"/>
      <c r="E49" s="318"/>
      <c r="I49" s="808">
        <v>6</v>
      </c>
      <c r="J49" s="263">
        <f>IFERROR('MDA Worksheet'!D100,"")</f>
        <v>0</v>
      </c>
      <c r="K49" s="1042" t="str">
        <f>IFERROR('MDA Worksheet'!K100,"")</f>
        <v/>
      </c>
      <c r="N49" s="833">
        <f>IF($B$60="YES - Purchase Commitment"," ",3)</f>
        <v>3</v>
      </c>
      <c r="O49" s="302" t="str">
        <f>IF($B$60="YES - Purchase Commitment"," ","Min Sales Required")</f>
        <v>Min Sales Required</v>
      </c>
      <c r="P49" s="758" t="e">
        <f>$D$72</f>
        <v>#VALUE!</v>
      </c>
      <c r="Q49" s="628" t="s">
        <v>757</v>
      </c>
      <c r="S49" s="822"/>
      <c r="T49" s="302"/>
      <c r="U49" s="861"/>
      <c r="V49" s="628"/>
    </row>
    <row r="50" spans="1:22" ht="15.75" thickBot="1" x14ac:dyDescent="0.3">
      <c r="E50" s="809"/>
      <c r="F50" s="810"/>
      <c r="G50" s="812"/>
      <c r="H50" s="770"/>
      <c r="I50" s="808">
        <v>7</v>
      </c>
      <c r="J50" s="263">
        <f>IFERROR('MDA Worksheet'!D101,"")</f>
        <v>0</v>
      </c>
      <c r="K50" s="1042" t="str">
        <f>IFERROR('MDA Worksheet'!K101,"")</f>
        <v/>
      </c>
      <c r="N50" s="137"/>
      <c r="Q50" s="138"/>
      <c r="S50" s="137"/>
      <c r="V50" s="138"/>
    </row>
    <row r="51" spans="1:22" x14ac:dyDescent="0.25">
      <c r="A51" s="1637" t="s">
        <v>750</v>
      </c>
      <c r="B51" s="1638"/>
      <c r="C51" s="1638"/>
      <c r="D51" s="1639"/>
      <c r="E51" s="283"/>
      <c r="I51" s="808">
        <v>8</v>
      </c>
      <c r="J51" s="263">
        <f>IFERROR('MDA Worksheet'!D102,"")</f>
        <v>0</v>
      </c>
      <c r="K51" s="1042" t="str">
        <f>IFERROR('MDA Worksheet'!K102,"")</f>
        <v/>
      </c>
      <c r="N51" s="137" t="s">
        <v>1223</v>
      </c>
      <c r="O51" s="1643" t="str">
        <f>"Amount to be paid to the customer $ "&amp;TEXT(D69,"#,###,###.00")</f>
        <v>Amount to be paid to the customer $ .00</v>
      </c>
      <c r="P51" s="1643"/>
      <c r="Q51" s="1644"/>
      <c r="S51" s="137"/>
      <c r="T51" s="1070"/>
      <c r="U51" s="1070"/>
      <c r="V51" s="1071"/>
    </row>
    <row r="52" spans="1:22" x14ac:dyDescent="0.25">
      <c r="A52" s="292" t="s">
        <v>730</v>
      </c>
      <c r="B52" s="293">
        <f>$L$4</f>
        <v>0</v>
      </c>
      <c r="C52" s="242" t="s">
        <v>741</v>
      </c>
      <c r="D52" s="297" t="e">
        <f>$S$4</f>
        <v>#VALUE!</v>
      </c>
      <c r="I52" s="808">
        <v>9</v>
      </c>
      <c r="J52" s="263">
        <f>IFERROR('MDA Worksheet'!D103,"")</f>
        <v>0</v>
      </c>
      <c r="K52" s="1042" t="str">
        <f>IFERROR('MDA Worksheet'!K103,"")</f>
        <v/>
      </c>
      <c r="N52" s="137"/>
      <c r="O52" s="1643" t="str">
        <f>"Claw Back Amount $ "&amp;TEXT(D71,"#,###,###.00")</f>
        <v>Claw Back Amount $ .00</v>
      </c>
      <c r="P52" s="1643"/>
      <c r="Q52" s="1644"/>
      <c r="S52" s="137"/>
      <c r="T52" s="1070"/>
      <c r="U52" s="1070"/>
      <c r="V52" s="1071"/>
    </row>
    <row r="53" spans="1:22" ht="15.75" thickBot="1" x14ac:dyDescent="0.3">
      <c r="A53" s="137" t="s">
        <v>873</v>
      </c>
      <c r="B53" s="1034">
        <f>Incentives!$I$152</f>
        <v>0</v>
      </c>
      <c r="D53" s="138"/>
      <c r="I53" s="489">
        <v>10</v>
      </c>
      <c r="J53" s="265">
        <f>IFERROR('MDA Worksheet'!D104,"")</f>
        <v>0</v>
      </c>
      <c r="K53" s="1047" t="str">
        <f>IFERROR('MDA Worksheet'!K104,"")</f>
        <v/>
      </c>
      <c r="L53" s="257"/>
      <c r="M53" s="314"/>
      <c r="N53" s="256"/>
      <c r="O53" s="835"/>
      <c r="P53" s="835"/>
      <c r="Q53" s="836"/>
      <c r="R53" s="314"/>
      <c r="S53" s="256"/>
      <c r="T53" s="1072"/>
      <c r="U53" s="1072"/>
      <c r="V53" s="1073"/>
    </row>
    <row r="54" spans="1:22" x14ac:dyDescent="0.25">
      <c r="A54" s="137" t="s">
        <v>1176</v>
      </c>
      <c r="B54" s="1034">
        <f>Incentives!$G$152</f>
        <v>0</v>
      </c>
      <c r="C54" s="300" t="s">
        <v>521</v>
      </c>
      <c r="D54" s="788" t="s">
        <v>229</v>
      </c>
    </row>
    <row r="55" spans="1:22" ht="15.75" thickBot="1" x14ac:dyDescent="0.3">
      <c r="A55" s="256"/>
      <c r="B55" s="257"/>
      <c r="C55" s="778">
        <f>Incentives!$K$155</f>
        <v>0</v>
      </c>
      <c r="D55" s="698">
        <f>Incentives!$G$155</f>
        <v>0</v>
      </c>
    </row>
    <row r="56" spans="1:22" ht="15.75" thickBot="1" x14ac:dyDescent="0.3">
      <c r="E56" s="809"/>
      <c r="F56" s="810"/>
      <c r="G56" s="812"/>
      <c r="H56" s="770"/>
    </row>
    <row r="57" spans="1:22" x14ac:dyDescent="0.25">
      <c r="A57" s="1637" t="s">
        <v>1168</v>
      </c>
      <c r="B57" s="1638"/>
      <c r="C57" s="1638"/>
      <c r="D57" s="1639"/>
    </row>
    <row r="58" spans="1:22" x14ac:dyDescent="0.25">
      <c r="A58" s="292" t="s">
        <v>730</v>
      </c>
      <c r="B58" s="293">
        <f>$L$4</f>
        <v>0</v>
      </c>
      <c r="C58" s="242" t="s">
        <v>741</v>
      </c>
      <c r="D58" s="297" t="e">
        <f>$S$4</f>
        <v>#VALUE!</v>
      </c>
    </row>
    <row r="59" spans="1:22" x14ac:dyDescent="0.25">
      <c r="A59" s="137" t="s">
        <v>873</v>
      </c>
      <c r="B59" s="1034">
        <f>Incentives!$I$195</f>
        <v>0</v>
      </c>
      <c r="D59" s="138"/>
    </row>
    <row r="60" spans="1:22" x14ac:dyDescent="0.25">
      <c r="A60" s="137" t="s">
        <v>1136</v>
      </c>
      <c r="B60" s="1034">
        <f>Incentives!G195</f>
        <v>0</v>
      </c>
      <c r="D60" s="138"/>
    </row>
    <row r="61" spans="1:22" x14ac:dyDescent="0.25">
      <c r="A61" s="137"/>
      <c r="B61" s="827" t="s">
        <v>1219</v>
      </c>
      <c r="C61" s="827" t="s">
        <v>751</v>
      </c>
      <c r="D61" s="788" t="s">
        <v>797</v>
      </c>
    </row>
    <row r="62" spans="1:22" x14ac:dyDescent="0.25">
      <c r="A62" s="137"/>
      <c r="B62" s="826" t="str">
        <f>IF(B60="No","",Welcome!D12)</f>
        <v>Select Term</v>
      </c>
      <c r="C62" s="830">
        <f>IF($B$60="YES - Purchase Commitment",Incentives!$K$198/$G$5,Incentives!$K$198)</f>
        <v>0</v>
      </c>
      <c r="D62" s="831">
        <f>$G$4</f>
        <v>0</v>
      </c>
    </row>
    <row r="63" spans="1:22" x14ac:dyDescent="0.25">
      <c r="A63" s="137"/>
      <c r="C63" s="823"/>
      <c r="D63" s="832" t="s">
        <v>1220</v>
      </c>
    </row>
    <row r="64" spans="1:22" x14ac:dyDescent="0.25">
      <c r="A64" s="137"/>
      <c r="C64" s="823"/>
      <c r="D64" s="699" t="e">
        <f>Incentives!$K$198/(Incentives!$G$5*Incentives!$G$4)</f>
        <v>#VALUE!</v>
      </c>
    </row>
    <row r="65" spans="1:8" ht="15.75" thickBot="1" x14ac:dyDescent="0.3">
      <c r="A65" s="256"/>
      <c r="B65" s="257"/>
      <c r="C65" s="257"/>
      <c r="D65" s="258"/>
    </row>
    <row r="66" spans="1:8" ht="15.75" thickBot="1" x14ac:dyDescent="0.3">
      <c r="A66" s="1637" t="s">
        <v>1210</v>
      </c>
      <c r="B66" s="1638"/>
      <c r="C66" s="1638"/>
      <c r="D66" s="1639"/>
      <c r="E66" s="809"/>
      <c r="F66" s="810"/>
      <c r="G66" s="812"/>
      <c r="H66" s="770"/>
    </row>
    <row r="67" spans="1:8" x14ac:dyDescent="0.25">
      <c r="A67" s="285" t="s">
        <v>730</v>
      </c>
      <c r="B67" s="286">
        <f>$L$4</f>
        <v>0</v>
      </c>
      <c r="C67" s="287" t="s">
        <v>741</v>
      </c>
      <c r="D67" s="291" t="e">
        <f>$S$4</f>
        <v>#VALUE!</v>
      </c>
    </row>
    <row r="68" spans="1:8" x14ac:dyDescent="0.25">
      <c r="A68" s="137" t="s">
        <v>873</v>
      </c>
      <c r="B68" s="1042">
        <f>Incentives!$I$207</f>
        <v>0</v>
      </c>
      <c r="D68" s="138"/>
    </row>
    <row r="69" spans="1:8" x14ac:dyDescent="0.25">
      <c r="A69" s="1074" t="s">
        <v>1217</v>
      </c>
      <c r="B69" s="1075">
        <f>Incentives!$M$207</f>
        <v>0</v>
      </c>
      <c r="C69" s="827" t="s">
        <v>1213</v>
      </c>
      <c r="D69" s="824">
        <f>Incentives!$G$207</f>
        <v>0</v>
      </c>
    </row>
    <row r="70" spans="1:8" x14ac:dyDescent="0.25">
      <c r="A70" s="1074" t="s">
        <v>1214</v>
      </c>
      <c r="B70" s="1076">
        <f>Incentives!$G$211</f>
        <v>0</v>
      </c>
      <c r="C70" s="828" t="s">
        <v>793</v>
      </c>
      <c r="D70" s="1077">
        <f>Incentives!$I$211</f>
        <v>2</v>
      </c>
    </row>
    <row r="71" spans="1:8" x14ac:dyDescent="0.25">
      <c r="A71" s="1074" t="s">
        <v>1215</v>
      </c>
      <c r="B71" s="1078">
        <f>Incentives!$K$211</f>
        <v>0</v>
      </c>
      <c r="C71" s="828" t="s">
        <v>1216</v>
      </c>
      <c r="D71" s="824">
        <f>Incentives!$K$207</f>
        <v>0</v>
      </c>
    </row>
    <row r="72" spans="1:8" ht="15.75" thickBot="1" x14ac:dyDescent="0.3">
      <c r="A72" s="256"/>
      <c r="B72" s="257"/>
      <c r="C72" s="829" t="s">
        <v>1218</v>
      </c>
      <c r="D72" s="825" t="e">
        <f>Incentives!$G$5*Incentives!$G$4</f>
        <v>#VALUE!</v>
      </c>
    </row>
    <row r="73" spans="1:8" ht="15.75" thickBot="1" x14ac:dyDescent="0.3"/>
    <row r="74" spans="1:8" x14ac:dyDescent="0.25">
      <c r="A74" s="1637" t="e">
        <f>Incentives!#REF!</f>
        <v>#REF!</v>
      </c>
      <c r="B74" s="1638"/>
      <c r="C74" s="1638"/>
      <c r="D74" s="1638"/>
    </row>
    <row r="75" spans="1:8" x14ac:dyDescent="0.25">
      <c r="A75" s="292" t="s">
        <v>730</v>
      </c>
      <c r="B75" s="293">
        <f>$L$4</f>
        <v>0</v>
      </c>
      <c r="C75" s="242" t="s">
        <v>741</v>
      </c>
      <c r="D75" s="293" t="e">
        <f>$S$4</f>
        <v>#VALUE!</v>
      </c>
    </row>
    <row r="76" spans="1:8" x14ac:dyDescent="0.25">
      <c r="A76" s="137" t="s">
        <v>873</v>
      </c>
      <c r="B76" s="1034" t="e">
        <f>Incentives!#REF!</f>
        <v>#REF!</v>
      </c>
    </row>
    <row r="77" spans="1:8" x14ac:dyDescent="0.25">
      <c r="A77" s="137"/>
      <c r="C77" s="1042" t="s">
        <v>797</v>
      </c>
      <c r="D77" s="1042" t="s">
        <v>751</v>
      </c>
    </row>
    <row r="78" spans="1:8" ht="15.75" thickBot="1" x14ac:dyDescent="0.3">
      <c r="A78" s="256"/>
      <c r="B78" s="257"/>
      <c r="C78" s="332">
        <f>Incentives!$H$9</f>
        <v>0</v>
      </c>
      <c r="D78" s="308" t="e">
        <f>Incentives!#REF!</f>
        <v>#REF!</v>
      </c>
    </row>
    <row r="79" spans="1:8" ht="15.75" thickBot="1" x14ac:dyDescent="0.3"/>
    <row r="80" spans="1:8" ht="15.75" thickBot="1" x14ac:dyDescent="0.3">
      <c r="A80" s="1637" t="s">
        <v>1057</v>
      </c>
      <c r="B80" s="1638"/>
      <c r="C80" s="1638"/>
      <c r="D80" s="1639"/>
      <c r="E80" s="809"/>
      <c r="F80" s="810"/>
      <c r="G80" s="811"/>
      <c r="H80" s="813"/>
    </row>
    <row r="81" spans="1:4" x14ac:dyDescent="0.25">
      <c r="A81" s="137" t="s">
        <v>730</v>
      </c>
      <c r="C81" s="1034" t="s">
        <v>732</v>
      </c>
      <c r="D81" s="138"/>
    </row>
    <row r="82" spans="1:4" x14ac:dyDescent="0.25">
      <c r="A82" s="137" t="s">
        <v>892</v>
      </c>
      <c r="B82" s="1034">
        <f>Incentives!$I$219</f>
        <v>0</v>
      </c>
      <c r="D82" s="138"/>
    </row>
    <row r="83" spans="1:4" x14ac:dyDescent="0.25">
      <c r="A83" s="137"/>
      <c r="C83" s="1042"/>
      <c r="D83" s="1043" t="s">
        <v>751</v>
      </c>
    </row>
    <row r="84" spans="1:4" ht="15.75" thickBot="1" x14ac:dyDescent="0.3">
      <c r="A84" s="256"/>
      <c r="B84" s="257"/>
      <c r="C84" s="1047"/>
      <c r="D84" s="817">
        <f>Incentives!$G$222</f>
        <v>0</v>
      </c>
    </row>
  </sheetData>
  <mergeCells count="53">
    <mergeCell ref="B4:C4"/>
    <mergeCell ref="P4:R4"/>
    <mergeCell ref="S4:T4"/>
    <mergeCell ref="A1:D1"/>
    <mergeCell ref="F1:G1"/>
    <mergeCell ref="I1:V1"/>
    <mergeCell ref="B3:C3"/>
    <mergeCell ref="L3:P3"/>
    <mergeCell ref="B5:C5"/>
    <mergeCell ref="B6:C6"/>
    <mergeCell ref="P6:R6"/>
    <mergeCell ref="S6:T6"/>
    <mergeCell ref="B7:C7"/>
    <mergeCell ref="L7:N7"/>
    <mergeCell ref="P7:R7"/>
    <mergeCell ref="S7:T7"/>
    <mergeCell ref="I23:L23"/>
    <mergeCell ref="N23:Q23"/>
    <mergeCell ref="S23:V23"/>
    <mergeCell ref="B8:C8"/>
    <mergeCell ref="B9:C9"/>
    <mergeCell ref="B10:C10"/>
    <mergeCell ref="B11:C11"/>
    <mergeCell ref="I11:L11"/>
    <mergeCell ref="N11:Q11"/>
    <mergeCell ref="S11:V11"/>
    <mergeCell ref="A12:D12"/>
    <mergeCell ref="I12:L12"/>
    <mergeCell ref="N12:Q12"/>
    <mergeCell ref="S12:V12"/>
    <mergeCell ref="A24:D24"/>
    <mergeCell ref="I24:L24"/>
    <mergeCell ref="N24:Q24"/>
    <mergeCell ref="S24:V24"/>
    <mergeCell ref="I33:L33"/>
    <mergeCell ref="N33:Q33"/>
    <mergeCell ref="S33:V33"/>
    <mergeCell ref="A34:D34"/>
    <mergeCell ref="I34:L34"/>
    <mergeCell ref="N34:Q34"/>
    <mergeCell ref="S34:V34"/>
    <mergeCell ref="N41:Q41"/>
    <mergeCell ref="S41:V41"/>
    <mergeCell ref="S42:V42"/>
    <mergeCell ref="A44:D44"/>
    <mergeCell ref="A51:D51"/>
    <mergeCell ref="O51:Q51"/>
    <mergeCell ref="O52:Q52"/>
    <mergeCell ref="A57:D57"/>
    <mergeCell ref="A66:D66"/>
    <mergeCell ref="A74:D74"/>
    <mergeCell ref="A80:D80"/>
    <mergeCell ref="N42:Q42"/>
  </mergeCells>
  <conditionalFormatting sqref="I25:L26 K37:L37 I29:L31">
    <cfRule type="expression" dxfId="121" priority="16">
      <formula>$B$60="YES - Annual"</formula>
    </cfRule>
  </conditionalFormatting>
  <conditionalFormatting sqref="B60">
    <cfRule type="cellIs" dxfId="120" priority="19" operator="equal">
      <formula>"YES"</formula>
    </cfRule>
  </conditionalFormatting>
  <conditionalFormatting sqref="N23:Q23">
    <cfRule type="expression" dxfId="119" priority="15">
      <formula>$B$60="Yes"</formula>
    </cfRule>
  </conditionalFormatting>
  <conditionalFormatting sqref="B15 J15">
    <cfRule type="expression" dxfId="118" priority="22">
      <formula>$B$15="Annually"</formula>
    </cfRule>
  </conditionalFormatting>
  <conditionalFormatting sqref="B47">
    <cfRule type="expression" dxfId="117" priority="12">
      <formula>$B$47="Annually"</formula>
    </cfRule>
  </conditionalFormatting>
  <conditionalFormatting sqref="S36:V36">
    <cfRule type="expression" dxfId="116" priority="13">
      <formula>$T$36="Check"</formula>
    </cfRule>
  </conditionalFormatting>
  <conditionalFormatting sqref="B27">
    <cfRule type="cellIs" dxfId="115" priority="11" operator="equal">
      <formula>"Annually"</formula>
    </cfRule>
  </conditionalFormatting>
  <conditionalFormatting sqref="B37">
    <cfRule type="cellIs" dxfId="114" priority="21" operator="equal">
      <formula>"Annually"</formula>
    </cfRule>
  </conditionalFormatting>
  <conditionalFormatting sqref="B54">
    <cfRule type="cellIs" dxfId="113" priority="20" operator="equal">
      <formula>"Annually"</formula>
    </cfRule>
  </conditionalFormatting>
  <conditionalFormatting sqref="O16">
    <cfRule type="cellIs" dxfId="112" priority="10" operator="equal">
      <formula>"Annually"</formula>
    </cfRule>
  </conditionalFormatting>
  <conditionalFormatting sqref="T16">
    <cfRule type="cellIs" dxfId="111" priority="9" operator="equal">
      <formula>"Annually"</formula>
    </cfRule>
  </conditionalFormatting>
  <conditionalFormatting sqref="J37">
    <cfRule type="cellIs" dxfId="110" priority="18" operator="equal">
      <formula>"Annually"</formula>
    </cfRule>
  </conditionalFormatting>
  <conditionalFormatting sqref="T37">
    <cfRule type="expression" dxfId="109" priority="8">
      <formula>$B$47="Annually"</formula>
    </cfRule>
  </conditionalFormatting>
  <conditionalFormatting sqref="I30">
    <cfRule type="expression" dxfId="108" priority="7">
      <formula>$I$30=3</formula>
    </cfRule>
  </conditionalFormatting>
  <conditionalFormatting sqref="I31">
    <cfRule type="expression" dxfId="107" priority="6">
      <formula>$I$31=3</formula>
    </cfRule>
  </conditionalFormatting>
  <conditionalFormatting sqref="B62:B64">
    <cfRule type="expression" dxfId="106" priority="5">
      <formula>$B$60="YES - Annual"</formula>
    </cfRule>
    <cfRule type="expression" dxfId="105" priority="17">
      <formula>$B$60="No"</formula>
    </cfRule>
  </conditionalFormatting>
  <conditionalFormatting sqref="N32:Q32">
    <cfRule type="expression" dxfId="104" priority="14">
      <formula>$B$62=4</formula>
    </cfRule>
  </conditionalFormatting>
  <conditionalFormatting sqref="N31:Q32">
    <cfRule type="expression" dxfId="103" priority="23">
      <formula>$B$62=3</formula>
    </cfRule>
  </conditionalFormatting>
  <conditionalFormatting sqref="N30:Q32">
    <cfRule type="expression" dxfId="102" priority="24">
      <formula>$B$62=2</formula>
    </cfRule>
  </conditionalFormatting>
  <conditionalFormatting sqref="B61:B62">
    <cfRule type="expression" dxfId="101" priority="4">
      <formula>$B$60="NO"</formula>
    </cfRule>
  </conditionalFormatting>
  <conditionalFormatting sqref="B61">
    <cfRule type="expression" dxfId="100" priority="3">
      <formula>$B$60="YES - Annual"</formula>
    </cfRule>
  </conditionalFormatting>
  <conditionalFormatting sqref="D63:D64">
    <cfRule type="expression" dxfId="99" priority="2">
      <formula>$B$60&lt;&gt;"Yes - Purchase Commitment"</formula>
    </cfRule>
  </conditionalFormatting>
  <conditionalFormatting sqref="O45">
    <cfRule type="expression" dxfId="98" priority="1">
      <formula>$O$45="Check"</formula>
    </cfRule>
  </conditionalFormatting>
  <printOptions horizontalCentered="1"/>
  <pageMargins left="0.25" right="0.25" top="0.75" bottom="0.75" header="0.3" footer="0.3"/>
  <pageSetup scale="5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election activeCell="D1" sqref="D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25"/>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328"/>
    </row>
    <row r="2" spans="2:68" ht="36" x14ac:dyDescent="0.55000000000000004">
      <c r="B2" s="1764" t="s">
        <v>722</v>
      </c>
      <c r="C2" s="1765"/>
      <c r="D2" s="1765"/>
      <c r="E2" s="1765"/>
      <c r="F2" s="1765"/>
      <c r="G2" s="1765"/>
      <c r="H2" s="1765"/>
      <c r="I2" s="1765"/>
      <c r="J2" s="1765"/>
      <c r="K2" s="1765"/>
      <c r="L2" s="1765"/>
      <c r="M2" s="1765"/>
      <c r="N2" s="1765"/>
      <c r="O2" s="1765"/>
      <c r="P2" s="1765"/>
      <c r="Q2" s="1765"/>
      <c r="R2" s="1765"/>
      <c r="S2" s="1765"/>
      <c r="T2" s="1765"/>
      <c r="U2" s="1765"/>
      <c r="V2" s="1765"/>
      <c r="W2" s="1765"/>
      <c r="X2" s="1765"/>
      <c r="Y2" s="1765"/>
      <c r="Z2" s="1765"/>
      <c r="AA2" s="1765"/>
      <c r="AB2" s="1765"/>
      <c r="AC2" s="1765"/>
      <c r="AD2" s="1765"/>
      <c r="AE2" s="1765"/>
      <c r="AF2" s="1765"/>
      <c r="AG2" s="1765"/>
      <c r="AH2" s="1765"/>
      <c r="AI2" s="1765"/>
      <c r="AJ2" s="1765"/>
      <c r="AK2" s="1765"/>
      <c r="AL2" s="1765"/>
      <c r="AM2" s="1765"/>
      <c r="AN2" s="1765"/>
      <c r="AO2" s="1765"/>
      <c r="AP2" s="1765"/>
      <c r="AQ2" s="1765"/>
      <c r="AR2" s="1765"/>
      <c r="AS2" s="1765"/>
      <c r="AT2" s="1765"/>
      <c r="AU2" s="1765"/>
      <c r="AV2" s="1765"/>
      <c r="AW2" s="1765"/>
      <c r="AX2" s="1765"/>
      <c r="AY2" s="1765"/>
      <c r="AZ2" s="1765"/>
      <c r="BA2" s="1765"/>
      <c r="BB2" s="1765"/>
      <c r="BC2" s="1765"/>
      <c r="BD2" s="1765"/>
      <c r="BE2" s="1765"/>
      <c r="BF2" s="1766"/>
    </row>
    <row r="3" spans="2:68" x14ac:dyDescent="0.25">
      <c r="B3" s="1767"/>
      <c r="C3" s="1732"/>
      <c r="D3" s="1732"/>
      <c r="E3" s="1732"/>
      <c r="F3" s="1732"/>
      <c r="G3" s="1732"/>
      <c r="H3" s="1732"/>
      <c r="I3" s="1732"/>
      <c r="J3" s="1732"/>
      <c r="K3" s="1732"/>
      <c r="L3" s="1732"/>
      <c r="M3" s="1732"/>
      <c r="N3" s="1732"/>
      <c r="O3" s="1732"/>
      <c r="P3" s="1732"/>
      <c r="Q3" s="1732"/>
      <c r="R3" s="1732"/>
      <c r="S3" s="1732"/>
      <c r="T3" s="1732"/>
      <c r="U3" s="1732"/>
      <c r="V3" s="1732"/>
      <c r="W3" s="1732"/>
      <c r="X3" s="1732"/>
      <c r="Y3" s="1732"/>
      <c r="Z3" s="1732"/>
      <c r="AA3" s="1732"/>
      <c r="AB3" s="1732"/>
      <c r="AC3" s="1732"/>
      <c r="AD3" s="1732"/>
      <c r="AE3" s="1732"/>
      <c r="AF3" s="1732"/>
      <c r="AG3" s="1732"/>
      <c r="AH3" s="1732"/>
      <c r="AI3" s="1732"/>
      <c r="AJ3" s="1732"/>
      <c r="AK3" s="1732"/>
      <c r="AL3" s="1732"/>
      <c r="AM3" s="1732"/>
      <c r="AN3" s="1732"/>
      <c r="AO3" s="1732"/>
      <c r="AP3" s="1732"/>
      <c r="AQ3" s="1732"/>
      <c r="AR3" s="1732"/>
      <c r="AS3" s="1732"/>
      <c r="AT3" s="1732"/>
      <c r="AU3" s="1732"/>
      <c r="AV3" s="1732"/>
      <c r="AW3" s="1732"/>
      <c r="AX3" s="1732"/>
      <c r="AY3" s="1732"/>
      <c r="AZ3" s="1732"/>
      <c r="BA3" s="1732"/>
      <c r="BB3" s="1732"/>
      <c r="BC3" s="1732"/>
      <c r="BD3" s="1732"/>
      <c r="BE3" s="1732"/>
      <c r="BF3" s="1768"/>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748" t="s">
        <v>649</v>
      </c>
      <c r="C8" s="1749"/>
      <c r="D8" s="1749"/>
      <c r="E8" s="1749"/>
      <c r="F8" s="1749"/>
      <c r="G8" s="1749"/>
      <c r="H8" s="1749"/>
      <c r="I8" s="1749"/>
      <c r="J8" s="1749"/>
      <c r="K8" s="1749"/>
      <c r="L8" s="1749"/>
      <c r="M8" s="1749"/>
      <c r="N8" s="1749"/>
      <c r="O8" s="1749"/>
      <c r="P8" s="1749"/>
      <c r="Q8" s="1749"/>
      <c r="R8" s="1749"/>
      <c r="S8" s="1749"/>
      <c r="T8" s="1749"/>
      <c r="U8" s="1749"/>
      <c r="V8" s="1749"/>
      <c r="W8" s="1749"/>
      <c r="X8" s="1749"/>
      <c r="Y8" s="1749"/>
      <c r="Z8" s="1749"/>
      <c r="AA8" s="1749"/>
      <c r="AB8" s="1749"/>
      <c r="AC8" s="1749"/>
      <c r="AD8" s="1749"/>
      <c r="AE8" s="1749"/>
      <c r="AF8" s="1749"/>
      <c r="AG8" s="1749"/>
      <c r="AH8" s="1749"/>
      <c r="AI8" s="1749"/>
      <c r="AJ8" s="1749"/>
      <c r="AK8" s="1749"/>
      <c r="AL8" s="1749"/>
      <c r="AM8" s="1749"/>
      <c r="AN8" s="1749"/>
      <c r="AO8" s="1749"/>
      <c r="AP8" s="1749"/>
      <c r="AQ8" s="1749"/>
      <c r="AR8" s="1749"/>
      <c r="AS8" s="1749"/>
      <c r="AT8" s="1749"/>
      <c r="AU8" s="1749"/>
      <c r="AV8" s="1749"/>
      <c r="AW8" s="1749"/>
      <c r="AX8" s="1749"/>
      <c r="AY8" s="1749"/>
      <c r="AZ8" s="1749"/>
      <c r="BA8" s="1749"/>
      <c r="BB8" s="1749"/>
      <c r="BC8" s="1749"/>
      <c r="BD8" s="1749"/>
      <c r="BE8" s="1749"/>
      <c r="BF8" s="1750"/>
    </row>
    <row r="9" spans="2:68" x14ac:dyDescent="0.25">
      <c r="B9" s="665"/>
      <c r="C9" s="264"/>
      <c r="D9" s="264"/>
      <c r="E9" s="264"/>
      <c r="F9" s="264"/>
      <c r="G9" s="264"/>
      <c r="H9" s="264"/>
      <c r="I9" s="264"/>
      <c r="J9" s="264"/>
      <c r="K9" s="264"/>
      <c r="L9" s="264"/>
      <c r="M9" s="264"/>
      <c r="N9" s="264"/>
      <c r="O9" s="264"/>
      <c r="P9" s="264"/>
      <c r="Q9" s="264"/>
      <c r="R9" s="264"/>
      <c r="S9" s="264"/>
      <c r="T9" s="264"/>
      <c r="U9" s="264"/>
      <c r="V9" s="264"/>
      <c r="W9" s="264"/>
      <c r="X9" s="264"/>
      <c r="Y9" s="264"/>
      <c r="Z9" s="264"/>
      <c r="AA9" s="264"/>
      <c r="AB9" s="264"/>
      <c r="AC9" s="264"/>
      <c r="AD9" s="264"/>
      <c r="AE9" s="264"/>
      <c r="AF9" s="264"/>
      <c r="AG9" s="264"/>
      <c r="AH9" s="264"/>
      <c r="AI9" s="264"/>
      <c r="AJ9" s="264"/>
      <c r="AK9" s="264"/>
      <c r="AL9" s="261"/>
      <c r="AM9" s="261"/>
      <c r="AN9" s="261"/>
      <c r="AO9" s="261"/>
      <c r="AP9" s="261"/>
      <c r="AQ9" s="261"/>
      <c r="AR9" s="261"/>
      <c r="AS9" s="261"/>
      <c r="AT9" s="261"/>
      <c r="AU9" s="261"/>
      <c r="AV9" s="261"/>
      <c r="AW9" s="261"/>
      <c r="AX9" s="261"/>
      <c r="AY9" s="261"/>
      <c r="AZ9" s="261"/>
      <c r="BA9" s="261"/>
      <c r="BB9" s="261"/>
      <c r="BC9" s="264"/>
      <c r="BD9" s="264"/>
      <c r="BE9" s="264"/>
      <c r="BF9" s="666"/>
    </row>
    <row r="10" spans="2:68" x14ac:dyDescent="0.25">
      <c r="B10" s="1744" t="s">
        <v>881</v>
      </c>
      <c r="C10" s="1631"/>
      <c r="D10" s="1631"/>
      <c r="E10" s="1631"/>
      <c r="F10" s="1631"/>
      <c r="G10" s="1631"/>
      <c r="H10" s="1631"/>
      <c r="I10" s="1631"/>
      <c r="J10" s="1631"/>
      <c r="K10" s="1740">
        <f>'Tracking &amp; Profitability'!$H$5</f>
        <v>0</v>
      </c>
      <c r="L10" s="1740"/>
      <c r="M10" s="1740"/>
      <c r="N10" s="1740"/>
      <c r="O10" s="1740"/>
      <c r="P10" s="1740"/>
      <c r="Q10" s="1740"/>
      <c r="R10" s="1740"/>
      <c r="S10" s="1740"/>
      <c r="T10" s="1740"/>
      <c r="U10" s="1740"/>
      <c r="V10" s="1740"/>
      <c r="W10" s="1740"/>
      <c r="X10" s="1740"/>
      <c r="Y10" s="1740"/>
      <c r="Z10" s="1740"/>
      <c r="AA10" s="1740"/>
      <c r="AB10" s="1740"/>
      <c r="AC10" s="1740"/>
      <c r="AD10" s="1740"/>
      <c r="AE10" s="1740"/>
      <c r="AI10" s="1631" t="s">
        <v>721</v>
      </c>
      <c r="AJ10" s="1631"/>
      <c r="AK10" s="1631"/>
      <c r="AL10" s="1631"/>
      <c r="AM10" s="1631"/>
      <c r="AN10" s="1631"/>
      <c r="AO10" s="1631"/>
      <c r="AP10" s="1631"/>
      <c r="AQ10" s="1631"/>
      <c r="AR10" s="1631"/>
      <c r="AT10" s="1759"/>
      <c r="AU10" s="1759"/>
      <c r="AV10" s="1759"/>
      <c r="AW10" s="1759"/>
      <c r="AX10" s="1759"/>
      <c r="AY10" s="1759"/>
      <c r="AZ10" s="1759"/>
      <c r="BA10" s="1759"/>
      <c r="BB10" s="1759"/>
      <c r="BC10" s="1759"/>
      <c r="BD10" s="1759"/>
      <c r="BF10" s="138"/>
    </row>
    <row r="11" spans="2:68" x14ac:dyDescent="0.25">
      <c r="B11" s="137"/>
      <c r="AL11" s="2"/>
      <c r="AM11" s="2"/>
      <c r="AN11" s="2"/>
      <c r="AO11" s="2"/>
      <c r="AP11" s="2"/>
      <c r="AQ11" s="2"/>
      <c r="AR11" s="2"/>
      <c r="AS11" s="2"/>
      <c r="AT11" s="2"/>
      <c r="AU11" s="2"/>
      <c r="AV11" s="2"/>
      <c r="BF11" s="138"/>
    </row>
    <row r="12" spans="2:68" x14ac:dyDescent="0.25">
      <c r="B12" s="1743" t="s">
        <v>882</v>
      </c>
      <c r="C12" s="1736"/>
      <c r="D12" s="1736"/>
      <c r="E12" s="1736"/>
      <c r="F12" s="1736"/>
      <c r="G12" s="1736"/>
      <c r="H12" s="1736"/>
      <c r="I12" s="1736"/>
      <c r="J12" s="1736"/>
      <c r="K12" s="1715">
        <f>'Required Info to Submit'!$F$4</f>
        <v>0</v>
      </c>
      <c r="L12" s="1715"/>
      <c r="M12" s="1715"/>
      <c r="N12" s="1715"/>
      <c r="O12" s="1715"/>
      <c r="P12" s="1715"/>
      <c r="Q12" s="1715"/>
      <c r="R12" s="1715"/>
      <c r="S12" s="1715"/>
      <c r="T12" s="1715"/>
      <c r="U12" s="1715"/>
      <c r="V12" s="1715"/>
      <c r="W12" s="1715"/>
      <c r="X12" s="1715"/>
      <c r="Y12" s="1715"/>
      <c r="Z12" s="1715"/>
      <c r="AA12" s="1715"/>
      <c r="AB12" s="1715"/>
      <c r="AC12" s="1715"/>
      <c r="AD12" s="1715"/>
      <c r="AE12" s="1715"/>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743" t="s">
        <v>899</v>
      </c>
      <c r="C14" s="1736"/>
      <c r="D14" s="1736"/>
      <c r="E14" s="1736"/>
      <c r="F14" s="1736"/>
      <c r="G14" s="1736"/>
      <c r="H14" s="1736"/>
      <c r="I14" s="1736"/>
      <c r="J14" s="1736"/>
      <c r="K14" s="1736"/>
      <c r="L14" s="1736"/>
      <c r="M14" s="1736"/>
      <c r="N14" s="1736"/>
      <c r="O14" s="1736"/>
      <c r="P14" s="1736"/>
      <c r="Q14" s="1736"/>
      <c r="R14" s="1754">
        <f>'Required Info to Submit'!$F$6</f>
        <v>0</v>
      </c>
      <c r="S14" s="1754"/>
      <c r="T14" s="1754"/>
      <c r="U14" s="1754"/>
      <c r="V14" s="1754"/>
      <c r="W14" s="1754"/>
      <c r="X14" s="1754"/>
      <c r="Y14" s="1754"/>
      <c r="Z14" s="1754"/>
      <c r="AA14" s="1754"/>
      <c r="AB14" s="1754"/>
      <c r="AC14" s="1754"/>
      <c r="AD14" s="1754"/>
      <c r="AE14" s="1754"/>
      <c r="AF14" s="1754"/>
      <c r="AG14" s="1754"/>
      <c r="AH14" s="1754"/>
      <c r="AI14" s="1754"/>
      <c r="AJ14" s="1754"/>
      <c r="AK14" s="1754"/>
      <c r="AL14" s="1754"/>
      <c r="AM14" s="1754"/>
      <c r="AN14" s="1754"/>
      <c r="AO14" s="1754"/>
      <c r="AP14" s="1754"/>
      <c r="AQ14" s="1754"/>
      <c r="AR14" s="1754"/>
      <c r="AS14" s="1754"/>
      <c r="AT14" s="1754"/>
      <c r="AU14" s="1754"/>
      <c r="AV14" s="1754"/>
      <c r="AW14" s="1754"/>
      <c r="AX14" s="1754"/>
      <c r="AY14" s="1754"/>
      <c r="AZ14" s="1754"/>
      <c r="BA14" s="1754"/>
      <c r="BB14" s="1754"/>
      <c r="BC14" s="1754"/>
      <c r="BD14" s="1754"/>
      <c r="BF14" s="138"/>
    </row>
    <row r="15" spans="2:68" x14ac:dyDescent="0.25">
      <c r="B15" s="614"/>
      <c r="C15" s="134"/>
      <c r="D15" s="134"/>
      <c r="E15" s="134"/>
      <c r="F15" s="134"/>
      <c r="G15" s="134"/>
      <c r="H15" s="134"/>
      <c r="I15" s="134"/>
      <c r="J15" s="134"/>
      <c r="K15" s="134"/>
      <c r="L15" s="134"/>
      <c r="M15" s="134"/>
      <c r="N15" s="134"/>
      <c r="O15" s="134"/>
      <c r="P15" s="134"/>
      <c r="Q15" s="134"/>
      <c r="BF15" s="138"/>
    </row>
    <row r="16" spans="2:68" x14ac:dyDescent="0.25">
      <c r="B16" s="1743" t="s">
        <v>720</v>
      </c>
      <c r="C16" s="1736"/>
      <c r="D16" s="1736"/>
      <c r="E16" s="1736"/>
      <c r="F16" s="1736"/>
      <c r="G16" s="1736"/>
      <c r="H16" s="1736"/>
      <c r="I16" s="1736"/>
      <c r="J16" s="1736"/>
      <c r="K16" s="1736"/>
      <c r="L16" s="1736"/>
      <c r="M16" s="1736"/>
      <c r="N16" s="1736"/>
      <c r="O16" s="1736"/>
      <c r="P16" s="1736"/>
      <c r="Q16" s="1736"/>
      <c r="R16" s="1715" t="s">
        <v>241</v>
      </c>
      <c r="S16" s="1715"/>
      <c r="T16" s="1732" t="s">
        <v>650</v>
      </c>
      <c r="U16" s="1732"/>
      <c r="V16" s="1732"/>
      <c r="W16" s="1732"/>
      <c r="X16" s="1732"/>
      <c r="Y16" s="1732"/>
      <c r="Z16" s="1732"/>
      <c r="AA16" s="1732"/>
      <c r="AB16" s="1732"/>
      <c r="AC16" s="1732"/>
      <c r="AD16" s="1732"/>
      <c r="AE16" s="1732"/>
      <c r="AF16" s="1732"/>
      <c r="AG16" s="1732"/>
      <c r="AH16" s="1732"/>
      <c r="AI16" s="1732"/>
      <c r="AJ16" s="1732"/>
      <c r="AK16" s="1732"/>
      <c r="AL16" s="1732"/>
      <c r="AO16" s="1732"/>
      <c r="AP16" s="1732"/>
      <c r="BF16" s="138"/>
      <c r="BP16" s="266"/>
    </row>
    <row r="17" spans="2:68" x14ac:dyDescent="0.25">
      <c r="B17" s="614"/>
      <c r="C17" s="134"/>
      <c r="D17" s="134"/>
      <c r="E17" s="134"/>
      <c r="F17" s="134"/>
      <c r="G17" s="134"/>
      <c r="H17" s="134"/>
      <c r="I17" s="134"/>
      <c r="J17" s="134"/>
      <c r="K17" s="134"/>
      <c r="L17" s="134"/>
      <c r="M17" s="134"/>
      <c r="N17" s="134"/>
      <c r="O17" s="134"/>
      <c r="P17" s="134"/>
      <c r="Q17" s="134"/>
      <c r="BF17" s="138"/>
    </row>
    <row r="18" spans="2:68" x14ac:dyDescent="0.25">
      <c r="B18" s="1755" t="s">
        <v>875</v>
      </c>
      <c r="C18" s="1756"/>
      <c r="D18" s="1756"/>
      <c r="E18" s="1756"/>
      <c r="F18" s="1756"/>
      <c r="G18" s="1756"/>
      <c r="H18" s="1756"/>
      <c r="I18" s="1756"/>
      <c r="J18" s="1756"/>
      <c r="K18" s="1756"/>
      <c r="L18" s="1756"/>
      <c r="M18" s="1756"/>
      <c r="N18" s="1756"/>
      <c r="O18" s="1756"/>
      <c r="P18" s="1756"/>
      <c r="Q18" s="1756"/>
      <c r="R18" s="1740">
        <f>'Required Info to Submit'!$F$8</f>
        <v>0</v>
      </c>
      <c r="S18" s="1740"/>
      <c r="T18" s="1740"/>
      <c r="U18" s="1740"/>
      <c r="V18" s="1740"/>
      <c r="W18" s="1740"/>
      <c r="X18" s="1740"/>
      <c r="Y18" s="1740"/>
      <c r="Z18" s="1740"/>
      <c r="AA18" s="1740"/>
      <c r="AB18" s="1740"/>
      <c r="AC18" s="1740"/>
      <c r="AD18" s="1740"/>
      <c r="AE18" s="1740"/>
      <c r="AF18" s="1740"/>
      <c r="AG18" s="1740"/>
      <c r="AH18" s="1740"/>
      <c r="AI18" s="1740"/>
      <c r="AJ18" s="1740"/>
      <c r="AK18" s="1740"/>
      <c r="AL18" s="1740"/>
      <c r="AN18" s="1736" t="s">
        <v>877</v>
      </c>
      <c r="AO18" s="1736"/>
      <c r="AP18" s="1736"/>
      <c r="AQ18" s="1736"/>
      <c r="AR18" s="1736"/>
      <c r="AS18" s="1736"/>
      <c r="AT18" s="1736"/>
      <c r="AU18" s="1736"/>
      <c r="AV18" s="1740">
        <f>'Required Info to Submit'!F10</f>
        <v>0</v>
      </c>
      <c r="AW18" s="1740"/>
      <c r="AX18" s="1740"/>
      <c r="AY18" s="1740"/>
      <c r="AZ18" s="1740"/>
      <c r="BA18" s="1740"/>
      <c r="BB18" s="1740"/>
      <c r="BC18" s="1740"/>
      <c r="BD18" s="1740"/>
      <c r="BF18" s="138"/>
      <c r="BP18" s="266"/>
    </row>
    <row r="19" spans="2:68" x14ac:dyDescent="0.25">
      <c r="B19" s="614"/>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743" t="s">
        <v>876</v>
      </c>
      <c r="C20" s="1736"/>
      <c r="D20" s="1736"/>
      <c r="E20" s="1736"/>
      <c r="F20" s="1736"/>
      <c r="G20" s="1736"/>
      <c r="H20" s="1736"/>
      <c r="I20" s="1736"/>
      <c r="J20" s="1736"/>
      <c r="K20" s="1736"/>
      <c r="L20" s="1736"/>
      <c r="M20" s="1736"/>
      <c r="N20" s="1736"/>
      <c r="O20" s="1736"/>
      <c r="P20" s="1736"/>
      <c r="Q20" s="1736"/>
      <c r="R20" s="1740">
        <f>'Required Info to Submit'!F9</f>
        <v>0</v>
      </c>
      <c r="S20" s="1740"/>
      <c r="T20" s="1740"/>
      <c r="U20" s="1740"/>
      <c r="V20" s="1740"/>
      <c r="W20" s="1740"/>
      <c r="X20" s="1740"/>
      <c r="Y20" s="1740"/>
      <c r="Z20" s="1740"/>
      <c r="AA20" s="1740"/>
      <c r="AB20" s="1740"/>
      <c r="AC20" s="1740"/>
      <c r="AD20" s="1740"/>
      <c r="AE20" s="1740"/>
      <c r="AF20" s="1740"/>
      <c r="AG20" s="1740"/>
      <c r="AH20" s="1740"/>
      <c r="AI20" s="1740"/>
      <c r="AJ20" s="1740"/>
      <c r="AK20" s="1740"/>
      <c r="AL20" s="1740"/>
      <c r="AN20" s="1736" t="s">
        <v>830</v>
      </c>
      <c r="AO20" s="1736"/>
      <c r="AP20" s="1736"/>
      <c r="AQ20" s="1736"/>
      <c r="AR20" s="1736"/>
      <c r="AS20" s="1736"/>
      <c r="AT20" s="1736"/>
      <c r="AU20" s="1736"/>
      <c r="AV20" s="1740">
        <f>'Required Info to Submit'!F11</f>
        <v>0</v>
      </c>
      <c r="AW20" s="1740"/>
      <c r="AX20" s="1740"/>
      <c r="AY20" s="1740"/>
      <c r="AZ20" s="1740"/>
      <c r="BA20" s="1740"/>
      <c r="BB20" s="1740"/>
      <c r="BC20" s="1740"/>
      <c r="BD20" s="1740"/>
      <c r="BF20" s="138"/>
      <c r="BP20" s="266"/>
    </row>
    <row r="21" spans="2:68" x14ac:dyDescent="0.25">
      <c r="B21" s="614"/>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743" t="s">
        <v>878</v>
      </c>
      <c r="C22" s="1736"/>
      <c r="D22" s="1736"/>
      <c r="E22" s="1736"/>
      <c r="F22" s="1736"/>
      <c r="G22" s="1736"/>
      <c r="H22" s="1736"/>
      <c r="I22" s="1736"/>
      <c r="J22" s="1736"/>
      <c r="K22" s="1736"/>
      <c r="L22" s="1736"/>
      <c r="M22" s="1736"/>
      <c r="N22" s="1736"/>
      <c r="O22" s="1736"/>
      <c r="P22" s="1736"/>
      <c r="Q22" s="1736"/>
      <c r="R22" s="1740">
        <f>'Required Info to Submit'!F12</f>
        <v>0</v>
      </c>
      <c r="S22" s="1740"/>
      <c r="T22" s="1740"/>
      <c r="U22" s="1740"/>
      <c r="V22" s="1740"/>
      <c r="W22" s="1740"/>
      <c r="X22" s="1740"/>
      <c r="Y22" s="1740"/>
      <c r="Z22" s="1740"/>
      <c r="AA22" s="1740"/>
      <c r="AB22" s="1740"/>
      <c r="AC22" s="1740"/>
      <c r="AD22" s="1740"/>
      <c r="AE22" s="1740"/>
      <c r="AF22" s="1740"/>
      <c r="AG22" s="1740"/>
      <c r="AH22" s="1740"/>
      <c r="AI22" s="1740"/>
      <c r="AJ22" s="1740"/>
      <c r="AK22" s="1740"/>
      <c r="AL22" s="1740"/>
      <c r="AN22" s="1736"/>
      <c r="AO22" s="1736"/>
      <c r="AP22" s="1736"/>
      <c r="AQ22" s="1736"/>
      <c r="AR22" s="1736"/>
      <c r="AS22" s="1736"/>
      <c r="AT22" s="1736"/>
      <c r="AU22" s="1736"/>
      <c r="AV22" s="1757"/>
      <c r="AW22" s="1757"/>
      <c r="AX22" s="1757"/>
      <c r="AY22" s="1757"/>
      <c r="AZ22" s="1757"/>
      <c r="BA22" s="1757"/>
      <c r="BB22" s="1757"/>
      <c r="BC22" s="1757"/>
      <c r="BD22" s="1757"/>
      <c r="BF22" s="138"/>
      <c r="BP22" s="266"/>
    </row>
    <row r="23" spans="2:68" x14ac:dyDescent="0.25">
      <c r="B23" s="614"/>
      <c r="C23" s="134"/>
      <c r="D23" s="134"/>
      <c r="E23" s="134"/>
      <c r="F23" s="134"/>
      <c r="G23" s="134"/>
      <c r="H23" s="134"/>
      <c r="I23" s="134"/>
      <c r="J23" s="134"/>
      <c r="K23" s="134"/>
      <c r="L23" s="134"/>
      <c r="M23" s="134"/>
      <c r="N23" s="134"/>
      <c r="O23" s="134"/>
      <c r="P23" s="134"/>
      <c r="Q23" s="134"/>
      <c r="BF23" s="138"/>
    </row>
    <row r="24" spans="2:68" x14ac:dyDescent="0.25">
      <c r="B24" s="1743" t="s">
        <v>879</v>
      </c>
      <c r="C24" s="1736"/>
      <c r="D24" s="1736"/>
      <c r="E24" s="1736"/>
      <c r="F24" s="1736"/>
      <c r="G24" s="1736"/>
      <c r="H24" s="1736"/>
      <c r="I24" s="1736"/>
      <c r="J24" s="1736"/>
      <c r="K24" s="1736"/>
      <c r="L24" s="1736"/>
      <c r="M24" s="1736"/>
      <c r="N24" s="1736"/>
      <c r="O24" s="1736"/>
      <c r="P24" s="1736"/>
      <c r="Q24" s="1736"/>
      <c r="R24" s="1752">
        <f>'Required Info to Submit'!$F$14</f>
        <v>0</v>
      </c>
      <c r="S24" s="1752"/>
      <c r="T24" s="1752"/>
      <c r="U24" s="1752"/>
      <c r="V24" s="1752"/>
      <c r="W24" s="1752"/>
      <c r="X24" s="1752"/>
      <c r="Y24" s="1752"/>
      <c r="Z24" s="1752"/>
      <c r="AA24" s="1752"/>
      <c r="AB24" s="1752"/>
      <c r="AC24" s="1752"/>
      <c r="AN24" s="1631" t="s">
        <v>883</v>
      </c>
      <c r="AO24" s="1631"/>
      <c r="AP24" s="1631"/>
      <c r="AQ24" s="1631"/>
      <c r="AR24" s="1631"/>
      <c r="AS24" s="1631"/>
      <c r="AT24" s="1631"/>
      <c r="AU24" s="1631"/>
      <c r="AV24" s="1758" t="e">
        <f>#REF!</f>
        <v>#REF!</v>
      </c>
      <c r="AW24" s="1758"/>
      <c r="AX24" s="1758"/>
      <c r="AY24" s="1758"/>
      <c r="AZ24" s="1758"/>
      <c r="BA24" s="1758"/>
      <c r="BB24" s="1758"/>
      <c r="BC24" s="1758"/>
      <c r="BD24" s="1758"/>
      <c r="BF24" s="138"/>
    </row>
    <row r="25" spans="2:68" ht="17.25" x14ac:dyDescent="0.25">
      <c r="B25" s="137"/>
      <c r="C25" s="267"/>
      <c r="D25" s="267"/>
      <c r="E25" s="267"/>
      <c r="F25" s="267"/>
      <c r="G25" s="267"/>
      <c r="H25" s="1751" t="s">
        <v>719</v>
      </c>
      <c r="I25" s="1751"/>
      <c r="J25" s="1751"/>
      <c r="K25" s="1751"/>
      <c r="L25" s="1751"/>
      <c r="M25" s="1751"/>
      <c r="N25" s="1751"/>
      <c r="O25" s="1751"/>
      <c r="P25" s="1751"/>
      <c r="Q25" s="267"/>
      <c r="AN25" s="1751" t="s">
        <v>718</v>
      </c>
      <c r="AO25" s="1751"/>
      <c r="AP25" s="1751"/>
      <c r="AQ25" s="1751"/>
      <c r="AR25" s="1751"/>
      <c r="AS25" s="1751"/>
      <c r="AT25" s="1751"/>
      <c r="BF25" s="138"/>
    </row>
    <row r="26" spans="2:68" ht="18.75" x14ac:dyDescent="0.3">
      <c r="B26" s="1748" t="s">
        <v>655</v>
      </c>
      <c r="C26" s="1749"/>
      <c r="D26" s="1749"/>
      <c r="E26" s="1749"/>
      <c r="F26" s="1749"/>
      <c r="G26" s="1749"/>
      <c r="H26" s="1749"/>
      <c r="I26" s="1749"/>
      <c r="J26" s="1749"/>
      <c r="K26" s="1749"/>
      <c r="L26" s="1749"/>
      <c r="M26" s="1749"/>
      <c r="N26" s="1749"/>
      <c r="O26" s="1749"/>
      <c r="P26" s="1749"/>
      <c r="Q26" s="1749"/>
      <c r="R26" s="1749"/>
      <c r="S26" s="1749"/>
      <c r="T26" s="1749"/>
      <c r="U26" s="1749"/>
      <c r="V26" s="1749"/>
      <c r="W26" s="1749"/>
      <c r="X26" s="1749"/>
      <c r="Y26" s="1749"/>
      <c r="Z26" s="1749"/>
      <c r="AA26" s="1749"/>
      <c r="AB26" s="1749"/>
      <c r="AC26" s="1749"/>
      <c r="AD26" s="1749"/>
      <c r="AE26" s="1749"/>
      <c r="AF26" s="1749"/>
      <c r="AG26" s="1749"/>
      <c r="AH26" s="1749"/>
      <c r="AI26" s="1749"/>
      <c r="AJ26" s="1749"/>
      <c r="AK26" s="1749"/>
      <c r="AL26" s="1749"/>
      <c r="AM26" s="1749"/>
      <c r="AN26" s="1749"/>
      <c r="AO26" s="1749"/>
      <c r="AP26" s="1749"/>
      <c r="AQ26" s="1749"/>
      <c r="AR26" s="1749"/>
      <c r="AS26" s="1749"/>
      <c r="AT26" s="1749"/>
      <c r="AU26" s="1749"/>
      <c r="AV26" s="1749"/>
      <c r="AW26" s="1749"/>
      <c r="AX26" s="1749"/>
      <c r="AY26" s="1749"/>
      <c r="AZ26" s="1749"/>
      <c r="BA26" s="1749"/>
      <c r="BB26" s="1749"/>
      <c r="BC26" s="1749"/>
      <c r="BD26" s="1749"/>
      <c r="BE26" s="1749"/>
      <c r="BF26" s="1750"/>
      <c r="BP26" s="266"/>
    </row>
    <row r="27" spans="2:68" x14ac:dyDescent="0.25">
      <c r="B27" s="607"/>
      <c r="C27" s="261"/>
      <c r="D27" s="261"/>
      <c r="E27" s="261"/>
      <c r="F27" s="261"/>
      <c r="G27" s="261"/>
      <c r="H27" s="261"/>
      <c r="I27" s="261"/>
      <c r="J27" s="261"/>
      <c r="K27" s="261"/>
      <c r="L27" s="261"/>
      <c r="M27" s="261"/>
      <c r="N27" s="261"/>
      <c r="O27" s="261"/>
      <c r="P27" s="261"/>
      <c r="Q27" s="261"/>
      <c r="R27" s="261"/>
      <c r="S27" s="261"/>
      <c r="T27" s="261"/>
      <c r="U27" s="261"/>
      <c r="V27" s="261"/>
      <c r="W27" s="261"/>
      <c r="X27" s="261"/>
      <c r="Y27" s="261"/>
      <c r="Z27" s="261"/>
      <c r="AA27" s="261"/>
      <c r="AB27" s="261"/>
      <c r="AC27" s="261"/>
      <c r="AD27" s="261"/>
      <c r="AE27" s="261"/>
      <c r="AF27" s="261"/>
      <c r="AG27" s="261"/>
      <c r="AH27" s="261"/>
      <c r="AI27" s="261"/>
      <c r="AJ27" s="261"/>
      <c r="AK27" s="261"/>
      <c r="AL27" s="261"/>
      <c r="AM27" s="261"/>
      <c r="AN27" s="261"/>
      <c r="AO27" s="261"/>
      <c r="AP27" s="261"/>
      <c r="AQ27" s="261"/>
      <c r="AR27" s="261"/>
      <c r="AS27" s="261"/>
      <c r="AT27" s="261"/>
      <c r="AU27" s="261"/>
      <c r="AV27" s="261"/>
      <c r="AW27" s="261"/>
      <c r="AX27" s="261"/>
      <c r="AY27" s="261"/>
      <c r="AZ27" s="261"/>
      <c r="BA27" s="261"/>
      <c r="BB27" s="261"/>
      <c r="BC27" s="261"/>
      <c r="BD27" s="261"/>
      <c r="BE27" s="261"/>
      <c r="BF27" s="608"/>
    </row>
    <row r="28" spans="2:68" x14ac:dyDescent="0.25">
      <c r="B28" s="1741" t="s">
        <v>656</v>
      </c>
      <c r="C28" s="1742"/>
      <c r="D28" s="1742"/>
      <c r="E28" s="1742"/>
      <c r="F28" s="1742"/>
      <c r="G28" s="1742"/>
      <c r="H28" s="1742"/>
      <c r="I28" s="1742"/>
      <c r="J28" s="1742"/>
      <c r="K28" s="1742"/>
      <c r="L28" s="1742"/>
      <c r="M28" s="1742"/>
      <c r="N28" s="1742"/>
      <c r="O28" s="1742"/>
      <c r="P28" s="1742"/>
      <c r="Q28" s="1742"/>
      <c r="T28" s="1745">
        <f>'Tracking &amp; Profitability'!$E$6</f>
        <v>0</v>
      </c>
      <c r="U28" s="1745"/>
      <c r="V28" s="1745"/>
      <c r="W28" s="1745"/>
      <c r="X28" s="1745"/>
      <c r="Y28" s="1745"/>
      <c r="Z28" s="1745"/>
      <c r="AA28" s="1745"/>
      <c r="AB28" s="1745"/>
      <c r="AF28" t="s">
        <v>717</v>
      </c>
      <c r="AO28" s="1715">
        <v>5</v>
      </c>
      <c r="AP28" s="1715"/>
      <c r="AQ28" s="1715"/>
      <c r="AR28" s="1732" t="s">
        <v>657</v>
      </c>
      <c r="AS28" s="1732"/>
      <c r="AU28" s="1715">
        <v>5</v>
      </c>
      <c r="AV28" s="1715"/>
      <c r="AW28" s="1715"/>
      <c r="AX28" s="1732" t="s">
        <v>716</v>
      </c>
      <c r="AY28" s="1732"/>
      <c r="BA28" s="1715">
        <v>5</v>
      </c>
      <c r="BB28" s="1715"/>
      <c r="BC28" s="1715"/>
      <c r="BD28" s="1732" t="s">
        <v>658</v>
      </c>
      <c r="BE28" s="1732"/>
      <c r="BF28" s="138"/>
    </row>
    <row r="29" spans="2:68" ht="17.25" x14ac:dyDescent="0.25">
      <c r="B29" s="137"/>
      <c r="T29" s="134"/>
      <c r="U29" s="134"/>
      <c r="V29" s="134"/>
      <c r="W29" s="134"/>
      <c r="X29" s="134"/>
      <c r="Y29" s="134"/>
      <c r="Z29" s="134"/>
      <c r="AA29" s="134"/>
      <c r="AB29" s="134"/>
      <c r="AF29" s="1751" t="s">
        <v>715</v>
      </c>
      <c r="AG29" s="1751"/>
      <c r="AH29" s="1751"/>
      <c r="AI29" s="1751"/>
      <c r="AJ29" s="1751"/>
      <c r="AK29" s="1751"/>
      <c r="AL29" s="1751"/>
      <c r="AM29" s="1751"/>
      <c r="AN29" s="1751"/>
      <c r="AO29" s="1751"/>
      <c r="AP29" s="1751"/>
      <c r="AQ29" s="1751"/>
      <c r="AR29" s="1751"/>
      <c r="AS29" s="1751"/>
      <c r="AT29" s="1751"/>
      <c r="AU29" s="1751"/>
      <c r="AV29" s="1751"/>
      <c r="AW29" s="1751"/>
      <c r="AX29" s="1751"/>
      <c r="AY29" s="1751"/>
      <c r="AZ29" s="1751"/>
      <c r="BA29" s="1751"/>
      <c r="BB29" s="1751"/>
      <c r="BC29" s="1751"/>
      <c r="BD29" s="1751"/>
      <c r="BE29" s="1751"/>
      <c r="BF29" s="138"/>
    </row>
    <row r="30" spans="2:68" x14ac:dyDescent="0.25">
      <c r="B30" s="1744" t="s">
        <v>712</v>
      </c>
      <c r="C30" s="1631"/>
      <c r="D30" s="1631"/>
      <c r="E30" s="1631"/>
      <c r="F30" s="1631"/>
      <c r="G30" s="1631"/>
      <c r="H30" s="1631"/>
      <c r="I30" s="1631"/>
      <c r="J30" s="1631"/>
      <c r="K30" s="1631"/>
      <c r="L30" s="1631"/>
      <c r="M30" s="1631"/>
      <c r="N30" s="1631"/>
      <c r="O30" s="1631"/>
      <c r="P30" s="1631"/>
      <c r="Q30" s="1631"/>
      <c r="T30" s="1747">
        <v>1</v>
      </c>
      <c r="U30" s="1747"/>
      <c r="V30" s="1747"/>
      <c r="W30" s="1747"/>
      <c r="AF30" s="1666" t="s">
        <v>714</v>
      </c>
      <c r="AG30" s="1666"/>
      <c r="AH30" s="1666"/>
      <c r="AI30" s="1666"/>
      <c r="AJ30" s="1666"/>
      <c r="AK30" s="1666"/>
      <c r="AL30" s="1666"/>
      <c r="AM30" s="1666"/>
      <c r="AN30" s="1666"/>
      <c r="AO30" s="1666"/>
      <c r="AP30" s="1715" t="s">
        <v>1044</v>
      </c>
      <c r="AQ30" s="1715"/>
      <c r="AR30" s="1715"/>
      <c r="AT30" s="1666" t="s">
        <v>713</v>
      </c>
      <c r="AU30" s="1666"/>
      <c r="AV30" s="1666"/>
      <c r="AW30" s="1666"/>
      <c r="AX30" s="1666"/>
      <c r="AY30" s="1666"/>
      <c r="AZ30" s="1666"/>
      <c r="BA30" s="1666"/>
      <c r="BB30" s="1666"/>
      <c r="BC30" s="1666"/>
      <c r="BF30" s="138"/>
    </row>
    <row r="31" spans="2:68" x14ac:dyDescent="0.25">
      <c r="B31" s="137"/>
      <c r="BF31" s="138"/>
      <c r="BP31" s="266"/>
    </row>
    <row r="32" spans="2:68" x14ac:dyDescent="0.25">
      <c r="B32" s="1744" t="s">
        <v>709</v>
      </c>
      <c r="C32" s="1631"/>
      <c r="D32" s="1631"/>
      <c r="E32" s="1631"/>
      <c r="F32" s="1631"/>
      <c r="G32" s="1631"/>
      <c r="H32" s="1631"/>
      <c r="I32" s="1631"/>
      <c r="J32" s="1631"/>
      <c r="K32" s="1631"/>
      <c r="L32" s="1631"/>
      <c r="M32" s="1631"/>
      <c r="N32" s="1631"/>
      <c r="O32" s="1631"/>
      <c r="P32" s="1631"/>
      <c r="Q32" s="1631"/>
      <c r="T32" s="1753" t="s">
        <v>1018</v>
      </c>
      <c r="U32" s="1753"/>
      <c r="V32" s="1753"/>
      <c r="W32" s="1753"/>
      <c r="X32" s="1753"/>
      <c r="Y32" s="1753"/>
      <c r="Z32" s="1753"/>
      <c r="AA32" s="1753"/>
      <c r="AB32" s="1753"/>
      <c r="AC32" s="1753"/>
      <c r="AD32" s="1753"/>
      <c r="AE32" s="1753"/>
      <c r="AF32" s="1753"/>
      <c r="AG32" s="1753"/>
      <c r="AH32" s="1753"/>
      <c r="AI32" s="1753"/>
      <c r="AJ32" s="1753"/>
      <c r="AK32" s="1753"/>
      <c r="AL32" s="1753"/>
      <c r="AM32" s="1753"/>
      <c r="AN32" s="1753"/>
      <c r="AO32" s="1753"/>
      <c r="BF32" s="138"/>
    </row>
    <row r="33" spans="2:92" x14ac:dyDescent="0.25">
      <c r="B33" s="137"/>
      <c r="BF33" s="138"/>
    </row>
    <row r="34" spans="2:92" x14ac:dyDescent="0.25">
      <c r="B34" s="137"/>
      <c r="C34" s="82"/>
      <c r="D34" s="82"/>
      <c r="E34" s="82"/>
      <c r="F34" s="82"/>
      <c r="G34" s="82"/>
      <c r="H34" s="82"/>
      <c r="I34" s="1715"/>
      <c r="J34" s="1715"/>
      <c r="K34" s="1732" t="s">
        <v>485</v>
      </c>
      <c r="L34" s="1732"/>
      <c r="M34" s="1732"/>
      <c r="N34" s="1732"/>
      <c r="O34" s="1732"/>
      <c r="P34" s="1732"/>
      <c r="Q34" s="1732"/>
      <c r="R34" s="1715" t="s">
        <v>241</v>
      </c>
      <c r="S34" s="1715"/>
      <c r="T34" s="1732" t="s">
        <v>484</v>
      </c>
      <c r="U34" s="1732"/>
      <c r="V34" s="1732"/>
      <c r="W34" s="1732"/>
      <c r="X34" s="1715"/>
      <c r="Y34" s="1715"/>
      <c r="Z34" s="1732" t="s">
        <v>483</v>
      </c>
      <c r="AA34" s="1732"/>
      <c r="AB34" s="1732"/>
      <c r="AF34" t="s">
        <v>711</v>
      </c>
      <c r="AL34" s="1715">
        <v>5</v>
      </c>
      <c r="AM34" s="1715"/>
      <c r="AN34" s="1715"/>
      <c r="AO34" t="s">
        <v>710</v>
      </c>
      <c r="BF34" s="138"/>
    </row>
    <row r="35" spans="2:92" x14ac:dyDescent="0.25">
      <c r="B35" s="137"/>
      <c r="BF35" s="138"/>
      <c r="BP35" s="268"/>
      <c r="CN35" s="266"/>
    </row>
    <row r="36" spans="2:92" x14ac:dyDescent="0.25">
      <c r="B36" s="1741" t="s">
        <v>708</v>
      </c>
      <c r="C36" s="1742"/>
      <c r="D36" s="1742"/>
      <c r="E36" s="1742"/>
      <c r="F36" s="1742"/>
      <c r="G36" s="1742"/>
      <c r="H36" s="1742"/>
      <c r="I36" s="1742"/>
      <c r="J36" s="1742"/>
      <c r="K36" s="1742"/>
      <c r="L36" s="1742"/>
      <c r="M36" s="1742"/>
      <c r="N36" s="1742"/>
      <c r="O36" s="1742"/>
      <c r="P36" s="1742"/>
      <c r="Q36" s="1742"/>
      <c r="R36" s="1742"/>
      <c r="T36" s="1723" t="str">
        <f>IFERROR($T$28/('Tracking &amp; Profitability'!$E$7*52*Welcome!$D$14),"Error on A La Carte")</f>
        <v>Error on A La Carte</v>
      </c>
      <c r="U36" s="1723"/>
      <c r="V36" s="1723"/>
      <c r="W36" s="1723"/>
      <c r="X36" s="1723"/>
      <c r="Y36" s="1723"/>
      <c r="Z36" s="1723"/>
      <c r="AA36" s="1723"/>
      <c r="AB36" s="1723"/>
      <c r="AF36" s="1742" t="s">
        <v>480</v>
      </c>
      <c r="AG36" s="1742"/>
      <c r="AH36" s="1742"/>
      <c r="AI36" s="1742"/>
      <c r="AJ36" s="1742"/>
      <c r="AK36" s="1742"/>
      <c r="AL36" s="1742"/>
      <c r="AM36" s="1742"/>
      <c r="AN36" s="1742"/>
      <c r="AO36" s="1742"/>
      <c r="AP36" s="1742"/>
      <c r="AQ36" s="1742"/>
      <c r="AR36" s="1742"/>
      <c r="AS36" s="1742"/>
      <c r="AU36" s="1715" t="e">
        <f>ROUND(((1-(('PIM Model'!$G$15+'PIM Model'!$G$17+'PIM Model'!$G$18)/'PIM Model'!$G$31))*100),0)&amp;"%/"&amp;ROUND((('PIM Model'!$G$15+'PIM Model'!$G$17+'PIM Model'!$G$18)/'PIM Model'!$G$31*100),0)&amp;"%"</f>
        <v>#DIV/0!</v>
      </c>
      <c r="AV36" s="1715"/>
      <c r="AW36" s="1715"/>
      <c r="AX36" s="1715"/>
      <c r="AY36" s="1715"/>
      <c r="AZ36" s="1715"/>
      <c r="BF36" s="138"/>
    </row>
    <row r="37" spans="2:92" x14ac:dyDescent="0.25">
      <c r="B37" s="315"/>
      <c r="C37" s="82"/>
      <c r="D37" s="82"/>
      <c r="E37" s="82"/>
      <c r="F37" s="82"/>
      <c r="G37" s="82"/>
      <c r="H37" s="82"/>
      <c r="I37" s="82"/>
      <c r="J37" s="82"/>
      <c r="K37" s="82"/>
      <c r="L37" s="82"/>
      <c r="M37" s="82"/>
      <c r="N37" s="82"/>
      <c r="O37" s="82"/>
      <c r="P37" s="82"/>
      <c r="Q37" s="82"/>
      <c r="T37" s="269"/>
      <c r="U37" s="269"/>
      <c r="V37" s="269"/>
      <c r="W37" s="269"/>
      <c r="X37" s="269"/>
      <c r="Y37" s="269"/>
      <c r="Z37" s="269"/>
      <c r="AA37" s="269"/>
      <c r="AB37" s="269"/>
      <c r="AC37" s="269"/>
      <c r="AD37" s="269"/>
      <c r="AF37" s="2"/>
      <c r="AG37" s="2"/>
      <c r="AH37" s="2"/>
      <c r="AI37" s="2"/>
      <c r="AJ37" s="2"/>
      <c r="AK37" s="2"/>
      <c r="AL37" s="2"/>
      <c r="AM37" s="2"/>
      <c r="AN37" s="2"/>
      <c r="AO37" s="2"/>
      <c r="AP37" s="2"/>
      <c r="AQ37" s="2"/>
      <c r="AR37" s="2"/>
      <c r="AS37" s="2"/>
      <c r="AT37" s="2"/>
      <c r="AU37" s="2"/>
      <c r="AV37" s="2"/>
      <c r="AW37" s="2"/>
      <c r="AX37" s="2"/>
      <c r="AY37" s="2"/>
      <c r="BF37" s="138"/>
      <c r="BP37" s="268"/>
      <c r="CN37" s="266"/>
    </row>
    <row r="38" spans="2:92" x14ac:dyDescent="0.25">
      <c r="B38" s="1741" t="s">
        <v>706</v>
      </c>
      <c r="C38" s="1742"/>
      <c r="D38" s="1742"/>
      <c r="E38" s="1742"/>
      <c r="F38" s="1742"/>
      <c r="G38" s="1742"/>
      <c r="H38" s="1742"/>
      <c r="I38" s="1742"/>
      <c r="J38" s="1742"/>
      <c r="K38" s="1742"/>
      <c r="L38" s="1742"/>
      <c r="M38" s="1742"/>
      <c r="N38" s="1742"/>
      <c r="O38" s="1742"/>
      <c r="P38" s="1742"/>
      <c r="Q38" s="1742"/>
      <c r="R38" s="1742"/>
      <c r="T38" s="1724" t="str">
        <f>IFERROR('PIM Model'!$H$31/('PIM Model'!$E$6*52*Welcome!$D$14),"Error on A La Carte")</f>
        <v>Error on A La Carte</v>
      </c>
      <c r="U38" s="1724"/>
      <c r="V38" s="1724"/>
      <c r="W38" s="1724"/>
      <c r="X38" s="1724"/>
      <c r="Y38" s="1724"/>
      <c r="Z38" s="1724"/>
      <c r="AA38" s="1724"/>
      <c r="AB38" s="1724"/>
      <c r="AC38" s="269"/>
      <c r="AD38" s="269"/>
      <c r="AF38" s="1631" t="s">
        <v>659</v>
      </c>
      <c r="AG38" s="1631"/>
      <c r="AH38" s="1631"/>
      <c r="AI38" s="1631"/>
      <c r="AJ38" s="1631"/>
      <c r="AK38" s="1631"/>
      <c r="AL38" s="1631"/>
      <c r="AM38" s="1631"/>
      <c r="AN38" s="1631"/>
      <c r="AO38" s="1631"/>
      <c r="AP38" s="1631"/>
      <c r="AQ38" s="1631"/>
      <c r="AR38" s="1631"/>
      <c r="AS38" s="1631"/>
      <c r="AU38" s="1715">
        <f>COUNTIF('PIM Model'!$E$10:$E$30,"Include")</f>
        <v>21</v>
      </c>
      <c r="AV38" s="1715"/>
      <c r="AW38" s="1715"/>
      <c r="AX38" s="1715"/>
      <c r="AY38" s="1715"/>
      <c r="AZ38" s="1715"/>
      <c r="BF38" s="138"/>
    </row>
    <row r="39" spans="2:92" x14ac:dyDescent="0.25">
      <c r="B39" s="137"/>
      <c r="BF39" s="138"/>
    </row>
    <row r="40" spans="2:92" x14ac:dyDescent="0.25">
      <c r="B40" s="1741" t="s">
        <v>704</v>
      </c>
      <c r="C40" s="1742"/>
      <c r="D40" s="1742"/>
      <c r="E40" s="1742"/>
      <c r="F40" s="1742"/>
      <c r="G40" s="1742"/>
      <c r="H40" s="1742"/>
      <c r="I40" s="1742"/>
      <c r="J40" s="1742"/>
      <c r="K40" s="1742"/>
      <c r="L40" s="1742"/>
      <c r="M40" s="1742"/>
      <c r="N40" s="1742"/>
      <c r="O40" s="1742"/>
      <c r="P40" s="1742"/>
      <c r="Q40" s="1742"/>
      <c r="R40" s="1742"/>
      <c r="T40" s="1745">
        <f>IFERROR('PIM Model'!$G$31/'PIM Model'!$H$31,0)</f>
        <v>0</v>
      </c>
      <c r="U40" s="1745"/>
      <c r="V40" s="1745"/>
      <c r="W40" s="1745"/>
      <c r="X40" s="1745"/>
      <c r="Y40" s="1745"/>
      <c r="Z40" s="1745"/>
      <c r="AA40" s="1745"/>
      <c r="AB40" s="1745"/>
      <c r="AF40" s="1631" t="s">
        <v>707</v>
      </c>
      <c r="AG40" s="1631"/>
      <c r="AH40" s="1631"/>
      <c r="AI40" s="1631"/>
      <c r="AJ40" s="1631"/>
      <c r="AK40" s="1631"/>
      <c r="AL40" s="1631"/>
      <c r="AM40" s="1631"/>
      <c r="AN40" s="1631"/>
      <c r="AO40" s="1631"/>
      <c r="AP40" s="1631"/>
      <c r="AQ40" s="1631"/>
      <c r="AR40" s="1631"/>
      <c r="AS40" s="1631"/>
      <c r="AU40" s="1715">
        <f>$AO$28+$AU$28+$BA$28</f>
        <v>15</v>
      </c>
      <c r="AV40" s="1715"/>
      <c r="AW40" s="1715"/>
      <c r="BC40" s="1732"/>
      <c r="BD40" s="1732"/>
      <c r="BE40" s="1732"/>
      <c r="BF40" s="138"/>
    </row>
    <row r="41" spans="2:92" x14ac:dyDescent="0.25">
      <c r="B41" s="137"/>
      <c r="BF41" s="138"/>
      <c r="BP41" s="266"/>
      <c r="CN41" s="268"/>
    </row>
    <row r="42" spans="2:92" x14ac:dyDescent="0.25">
      <c r="B42" s="1744" t="s">
        <v>702</v>
      </c>
      <c r="C42" s="1631"/>
      <c r="D42" s="1631"/>
      <c r="E42" s="1631"/>
      <c r="F42" s="1631"/>
      <c r="G42" s="1631"/>
      <c r="H42" s="1631"/>
      <c r="I42" s="1631"/>
      <c r="J42" s="1631"/>
      <c r="K42" s="1631"/>
      <c r="L42" s="1631"/>
      <c r="M42" s="1631"/>
      <c r="N42" s="1631"/>
      <c r="O42" s="1631"/>
      <c r="P42" s="1631"/>
      <c r="Q42" s="1631"/>
      <c r="R42" s="1631"/>
      <c r="T42" s="1745" t="s">
        <v>758</v>
      </c>
      <c r="U42" s="1745"/>
      <c r="V42" s="1745"/>
      <c r="W42" s="1745"/>
      <c r="X42" s="1745"/>
      <c r="Y42" s="1745"/>
      <c r="Z42" s="1745"/>
      <c r="AA42" s="1745"/>
      <c r="AB42" s="1745"/>
      <c r="AF42" s="1631" t="s">
        <v>705</v>
      </c>
      <c r="AG42" s="1631"/>
      <c r="AH42" s="1631"/>
      <c r="AI42" s="1631"/>
      <c r="AJ42" s="1631"/>
      <c r="AK42" s="1631"/>
      <c r="AL42" s="1631"/>
      <c r="AM42" s="1631"/>
      <c r="AN42" s="1631"/>
      <c r="AO42" s="1631"/>
      <c r="AP42" s="1631"/>
      <c r="AQ42" s="1631"/>
      <c r="AR42" s="1631"/>
      <c r="AS42" s="1631"/>
      <c r="AU42" s="1715" t="s">
        <v>651</v>
      </c>
      <c r="AV42" s="1715"/>
      <c r="AW42" s="1715"/>
      <c r="BC42" s="1732"/>
      <c r="BD42" s="1732"/>
      <c r="BE42" s="1732"/>
      <c r="BF42" s="138"/>
    </row>
    <row r="43" spans="2:92" x14ac:dyDescent="0.25">
      <c r="B43" s="137"/>
      <c r="BF43" s="138"/>
      <c r="BP43" s="266"/>
      <c r="CN43" s="268"/>
    </row>
    <row r="44" spans="2:92" x14ac:dyDescent="0.25">
      <c r="B44" s="1741" t="s">
        <v>700</v>
      </c>
      <c r="C44" s="1742"/>
      <c r="D44" s="1742"/>
      <c r="E44" s="1742"/>
      <c r="F44" s="1742"/>
      <c r="G44" s="1742"/>
      <c r="H44" s="1742"/>
      <c r="I44" s="1742"/>
      <c r="J44" s="1742"/>
      <c r="K44" s="1742"/>
      <c r="L44" s="1742"/>
      <c r="M44" s="1742"/>
      <c r="N44" s="1742"/>
      <c r="O44" s="1742"/>
      <c r="P44" s="1742"/>
      <c r="Q44" s="1742"/>
      <c r="R44" s="1742"/>
      <c r="T44" s="1746">
        <f>'Tracking &amp; Profitability'!$E$7</f>
        <v>0</v>
      </c>
      <c r="U44" s="1746"/>
      <c r="V44" s="1746"/>
      <c r="W44" s="1746"/>
      <c r="X44" s="1746"/>
      <c r="Y44" s="1746"/>
      <c r="Z44" s="1746"/>
      <c r="AA44" s="1746"/>
      <c r="AB44" s="1746"/>
      <c r="AF44" s="1631" t="s">
        <v>703</v>
      </c>
      <c r="AG44" s="1631"/>
      <c r="AH44" s="1631"/>
      <c r="AI44" s="1631"/>
      <c r="AJ44" s="1631"/>
      <c r="AK44" s="1631"/>
      <c r="AL44" s="1631"/>
      <c r="AM44" s="1631"/>
      <c r="AN44" s="1631"/>
      <c r="AO44" s="1631"/>
      <c r="AP44" s="1631"/>
      <c r="AQ44" s="1631"/>
      <c r="AR44" s="1631"/>
      <c r="AS44" s="1631"/>
      <c r="AU44" s="1715" t="s">
        <v>651</v>
      </c>
      <c r="AV44" s="1715"/>
      <c r="AW44" s="1715"/>
      <c r="BC44" s="1732"/>
      <c r="BD44" s="1732"/>
      <c r="BE44" s="1732"/>
      <c r="BF44" s="138"/>
    </row>
    <row r="45" spans="2:92" x14ac:dyDescent="0.25">
      <c r="B45" s="137"/>
      <c r="BF45" s="138"/>
      <c r="CN45" s="268"/>
    </row>
    <row r="46" spans="2:92" x14ac:dyDescent="0.25">
      <c r="B46" s="1738" t="s">
        <v>660</v>
      </c>
      <c r="C46" s="1739"/>
      <c r="D46" s="1739"/>
      <c r="E46" s="1739"/>
      <c r="F46" s="1739"/>
      <c r="G46" s="1739"/>
      <c r="H46" s="1739"/>
      <c r="I46" s="1739"/>
      <c r="J46" s="1739"/>
      <c r="K46" s="1739"/>
      <c r="L46" s="1739"/>
      <c r="M46" s="1739"/>
      <c r="N46" s="1739"/>
      <c r="O46" s="1739"/>
      <c r="P46" s="1739"/>
      <c r="Q46" s="1739"/>
      <c r="R46" s="1739"/>
      <c r="T46" s="1740">
        <v>150</v>
      </c>
      <c r="U46" s="1740"/>
      <c r="V46" s="1740"/>
      <c r="W46" s="1740"/>
      <c r="X46" s="1740"/>
      <c r="Y46" s="1740"/>
      <c r="Z46" s="1740"/>
      <c r="AA46" s="1740"/>
      <c r="AB46" s="1740"/>
      <c r="AF46" s="1721" t="s">
        <v>701</v>
      </c>
      <c r="AG46" s="1721"/>
      <c r="AH46" s="1721"/>
      <c r="AI46" s="1721"/>
      <c r="AJ46" s="1721"/>
      <c r="AK46" s="1721"/>
      <c r="AL46" s="1721"/>
      <c r="AM46" s="1721"/>
      <c r="AN46" s="1721"/>
      <c r="AO46" s="1721"/>
      <c r="AP46" s="1721"/>
      <c r="AQ46" s="1721"/>
      <c r="AR46" s="1721"/>
      <c r="AS46" s="1721"/>
      <c r="AU46" s="1728">
        <v>0.3</v>
      </c>
      <c r="AV46" s="1728"/>
      <c r="AW46" s="1728"/>
      <c r="AX46" s="1728"/>
      <c r="AY46" s="1728"/>
      <c r="AZ46" s="1728"/>
      <c r="BF46" s="138"/>
    </row>
    <row r="47" spans="2:92" x14ac:dyDescent="0.25">
      <c r="B47" s="137"/>
      <c r="BF47" s="138"/>
      <c r="CN47" s="268"/>
    </row>
    <row r="48" spans="2:92" x14ac:dyDescent="0.25">
      <c r="B48" s="1741" t="s">
        <v>481</v>
      </c>
      <c r="C48" s="1742"/>
      <c r="D48" s="1742"/>
      <c r="E48" s="1742"/>
      <c r="F48" s="1742"/>
      <c r="G48" s="1742"/>
      <c r="H48" s="1742"/>
      <c r="I48" s="1742"/>
      <c r="J48" s="1742"/>
      <c r="K48" s="1742"/>
      <c r="L48" s="1742"/>
      <c r="M48" s="1742"/>
      <c r="N48" s="1742"/>
      <c r="O48" s="1742"/>
      <c r="P48" s="1742"/>
      <c r="Q48" s="1742"/>
      <c r="R48" s="1742"/>
      <c r="T48" s="1740">
        <f>$K$10</f>
        <v>0</v>
      </c>
      <c r="U48" s="1740"/>
      <c r="V48" s="1740"/>
      <c r="W48" s="1740"/>
      <c r="X48" s="1740"/>
      <c r="Y48" s="1740"/>
      <c r="Z48" s="1740"/>
      <c r="AA48" s="1740"/>
      <c r="AB48" s="1740"/>
      <c r="AF48" s="1721" t="s">
        <v>699</v>
      </c>
      <c r="AG48" s="1721"/>
      <c r="AH48" s="1721"/>
      <c r="AI48" s="1721"/>
      <c r="AJ48" s="1721"/>
      <c r="AK48" s="1721"/>
      <c r="AL48" s="1721"/>
      <c r="AM48" s="1721"/>
      <c r="AN48" s="1721"/>
      <c r="AO48" s="1721"/>
      <c r="AP48" s="1721"/>
      <c r="AQ48" s="1721"/>
      <c r="AR48" s="1721"/>
      <c r="AS48" s="1721"/>
      <c r="AU48" s="1713">
        <v>2.25</v>
      </c>
      <c r="AV48" s="1714"/>
      <c r="AW48" s="1714"/>
      <c r="AX48" s="1714"/>
      <c r="AY48" s="1714"/>
      <c r="AZ48" s="1714"/>
      <c r="BF48" s="138"/>
    </row>
    <row r="49" spans="2:92" x14ac:dyDescent="0.25">
      <c r="B49" s="137"/>
      <c r="BF49" s="138"/>
      <c r="CN49" s="268"/>
    </row>
    <row r="50" spans="2:92" x14ac:dyDescent="0.25">
      <c r="B50" s="1720" t="s">
        <v>698</v>
      </c>
      <c r="C50" s="1721"/>
      <c r="D50" s="1721"/>
      <c r="E50" s="1721"/>
      <c r="F50" s="1721"/>
      <c r="G50" s="1721"/>
      <c r="H50" s="1721"/>
      <c r="I50" s="1721"/>
      <c r="J50" s="1721"/>
      <c r="K50" s="1721"/>
      <c r="L50" s="1721"/>
      <c r="M50" s="1721"/>
      <c r="N50" s="1721"/>
      <c r="O50" s="1721"/>
      <c r="P50" s="1721"/>
      <c r="Q50" s="1721"/>
      <c r="R50" s="1721"/>
      <c r="T50" s="1722">
        <v>500</v>
      </c>
      <c r="U50" s="1722"/>
      <c r="V50" s="1722"/>
      <c r="W50" s="1722"/>
      <c r="X50" s="1722"/>
      <c r="Y50" s="1722"/>
      <c r="Z50" s="1631" t="s">
        <v>697</v>
      </c>
      <c r="AA50" s="1631"/>
      <c r="AB50" s="1631"/>
      <c r="AC50" s="1722">
        <v>35</v>
      </c>
      <c r="AD50" s="1722"/>
      <c r="AE50" s="1722"/>
      <c r="AF50" s="1722"/>
      <c r="AG50" s="1722"/>
      <c r="BF50" s="138"/>
    </row>
    <row r="51" spans="2:92" x14ac:dyDescent="0.25">
      <c r="B51" s="137"/>
      <c r="BF51" s="138"/>
      <c r="BP51" s="266"/>
      <c r="CN51" s="268"/>
    </row>
    <row r="52" spans="2:92" ht="15.75" thickBot="1" x14ac:dyDescent="0.3">
      <c r="B52" s="256"/>
      <c r="C52" s="257"/>
      <c r="D52" s="257"/>
      <c r="E52" s="257"/>
      <c r="F52" s="257"/>
      <c r="G52" s="257"/>
      <c r="H52" s="257"/>
      <c r="I52" s="257"/>
      <c r="J52" s="257"/>
      <c r="K52" s="257"/>
      <c r="L52" s="257"/>
      <c r="M52" s="257"/>
      <c r="N52" s="257"/>
      <c r="O52" s="257"/>
      <c r="P52" s="257"/>
      <c r="Q52" s="257"/>
      <c r="R52" s="257"/>
      <c r="S52" s="257"/>
      <c r="T52" s="257"/>
      <c r="U52" s="257"/>
      <c r="V52" s="257"/>
      <c r="W52" s="257"/>
      <c r="X52" s="257"/>
      <c r="Y52" s="257"/>
      <c r="Z52" s="257"/>
      <c r="AA52" s="257"/>
      <c r="AB52" s="257"/>
      <c r="AC52" s="257"/>
      <c r="AD52" s="257"/>
      <c r="AE52" s="257"/>
      <c r="AF52" s="257"/>
      <c r="AG52" s="257"/>
      <c r="AH52" s="257"/>
      <c r="AI52" s="257"/>
      <c r="AJ52" s="257"/>
      <c r="AK52" s="257"/>
      <c r="AL52" s="257"/>
      <c r="AM52" s="257"/>
      <c r="AN52" s="257"/>
      <c r="AO52" s="257"/>
      <c r="AP52" s="257"/>
      <c r="AQ52" s="257"/>
      <c r="AR52" s="257"/>
      <c r="AS52" s="257"/>
      <c r="AT52" s="257"/>
      <c r="AU52" s="257"/>
      <c r="AV52" s="257"/>
      <c r="AW52" s="257"/>
      <c r="AX52" s="257"/>
      <c r="AY52" s="257"/>
      <c r="AZ52" s="257"/>
      <c r="BA52" s="257"/>
      <c r="BB52" s="257"/>
      <c r="BC52" s="257"/>
      <c r="BD52" s="257"/>
      <c r="BE52" s="257"/>
      <c r="BF52" s="258"/>
    </row>
    <row r="53" spans="2:92" ht="18.75" x14ac:dyDescent="0.3">
      <c r="B53" s="1725" t="s">
        <v>681</v>
      </c>
      <c r="C53" s="1726"/>
      <c r="D53" s="1726"/>
      <c r="E53" s="1726"/>
      <c r="F53" s="1726"/>
      <c r="G53" s="1726"/>
      <c r="H53" s="1726"/>
      <c r="I53" s="1726"/>
      <c r="J53" s="1726"/>
      <c r="K53" s="1726"/>
      <c r="L53" s="1726"/>
      <c r="M53" s="1726"/>
      <c r="N53" s="1726"/>
      <c r="O53" s="1726"/>
      <c r="P53" s="1726"/>
      <c r="Q53" s="1726"/>
      <c r="R53" s="1726"/>
      <c r="S53" s="1726"/>
      <c r="T53" s="1726"/>
      <c r="U53" s="1726"/>
      <c r="V53" s="1726"/>
      <c r="W53" s="1726"/>
      <c r="X53" s="1726"/>
      <c r="Y53" s="1726"/>
      <c r="Z53" s="1726"/>
      <c r="AA53" s="1726"/>
      <c r="AB53" s="1726"/>
      <c r="AC53" s="1726"/>
      <c r="AD53" s="1726"/>
      <c r="AE53" s="1726"/>
      <c r="AF53" s="1726"/>
      <c r="AG53" s="1726"/>
      <c r="AH53" s="1726"/>
      <c r="AI53" s="1726"/>
      <c r="AJ53" s="1726"/>
      <c r="AK53" s="1726"/>
      <c r="AL53" s="1726"/>
      <c r="AM53" s="1726"/>
      <c r="AN53" s="1726"/>
      <c r="AO53" s="1726"/>
      <c r="AP53" s="1726"/>
      <c r="AQ53" s="1726"/>
      <c r="AR53" s="1726"/>
      <c r="AS53" s="1726"/>
      <c r="AT53" s="1726"/>
      <c r="AU53" s="1726"/>
      <c r="AV53" s="1726"/>
      <c r="AW53" s="1726"/>
      <c r="AX53" s="1726"/>
      <c r="AY53" s="1726"/>
      <c r="AZ53" s="1726"/>
      <c r="BA53" s="1726"/>
      <c r="BB53" s="1726"/>
      <c r="BC53" s="1726"/>
      <c r="BD53" s="1726"/>
      <c r="BE53" s="1726"/>
      <c r="BF53" s="1727"/>
    </row>
    <row r="54" spans="2:92" x14ac:dyDescent="0.25">
      <c r="B54" s="1729" t="s">
        <v>696</v>
      </c>
      <c r="C54" s="1730"/>
      <c r="D54" s="1730"/>
      <c r="E54" s="1730"/>
      <c r="F54" s="1730"/>
      <c r="G54" s="1730"/>
      <c r="H54" s="1730"/>
      <c r="I54" s="1730"/>
      <c r="J54" s="1730"/>
      <c r="K54" s="1730"/>
      <c r="L54" s="1730"/>
      <c r="M54" s="1730"/>
      <c r="N54" s="1730"/>
      <c r="O54" s="1730"/>
      <c r="P54" s="1730"/>
      <c r="Q54" s="1730"/>
      <c r="R54" s="1730"/>
      <c r="S54" s="1730"/>
      <c r="T54" s="1730"/>
      <c r="U54" s="1730"/>
      <c r="V54" s="1730"/>
      <c r="W54" s="1730"/>
      <c r="X54" s="1730"/>
      <c r="Y54" s="1730"/>
      <c r="Z54" s="1730"/>
      <c r="AA54" s="1730"/>
      <c r="AB54" s="1730"/>
      <c r="AC54" s="1730"/>
      <c r="AD54" s="1730"/>
      <c r="AE54" s="1730"/>
      <c r="AF54" s="1730"/>
      <c r="AG54" s="1730"/>
      <c r="AH54" s="1730"/>
      <c r="AI54" s="1730"/>
      <c r="AJ54" s="1730"/>
      <c r="AK54" s="1730"/>
      <c r="AL54" s="1730"/>
      <c r="AM54" s="1730"/>
      <c r="AN54" s="1730"/>
      <c r="AO54" s="1730"/>
      <c r="AP54" s="1730"/>
      <c r="AQ54" s="1730"/>
      <c r="AR54" s="1730"/>
      <c r="AS54" s="1730"/>
      <c r="AT54" s="1730"/>
      <c r="AU54" s="1730"/>
      <c r="AV54" s="1730"/>
      <c r="AW54" s="1730"/>
      <c r="AX54" s="1730"/>
      <c r="AY54" s="1730"/>
      <c r="AZ54" s="1730"/>
      <c r="BA54" s="1730"/>
      <c r="BB54" s="1730"/>
      <c r="BC54" s="1730"/>
      <c r="BD54" s="1730"/>
      <c r="BE54" s="1730"/>
      <c r="BF54" s="1731"/>
      <c r="BP54" s="266"/>
    </row>
    <row r="55" spans="2:92" x14ac:dyDescent="0.25">
      <c r="B55" s="137"/>
      <c r="AC55" s="271"/>
      <c r="AD55" s="271"/>
      <c r="AE55" s="271"/>
      <c r="AF55" s="271"/>
      <c r="AG55" s="271"/>
      <c r="AH55" s="271"/>
      <c r="AK55" s="1736"/>
      <c r="AL55" s="1736"/>
      <c r="AM55" s="1736"/>
      <c r="AN55" s="1736"/>
      <c r="AO55" s="1581"/>
      <c r="AP55" s="1581"/>
      <c r="AQ55" s="1581"/>
      <c r="AR55" s="134"/>
      <c r="AS55" s="134"/>
      <c r="AT55" s="1581"/>
      <c r="AU55" s="1581"/>
      <c r="AV55" s="1581"/>
      <c r="AW55" s="134"/>
      <c r="AX55" s="134"/>
      <c r="AY55" s="1581"/>
      <c r="AZ55" s="1581"/>
      <c r="BA55" s="1581"/>
      <c r="BB55" s="134"/>
      <c r="BC55" s="134"/>
      <c r="BD55" s="1581"/>
      <c r="BE55" s="1581"/>
      <c r="BF55" s="1712"/>
      <c r="BP55" s="272"/>
    </row>
    <row r="56" spans="2:92" x14ac:dyDescent="0.25">
      <c r="B56" s="137"/>
      <c r="C56" s="1666" t="s">
        <v>103</v>
      </c>
      <c r="D56" s="1666"/>
      <c r="E56" s="1666"/>
      <c r="F56" s="1666"/>
      <c r="G56" s="1666"/>
      <c r="H56" s="1666"/>
      <c r="I56" s="1666"/>
      <c r="J56" s="1666"/>
      <c r="K56" s="1666"/>
      <c r="L56" s="1666"/>
      <c r="M56" s="1666"/>
      <c r="N56" s="1666"/>
      <c r="O56" s="1666"/>
      <c r="P56" s="1666"/>
      <c r="Q56" s="1666"/>
      <c r="R56" s="1666"/>
      <c r="S56" s="1666"/>
      <c r="T56" s="1666"/>
      <c r="U56" s="1666"/>
      <c r="V56" s="1666"/>
      <c r="W56" s="1666"/>
      <c r="X56" s="1666"/>
      <c r="Y56" s="1666"/>
      <c r="Z56" s="1666"/>
      <c r="AC56" s="1715" t="str">
        <f>'PIM Model'!$AD$11</f>
        <v/>
      </c>
      <c r="AD56" s="1715"/>
      <c r="AE56" s="1715" t="str">
        <f>'PIM Model'!$D$11</f>
        <v>%</v>
      </c>
      <c r="AF56" s="1715"/>
      <c r="AG56" s="1715" t="str">
        <f>'PIM Model'!$D$11</f>
        <v>%</v>
      </c>
      <c r="AH56" s="1715"/>
      <c r="AI56" s="1732" t="str">
        <f>'PIM Model'!$D$11</f>
        <v>%</v>
      </c>
      <c r="AJ56" s="1732"/>
      <c r="AK56" s="134"/>
      <c r="AL56" s="134"/>
      <c r="AM56" s="134"/>
      <c r="AN56" s="134"/>
      <c r="AO56" s="1581"/>
      <c r="AP56" s="1581"/>
      <c r="AQ56" s="1581"/>
      <c r="AR56" s="134"/>
      <c r="AS56" s="134"/>
      <c r="AT56" s="1581"/>
      <c r="AU56" s="1581"/>
      <c r="AV56" s="1581"/>
      <c r="AW56" s="134"/>
      <c r="AX56" s="134"/>
      <c r="AY56" s="1581"/>
      <c r="AZ56" s="1581"/>
      <c r="BA56" s="1581"/>
      <c r="BB56" s="134"/>
      <c r="BC56" s="134"/>
      <c r="BD56" s="1581"/>
      <c r="BE56" s="1581"/>
      <c r="BF56" s="1712"/>
      <c r="BP56" s="266"/>
    </row>
    <row r="57" spans="2:92" x14ac:dyDescent="0.25">
      <c r="B57" s="137"/>
      <c r="C57" s="1666" t="s">
        <v>102</v>
      </c>
      <c r="D57" s="1666"/>
      <c r="E57" s="1666"/>
      <c r="F57" s="1666"/>
      <c r="G57" s="1666"/>
      <c r="H57" s="1666"/>
      <c r="I57" s="1666"/>
      <c r="J57" s="1666"/>
      <c r="K57" s="1666"/>
      <c r="L57" s="1666"/>
      <c r="M57" s="1666"/>
      <c r="N57" s="1666"/>
      <c r="O57" s="1666"/>
      <c r="P57" s="1666"/>
      <c r="Q57" s="1666"/>
      <c r="R57" s="1666"/>
      <c r="S57" s="1666"/>
      <c r="T57" s="1666"/>
      <c r="U57" s="1666"/>
      <c r="V57" s="1666"/>
      <c r="W57" s="1666"/>
      <c r="X57" s="1666"/>
      <c r="Y57" s="1666"/>
      <c r="Z57" s="1666"/>
      <c r="AC57" s="1735" t="str">
        <f>'PIM Model'!$AD$13</f>
        <v/>
      </c>
      <c r="AD57" s="1735"/>
      <c r="AE57" s="1735" t="str">
        <f>'PIM Model'!$D$13</f>
        <v>%</v>
      </c>
      <c r="AF57" s="1735"/>
      <c r="AG57" s="1735" t="str">
        <f>'PIM Model'!$D$13</f>
        <v>%</v>
      </c>
      <c r="AH57" s="1735"/>
      <c r="AI57" s="1732" t="str">
        <f>'PIM Model'!$D$13</f>
        <v>%</v>
      </c>
      <c r="AJ57" s="1732"/>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615"/>
    </row>
    <row r="58" spans="2:92" x14ac:dyDescent="0.25">
      <c r="B58" s="137"/>
      <c r="C58" s="1666" t="s">
        <v>101</v>
      </c>
      <c r="D58" s="1666"/>
      <c r="E58" s="1666"/>
      <c r="F58" s="1666"/>
      <c r="G58" s="1666"/>
      <c r="H58" s="1666"/>
      <c r="I58" s="1666"/>
      <c r="J58" s="1666"/>
      <c r="K58" s="1666"/>
      <c r="L58" s="1666"/>
      <c r="M58" s="1666"/>
      <c r="N58" s="1666"/>
      <c r="O58" s="1666"/>
      <c r="P58" s="1666"/>
      <c r="Q58" s="1666"/>
      <c r="R58" s="1666"/>
      <c r="S58" s="1666"/>
      <c r="T58" s="1666"/>
      <c r="U58" s="1666"/>
      <c r="V58" s="1666"/>
      <c r="W58" s="1666"/>
      <c r="X58" s="1666"/>
      <c r="Y58" s="1666"/>
      <c r="Z58" s="1666"/>
      <c r="AC58" s="1735" t="str">
        <f>'PIM Model'!$AD$19</f>
        <v/>
      </c>
      <c r="AD58" s="1735"/>
      <c r="AE58" s="1735" t="str">
        <f>'PIM Model'!$D$19</f>
        <v>%</v>
      </c>
      <c r="AF58" s="1735"/>
      <c r="AG58" s="1735" t="str">
        <f>'PIM Model'!$D$19</f>
        <v>%</v>
      </c>
      <c r="AH58" s="1735"/>
      <c r="AI58" s="1732" t="str">
        <f>'PIM Model'!$D$19</f>
        <v>%</v>
      </c>
      <c r="AJ58" s="1732"/>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615"/>
      <c r="BP58" s="266"/>
    </row>
    <row r="59" spans="2:92" x14ac:dyDescent="0.25">
      <c r="B59" s="137"/>
      <c r="C59" s="1666" t="s">
        <v>100</v>
      </c>
      <c r="D59" s="1666"/>
      <c r="E59" s="1666"/>
      <c r="F59" s="1666"/>
      <c r="G59" s="1666"/>
      <c r="H59" s="1666"/>
      <c r="I59" s="1666"/>
      <c r="J59" s="1666"/>
      <c r="K59" s="1666"/>
      <c r="L59" s="1666"/>
      <c r="M59" s="1666"/>
      <c r="N59" s="1666"/>
      <c r="O59" s="1666"/>
      <c r="P59" s="1666"/>
      <c r="Q59" s="1666"/>
      <c r="R59" s="1666"/>
      <c r="S59" s="1666"/>
      <c r="T59" s="1666"/>
      <c r="U59" s="1666"/>
      <c r="V59" s="1666"/>
      <c r="W59" s="1666"/>
      <c r="X59" s="1666"/>
      <c r="Y59" s="1666"/>
      <c r="Z59" s="1666"/>
      <c r="AC59" s="1735" t="str">
        <f>'PIM Model'!$AD$14</f>
        <v/>
      </c>
      <c r="AD59" s="1735"/>
      <c r="AE59" s="1735" t="str">
        <f>'PIM Model'!$D$14</f>
        <v>%</v>
      </c>
      <c r="AF59" s="1735"/>
      <c r="AG59" s="1735" t="str">
        <f>'PIM Model'!$D$14</f>
        <v>%</v>
      </c>
      <c r="AH59" s="1735"/>
      <c r="AI59" s="1732" t="str">
        <f>'PIM Model'!$D$14</f>
        <v>%</v>
      </c>
      <c r="AJ59" s="1732"/>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615"/>
    </row>
    <row r="60" spans="2:92" x14ac:dyDescent="0.25">
      <c r="B60" s="137"/>
      <c r="C60" s="1666" t="s">
        <v>104</v>
      </c>
      <c r="D60" s="1666"/>
      <c r="E60" s="1666"/>
      <c r="F60" s="1666"/>
      <c r="G60" s="1666"/>
      <c r="H60" s="1666"/>
      <c r="I60" s="1666"/>
      <c r="J60" s="1666"/>
      <c r="K60" s="1666"/>
      <c r="L60" s="1666"/>
      <c r="M60" s="1666"/>
      <c r="N60" s="1666"/>
      <c r="O60" s="1666"/>
      <c r="P60" s="1666"/>
      <c r="Q60" s="1666"/>
      <c r="R60" s="1666"/>
      <c r="S60" s="1666"/>
      <c r="T60" s="1666"/>
      <c r="U60" s="1666"/>
      <c r="V60" s="1666"/>
      <c r="W60" s="1666"/>
      <c r="X60" s="1666"/>
      <c r="Y60" s="1666"/>
      <c r="Z60" s="1666"/>
      <c r="AC60" s="1735" t="str">
        <f>'PIM Model'!$AD$15</f>
        <v/>
      </c>
      <c r="AD60" s="1735"/>
      <c r="AE60" s="1735" t="str">
        <f>'PIM Model'!$D$15</f>
        <v>%</v>
      </c>
      <c r="AF60" s="1735"/>
      <c r="AG60" s="1735" t="str">
        <f>'PIM Model'!$D$15</f>
        <v>%</v>
      </c>
      <c r="AH60" s="1735"/>
      <c r="AI60" s="1732" t="str">
        <f>'PIM Model'!$D$15</f>
        <v>%</v>
      </c>
      <c r="AJ60" s="1732"/>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615"/>
    </row>
    <row r="61" spans="2:92" x14ac:dyDescent="0.25">
      <c r="B61" s="137"/>
      <c r="C61" s="1666" t="s">
        <v>99</v>
      </c>
      <c r="D61" s="1666"/>
      <c r="E61" s="1666"/>
      <c r="F61" s="1666"/>
      <c r="G61" s="1666"/>
      <c r="H61" s="1666"/>
      <c r="I61" s="1666"/>
      <c r="J61" s="1666"/>
      <c r="K61" s="1666"/>
      <c r="L61" s="1666"/>
      <c r="M61" s="1666"/>
      <c r="N61" s="1666"/>
      <c r="O61" s="1666"/>
      <c r="P61" s="1666"/>
      <c r="Q61" s="1666"/>
      <c r="R61" s="1666"/>
      <c r="S61" s="1666"/>
      <c r="T61" s="1666"/>
      <c r="U61" s="1666"/>
      <c r="V61" s="1666"/>
      <c r="W61" s="1666"/>
      <c r="X61" s="1666"/>
      <c r="Y61" s="1666"/>
      <c r="Z61" s="1666"/>
      <c r="AC61" s="1735" t="str">
        <f>'PIM Model'!$AD$10</f>
        <v/>
      </c>
      <c r="AD61" s="1735"/>
      <c r="AE61" s="1735" t="str">
        <f>'PIM Model'!$D$10</f>
        <v>%</v>
      </c>
      <c r="AF61" s="1735"/>
      <c r="AG61" s="1735" t="str">
        <f>'PIM Model'!$D$10</f>
        <v>%</v>
      </c>
      <c r="AH61" s="1735"/>
      <c r="AI61" s="1732" t="str">
        <f>'PIM Model'!$D$10</f>
        <v>%</v>
      </c>
      <c r="AJ61" s="1732"/>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615"/>
    </row>
    <row r="62" spans="2:92" x14ac:dyDescent="0.25">
      <c r="B62" s="137"/>
      <c r="C62" s="1506" t="s">
        <v>98</v>
      </c>
      <c r="D62" s="1506"/>
      <c r="E62" s="1506"/>
      <c r="F62" s="1506"/>
      <c r="G62" s="1506"/>
      <c r="H62" s="1506"/>
      <c r="I62" s="1506"/>
      <c r="J62" s="1506"/>
      <c r="K62" s="1506"/>
      <c r="L62" s="1506"/>
      <c r="M62" s="1506"/>
      <c r="N62" s="1506"/>
      <c r="O62" s="1506"/>
      <c r="P62" s="1506"/>
      <c r="Q62" s="1506"/>
      <c r="R62" s="1506"/>
      <c r="S62" s="1506"/>
      <c r="T62" s="1506"/>
      <c r="U62" s="1506"/>
      <c r="V62" s="1506"/>
      <c r="W62" s="1506"/>
      <c r="X62" s="1506"/>
      <c r="Y62" s="1506"/>
      <c r="Z62" s="1506"/>
      <c r="AC62" s="1735" t="str">
        <f>'PIM Model'!$AD$16</f>
        <v/>
      </c>
      <c r="AD62" s="1735"/>
      <c r="AE62" s="1735" t="str">
        <f>'PIM Model'!$D$16</f>
        <v>%</v>
      </c>
      <c r="AF62" s="1735"/>
      <c r="AG62" s="1735" t="str">
        <f>'PIM Model'!$D$16</f>
        <v>%</v>
      </c>
      <c r="AH62" s="1735"/>
      <c r="AI62" s="1732" t="str">
        <f>'PIM Model'!$D$16</f>
        <v>%</v>
      </c>
      <c r="AJ62" s="1732"/>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615"/>
    </row>
    <row r="63" spans="2:92" x14ac:dyDescent="0.25">
      <c r="B63" s="137"/>
      <c r="C63" s="1506" t="s">
        <v>97</v>
      </c>
      <c r="D63" s="1506"/>
      <c r="E63" s="1506"/>
      <c r="F63" s="1506"/>
      <c r="G63" s="1506"/>
      <c r="H63" s="1506"/>
      <c r="I63" s="1506"/>
      <c r="J63" s="1506"/>
      <c r="K63" s="1506"/>
      <c r="L63" s="1506"/>
      <c r="M63" s="1506"/>
      <c r="N63" s="1506"/>
      <c r="O63" s="1506"/>
      <c r="P63" s="1506"/>
      <c r="Q63" s="1506"/>
      <c r="R63" s="1506"/>
      <c r="S63" s="1506"/>
      <c r="T63" s="1506"/>
      <c r="U63" s="1506"/>
      <c r="V63" s="1506"/>
      <c r="W63" s="1506"/>
      <c r="X63" s="1506"/>
      <c r="Y63" s="1506"/>
      <c r="Z63" s="1506"/>
      <c r="AC63" s="1735" t="str">
        <f>'PIM Model'!$AD$20</f>
        <v/>
      </c>
      <c r="AD63" s="1735"/>
      <c r="AE63" s="1735" t="str">
        <f>'PIM Model'!$D$20</f>
        <v>%</v>
      </c>
      <c r="AF63" s="1735"/>
      <c r="AG63" s="1735" t="str">
        <f>'PIM Model'!$D$20</f>
        <v>%</v>
      </c>
      <c r="AH63" s="1735"/>
      <c r="AI63" s="1732" t="str">
        <f>'PIM Model'!$D$20</f>
        <v>%</v>
      </c>
      <c r="AJ63" s="1732"/>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615"/>
    </row>
    <row r="64" spans="2:92" x14ac:dyDescent="0.25">
      <c r="B64" s="137"/>
      <c r="C64" s="1506" t="s">
        <v>96</v>
      </c>
      <c r="D64" s="1506"/>
      <c r="E64" s="1506"/>
      <c r="F64" s="1506"/>
      <c r="G64" s="1506"/>
      <c r="H64" s="1506"/>
      <c r="I64" s="1506"/>
      <c r="J64" s="1506"/>
      <c r="K64" s="1506"/>
      <c r="L64" s="1506"/>
      <c r="M64" s="1506"/>
      <c r="N64" s="1506"/>
      <c r="O64" s="1506"/>
      <c r="P64" s="1506"/>
      <c r="Q64" s="1506"/>
      <c r="R64" s="1506"/>
      <c r="S64" s="1506"/>
      <c r="T64" s="1506"/>
      <c r="U64" s="1506"/>
      <c r="V64" s="1506"/>
      <c r="W64" s="1506"/>
      <c r="X64" s="1506"/>
      <c r="Y64" s="1506"/>
      <c r="Z64" s="1506"/>
      <c r="AC64" s="1735" t="str">
        <f>'PIM Model'!$AD$18</f>
        <v/>
      </c>
      <c r="AD64" s="1735"/>
      <c r="AE64" s="1735" t="str">
        <f>'PIM Model'!$D$18</f>
        <v>%</v>
      </c>
      <c r="AF64" s="1735"/>
      <c r="AG64" s="1735" t="str">
        <f>'PIM Model'!$D$18</f>
        <v>%</v>
      </c>
      <c r="AH64" s="1735"/>
      <c r="AI64" s="1732" t="str">
        <f>'PIM Model'!$D$18</f>
        <v>%</v>
      </c>
      <c r="AJ64" s="1732"/>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615"/>
    </row>
    <row r="65" spans="2:70" x14ac:dyDescent="0.25">
      <c r="B65" s="137"/>
      <c r="C65" s="1506" t="s">
        <v>95</v>
      </c>
      <c r="D65" s="1506"/>
      <c r="E65" s="1506"/>
      <c r="F65" s="1506"/>
      <c r="G65" s="1506"/>
      <c r="H65" s="1506"/>
      <c r="I65" s="1506"/>
      <c r="J65" s="1506"/>
      <c r="K65" s="1506"/>
      <c r="L65" s="1506"/>
      <c r="M65" s="1506"/>
      <c r="N65" s="1506"/>
      <c r="O65" s="1506"/>
      <c r="P65" s="1506"/>
      <c r="Q65" s="1506"/>
      <c r="R65" s="1506"/>
      <c r="S65" s="1506"/>
      <c r="T65" s="1506"/>
      <c r="U65" s="1506"/>
      <c r="V65" s="1506"/>
      <c r="W65" s="1506"/>
      <c r="X65" s="1506"/>
      <c r="Y65" s="1506"/>
      <c r="Z65" s="1506"/>
      <c r="AC65" s="1735" t="str">
        <f>'PIM Model'!$AD$17</f>
        <v/>
      </c>
      <c r="AD65" s="1735"/>
      <c r="AE65" s="1735" t="str">
        <f>'PIM Model'!$D$17</f>
        <v>%</v>
      </c>
      <c r="AF65" s="1735"/>
      <c r="AG65" s="1735" t="str">
        <f>'PIM Model'!$D$17</f>
        <v>%</v>
      </c>
      <c r="AH65" s="1735"/>
      <c r="AI65" s="1732" t="str">
        <f>'PIM Model'!$D$17</f>
        <v>%</v>
      </c>
      <c r="AJ65" s="1732"/>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615"/>
    </row>
    <row r="66" spans="2:70" x14ac:dyDescent="0.25">
      <c r="B66" s="137"/>
      <c r="C66" s="1506" t="s">
        <v>94</v>
      </c>
      <c r="D66" s="1506"/>
      <c r="E66" s="1506"/>
      <c r="F66" s="1506"/>
      <c r="G66" s="1506"/>
      <c r="H66" s="1506"/>
      <c r="I66" s="1506"/>
      <c r="J66" s="1506"/>
      <c r="K66" s="1506"/>
      <c r="L66" s="1506"/>
      <c r="M66" s="1506"/>
      <c r="N66" s="1506"/>
      <c r="O66" s="1506"/>
      <c r="P66" s="1506"/>
      <c r="Q66" s="1506"/>
      <c r="R66" s="1506"/>
      <c r="S66" s="1506"/>
      <c r="T66" s="1506"/>
      <c r="U66" s="1506"/>
      <c r="V66" s="1506"/>
      <c r="W66" s="1506"/>
      <c r="X66" s="1506"/>
      <c r="Y66" s="1506"/>
      <c r="Z66" s="1506"/>
      <c r="AC66" s="1735" t="str">
        <f>'PIM Model'!$AD$27</f>
        <v/>
      </c>
      <c r="AD66" s="1735"/>
      <c r="AE66" s="1735" t="str">
        <f>'PIM Model'!$D$27</f>
        <v>%</v>
      </c>
      <c r="AF66" s="1735"/>
      <c r="AG66" s="1735" t="str">
        <f>'PIM Model'!$D$27</f>
        <v>%</v>
      </c>
      <c r="AH66" s="1735"/>
      <c r="AI66" s="1732" t="str">
        <f>'PIM Model'!$D$27</f>
        <v>%</v>
      </c>
      <c r="AJ66" s="1732"/>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615"/>
    </row>
    <row r="67" spans="2:70" x14ac:dyDescent="0.25">
      <c r="B67" s="137"/>
      <c r="E67" s="1732" t="s">
        <v>695</v>
      </c>
      <c r="F67" s="1732"/>
      <c r="G67" s="1732"/>
      <c r="H67" s="1732"/>
      <c r="I67" s="1732"/>
      <c r="J67" s="1732"/>
      <c r="K67" s="1732"/>
      <c r="M67" s="1733" t="s">
        <v>241</v>
      </c>
      <c r="N67" s="1733"/>
      <c r="O67" s="1733"/>
      <c r="P67" t="s">
        <v>651</v>
      </c>
      <c r="S67" s="1734"/>
      <c r="T67" s="1734"/>
      <c r="U67" s="1734"/>
      <c r="V67" s="1732" t="s">
        <v>653</v>
      </c>
      <c r="W67" s="1732"/>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615"/>
    </row>
    <row r="68" spans="2:70" x14ac:dyDescent="0.25">
      <c r="B68" s="137"/>
      <c r="C68" s="1506" t="s">
        <v>93</v>
      </c>
      <c r="D68" s="1506"/>
      <c r="E68" s="1506"/>
      <c r="F68" s="1506"/>
      <c r="G68" s="1506"/>
      <c r="H68" s="1506"/>
      <c r="I68" s="1506"/>
      <c r="J68" s="1506"/>
      <c r="K68" s="1506"/>
      <c r="L68" s="1506"/>
      <c r="M68" s="1506"/>
      <c r="N68" s="1506"/>
      <c r="O68" s="1506"/>
      <c r="P68" s="1506"/>
      <c r="Q68" s="1506"/>
      <c r="R68" s="1506"/>
      <c r="S68" s="1506"/>
      <c r="T68" s="1506"/>
      <c r="U68" s="1506"/>
      <c r="V68" s="1506"/>
      <c r="W68" s="1506"/>
      <c r="X68" s="1506"/>
      <c r="Y68" s="1506"/>
      <c r="Z68" s="1506"/>
      <c r="AC68" s="1735" t="str">
        <f>'PIM Model'!$AD$21</f>
        <v/>
      </c>
      <c r="AD68" s="1735"/>
      <c r="AE68" s="1735" t="str">
        <f>'PIM Model'!$D$21</f>
        <v>%</v>
      </c>
      <c r="AF68" s="1735"/>
      <c r="AG68" s="1735" t="str">
        <f>'PIM Model'!$D$21</f>
        <v>%</v>
      </c>
      <c r="AH68" s="1735"/>
      <c r="AI68" s="1732" t="str">
        <f>'PIM Model'!$D$21</f>
        <v>%</v>
      </c>
      <c r="AJ68" s="1732"/>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615"/>
    </row>
    <row r="69" spans="2:70" x14ac:dyDescent="0.25">
      <c r="B69" s="137"/>
      <c r="C69" s="1506" t="s">
        <v>92</v>
      </c>
      <c r="D69" s="1506"/>
      <c r="E69" s="1506"/>
      <c r="F69" s="1506"/>
      <c r="G69" s="1506"/>
      <c r="H69" s="1506"/>
      <c r="I69" s="1506"/>
      <c r="J69" s="1506"/>
      <c r="K69" s="1506"/>
      <c r="L69" s="1506"/>
      <c r="M69" s="1506"/>
      <c r="N69" s="1506"/>
      <c r="O69" s="1506"/>
      <c r="P69" s="1506"/>
      <c r="Q69" s="1506"/>
      <c r="R69" s="1506"/>
      <c r="S69" s="1506"/>
      <c r="T69" s="1506"/>
      <c r="U69" s="1506"/>
      <c r="V69" s="1506"/>
      <c r="W69" s="1506"/>
      <c r="X69" s="1506"/>
      <c r="Y69" s="1506"/>
      <c r="Z69" s="1506"/>
      <c r="AC69" s="1735" t="str">
        <f>'PIM Model'!$AD$23</f>
        <v/>
      </c>
      <c r="AD69" s="1735"/>
      <c r="AE69" s="1735" t="str">
        <f>'PIM Model'!$D$23</f>
        <v>%</v>
      </c>
      <c r="AF69" s="1735"/>
      <c r="AG69" s="1735" t="str">
        <f>'PIM Model'!$D$23</f>
        <v>%</v>
      </c>
      <c r="AH69" s="1735"/>
      <c r="AI69" s="1732" t="str">
        <f>'PIM Model'!$D$23</f>
        <v>%</v>
      </c>
      <c r="AJ69" s="1732"/>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615"/>
    </row>
    <row r="70" spans="2:70" x14ac:dyDescent="0.25">
      <c r="B70" s="137"/>
      <c r="C70" s="1506" t="s">
        <v>91</v>
      </c>
      <c r="D70" s="1506"/>
      <c r="E70" s="1506"/>
      <c r="F70" s="1506"/>
      <c r="G70" s="1506"/>
      <c r="H70" s="1506"/>
      <c r="I70" s="1506"/>
      <c r="J70" s="1506"/>
      <c r="K70" s="1506"/>
      <c r="L70" s="1506"/>
      <c r="M70" s="1506"/>
      <c r="N70" s="1506"/>
      <c r="O70" s="1506"/>
      <c r="P70" s="1506"/>
      <c r="Q70" s="1506"/>
      <c r="R70" s="1506"/>
      <c r="S70" s="1506"/>
      <c r="T70" s="1506"/>
      <c r="U70" s="1506"/>
      <c r="V70" s="1506"/>
      <c r="W70" s="1506"/>
      <c r="X70" s="1506"/>
      <c r="Y70" s="1506"/>
      <c r="Z70" s="1506"/>
      <c r="AC70" s="1735" t="str">
        <f>'PIM Model'!$AD$24</f>
        <v/>
      </c>
      <c r="AD70" s="1735"/>
      <c r="AE70" s="1735" t="str">
        <f>'PIM Model'!$D$24</f>
        <v>%</v>
      </c>
      <c r="AF70" s="1735"/>
      <c r="AG70" s="1735" t="str">
        <f>'PIM Model'!$D$24</f>
        <v>%</v>
      </c>
      <c r="AH70" s="1735"/>
      <c r="AI70" s="1732" t="str">
        <f>'PIM Model'!$D$24</f>
        <v>%</v>
      </c>
      <c r="AJ70" s="1732"/>
      <c r="AK70" s="134"/>
      <c r="AL70" s="134"/>
      <c r="AM70" s="134"/>
      <c r="AN70" s="134"/>
      <c r="AO70" s="1581"/>
      <c r="AP70" s="1581"/>
      <c r="AQ70" s="1581"/>
      <c r="AR70" s="134"/>
      <c r="AS70" s="134"/>
      <c r="AT70" s="1581"/>
      <c r="AU70" s="1581"/>
      <c r="AV70" s="1581"/>
      <c r="AW70" s="134"/>
      <c r="AX70" s="134"/>
      <c r="AY70" s="1581"/>
      <c r="AZ70" s="1581"/>
      <c r="BA70" s="1581"/>
      <c r="BB70" s="134"/>
      <c r="BC70" s="134"/>
      <c r="BD70" s="1581"/>
      <c r="BE70" s="1581"/>
      <c r="BF70" s="1712"/>
    </row>
    <row r="71" spans="2:70" x14ac:dyDescent="0.25">
      <c r="B71" s="137"/>
      <c r="C71" s="1506" t="s">
        <v>90</v>
      </c>
      <c r="D71" s="1506"/>
      <c r="E71" s="1506"/>
      <c r="F71" s="1506"/>
      <c r="G71" s="1506"/>
      <c r="H71" s="1506"/>
      <c r="I71" s="1506"/>
      <c r="J71" s="1506"/>
      <c r="K71" s="1506"/>
      <c r="L71" s="1506"/>
      <c r="M71" s="1506"/>
      <c r="N71" s="1506"/>
      <c r="O71" s="1506"/>
      <c r="P71" s="1506"/>
      <c r="Q71" s="1506"/>
      <c r="R71" s="1506"/>
      <c r="S71" s="1506"/>
      <c r="T71" s="1506"/>
      <c r="U71" s="1506"/>
      <c r="V71" s="1506"/>
      <c r="W71" s="1506"/>
      <c r="X71" s="1506"/>
      <c r="Y71" s="1506"/>
      <c r="Z71" s="1506"/>
      <c r="AC71" s="1735" t="str">
        <f>'PIM Model'!$AD$25</f>
        <v/>
      </c>
      <c r="AD71" s="1735"/>
      <c r="AE71" s="1735" t="str">
        <f>'PIM Model'!$D$25</f>
        <v>%</v>
      </c>
      <c r="AF71" s="1735"/>
      <c r="AG71" s="1735" t="str">
        <f>'PIM Model'!$D$25</f>
        <v>%</v>
      </c>
      <c r="AH71" s="1735"/>
      <c r="AI71" s="1732" t="str">
        <f>'PIM Model'!$D$25</f>
        <v>%</v>
      </c>
      <c r="AJ71" s="1732"/>
      <c r="AK71" s="134"/>
      <c r="AL71" s="134"/>
      <c r="AM71" s="134"/>
      <c r="AN71" s="134"/>
      <c r="AO71" s="1581"/>
      <c r="AP71" s="1581"/>
      <c r="AQ71" s="1581"/>
      <c r="AR71" s="134"/>
      <c r="AS71" s="134"/>
      <c r="AT71" s="1581"/>
      <c r="AU71" s="1581"/>
      <c r="AV71" s="1581"/>
      <c r="AW71" s="134"/>
      <c r="AX71" s="134"/>
      <c r="AY71" s="1581"/>
      <c r="AZ71" s="1581"/>
      <c r="BA71" s="1581"/>
      <c r="BB71" s="134"/>
      <c r="BC71" s="134"/>
      <c r="BD71" s="1581"/>
      <c r="BE71" s="1581"/>
      <c r="BF71" s="1712"/>
    </row>
    <row r="72" spans="2:70" x14ac:dyDescent="0.25">
      <c r="B72" s="137"/>
      <c r="C72" s="1506" t="s">
        <v>89</v>
      </c>
      <c r="D72" s="1506"/>
      <c r="E72" s="1506"/>
      <c r="F72" s="1506"/>
      <c r="G72" s="1506"/>
      <c r="H72" s="1506"/>
      <c r="I72" s="1506"/>
      <c r="J72" s="1506"/>
      <c r="K72" s="1506"/>
      <c r="L72" s="1506"/>
      <c r="M72" s="1506"/>
      <c r="N72" s="1506"/>
      <c r="O72" s="1506"/>
      <c r="P72" s="1506"/>
      <c r="Q72" s="1506"/>
      <c r="R72" s="1506"/>
      <c r="S72" s="1506"/>
      <c r="T72" s="1506"/>
      <c r="U72" s="1506"/>
      <c r="V72" s="1506"/>
      <c r="W72" s="1506"/>
      <c r="X72" s="1506"/>
      <c r="Y72" s="1506"/>
      <c r="Z72" s="1506"/>
      <c r="AC72" s="1735" t="str">
        <f>'PIM Model'!$AD$26</f>
        <v/>
      </c>
      <c r="AD72" s="1735"/>
      <c r="AE72" s="1735" t="str">
        <f>'PIM Model'!$D$26</f>
        <v>%</v>
      </c>
      <c r="AF72" s="1735"/>
      <c r="AG72" s="1735" t="str">
        <f>'PIM Model'!$D$26</f>
        <v>%</v>
      </c>
      <c r="AH72" s="1735"/>
      <c r="AI72" s="1732" t="str">
        <f>'PIM Model'!$D$26</f>
        <v>%</v>
      </c>
      <c r="AJ72" s="1732"/>
      <c r="AK72" s="134"/>
      <c r="AL72" s="134"/>
      <c r="AM72" s="134"/>
      <c r="AN72" s="134"/>
      <c r="AO72" s="1581"/>
      <c r="AP72" s="1581"/>
      <c r="AQ72" s="1581"/>
      <c r="AR72" s="134"/>
      <c r="AS72" s="134"/>
      <c r="AT72" s="1581"/>
      <c r="AU72" s="1581"/>
      <c r="AV72" s="1581"/>
      <c r="AW72" s="134"/>
      <c r="AX72" s="134"/>
      <c r="AY72" s="1581"/>
      <c r="AZ72" s="1581"/>
      <c r="BA72" s="1581"/>
      <c r="BB72" s="134"/>
      <c r="BC72" s="134"/>
      <c r="BD72" s="1581"/>
      <c r="BE72" s="1581"/>
      <c r="BF72" s="1712"/>
    </row>
    <row r="73" spans="2:70" x14ac:dyDescent="0.25">
      <c r="B73" s="137"/>
      <c r="C73" s="1506" t="s">
        <v>88</v>
      </c>
      <c r="D73" s="1506"/>
      <c r="E73" s="1506"/>
      <c r="F73" s="1506"/>
      <c r="G73" s="1506"/>
      <c r="H73" s="1506"/>
      <c r="I73" s="1506"/>
      <c r="J73" s="1506"/>
      <c r="K73" s="1506"/>
      <c r="L73" s="1506"/>
      <c r="M73" s="1506"/>
      <c r="N73" s="1506"/>
      <c r="O73" s="1506"/>
      <c r="P73" s="1506"/>
      <c r="Q73" s="1506"/>
      <c r="R73" s="1506"/>
      <c r="S73" s="1506"/>
      <c r="T73" s="1506"/>
      <c r="U73" s="1506"/>
      <c r="V73" s="1506"/>
      <c r="W73" s="1506"/>
      <c r="X73" s="1506"/>
      <c r="Y73" s="1506"/>
      <c r="Z73" s="1506"/>
      <c r="AC73" s="1735" t="str">
        <f>'PIM Model'!$AD$29</f>
        <v/>
      </c>
      <c r="AD73" s="1735"/>
      <c r="AE73" s="1735" t="str">
        <f>'PIM Model'!$D$29</f>
        <v>%</v>
      </c>
      <c r="AF73" s="1735"/>
      <c r="AG73" s="1735" t="str">
        <f>'PIM Model'!$D$29</f>
        <v>%</v>
      </c>
      <c r="AH73" s="1735"/>
      <c r="AI73" s="1732" t="str">
        <f>'PIM Model'!$D$29</f>
        <v>%</v>
      </c>
      <c r="AJ73" s="1732"/>
      <c r="AK73" s="134"/>
      <c r="AL73" s="134"/>
      <c r="AM73" s="134"/>
      <c r="AN73" s="134"/>
      <c r="AO73" s="1581"/>
      <c r="AP73" s="1581"/>
      <c r="AQ73" s="1581"/>
      <c r="AR73" s="134"/>
      <c r="AS73" s="134"/>
      <c r="AT73" s="1581"/>
      <c r="AU73" s="1581"/>
      <c r="AV73" s="1581"/>
      <c r="AW73" s="134"/>
      <c r="AX73" s="134"/>
      <c r="AY73" s="1581"/>
      <c r="AZ73" s="1581"/>
      <c r="BA73" s="1581"/>
      <c r="BB73" s="134"/>
      <c r="BC73" s="134"/>
      <c r="BD73" s="1581"/>
      <c r="BE73" s="1581"/>
      <c r="BF73" s="1712"/>
    </row>
    <row r="74" spans="2:70" x14ac:dyDescent="0.25">
      <c r="B74" s="137"/>
      <c r="C74" s="1506" t="s">
        <v>87</v>
      </c>
      <c r="D74" s="1506"/>
      <c r="E74" s="1506"/>
      <c r="F74" s="1506"/>
      <c r="G74" s="1506"/>
      <c r="H74" s="1506"/>
      <c r="I74" s="1506"/>
      <c r="J74" s="1506"/>
      <c r="K74" s="1506"/>
      <c r="L74" s="1506"/>
      <c r="M74" s="1506"/>
      <c r="N74" s="1506"/>
      <c r="O74" s="1506"/>
      <c r="P74" s="1506"/>
      <c r="Q74" s="1506"/>
      <c r="R74" s="1506"/>
      <c r="S74" s="1506"/>
      <c r="T74" s="1506"/>
      <c r="U74" s="1506"/>
      <c r="V74" s="1506"/>
      <c r="W74" s="1506"/>
      <c r="X74" s="1506"/>
      <c r="Y74" s="1506"/>
      <c r="Z74" s="1506"/>
      <c r="AC74" s="1735" t="str">
        <f>'PIM Model'!$AD$30</f>
        <v/>
      </c>
      <c r="AD74" s="1735"/>
      <c r="AE74" s="1735" t="str">
        <f>'PIM Model'!$D$30</f>
        <v>%</v>
      </c>
      <c r="AF74" s="1735"/>
      <c r="AG74" s="1735" t="str">
        <f>'PIM Model'!$D$30</f>
        <v>%</v>
      </c>
      <c r="AH74" s="1735"/>
      <c r="AI74" s="1732" t="str">
        <f>'PIM Model'!$D$30</f>
        <v>%</v>
      </c>
      <c r="AJ74" s="1732"/>
      <c r="AK74" s="134"/>
      <c r="AL74" s="134"/>
      <c r="AM74" s="134"/>
      <c r="AN74" s="134"/>
      <c r="AO74" s="1581"/>
      <c r="AP74" s="1581"/>
      <c r="AQ74" s="1581"/>
      <c r="AR74" s="134"/>
      <c r="AS74" s="134"/>
      <c r="AT74" s="1581"/>
      <c r="AU74" s="1581"/>
      <c r="AV74" s="1581"/>
      <c r="AW74" s="134"/>
      <c r="AX74" s="134"/>
      <c r="AY74" s="1581"/>
      <c r="AZ74" s="1581"/>
      <c r="BA74" s="1581"/>
      <c r="BB74" s="134"/>
      <c r="BC74" s="134"/>
      <c r="BD74" s="1581"/>
      <c r="BE74" s="1581"/>
      <c r="BF74" s="1712"/>
    </row>
    <row r="75" spans="2:70" x14ac:dyDescent="0.25">
      <c r="B75" s="137"/>
      <c r="C75" s="1506" t="s">
        <v>86</v>
      </c>
      <c r="D75" s="1506"/>
      <c r="E75" s="1506"/>
      <c r="F75" s="1506"/>
      <c r="G75" s="1506"/>
      <c r="H75" s="1506"/>
      <c r="I75" s="1506"/>
      <c r="J75" s="1506"/>
      <c r="K75" s="1506"/>
      <c r="L75" s="1506"/>
      <c r="M75" s="1506"/>
      <c r="N75" s="1506"/>
      <c r="O75" s="1506"/>
      <c r="P75" s="1506"/>
      <c r="Q75" s="1506"/>
      <c r="R75" s="1506"/>
      <c r="S75" s="1506"/>
      <c r="T75" s="1506"/>
      <c r="U75" s="1506"/>
      <c r="V75" s="1506"/>
      <c r="W75" s="1506"/>
      <c r="X75" s="1506"/>
      <c r="Y75" s="1506"/>
      <c r="Z75" s="1506"/>
      <c r="AC75" s="1735" t="str">
        <f>'PIM Model'!$AD$28</f>
        <v/>
      </c>
      <c r="AD75" s="1735"/>
      <c r="AE75" s="1735" t="str">
        <f>'PIM Model'!$D$28</f>
        <v>%</v>
      </c>
      <c r="AF75" s="1735"/>
      <c r="AG75" s="1735" t="str">
        <f>'PIM Model'!$D$28</f>
        <v>%</v>
      </c>
      <c r="AH75" s="1735"/>
      <c r="AI75" s="1732" t="str">
        <f>'PIM Model'!$D$28</f>
        <v>%</v>
      </c>
      <c r="AJ75" s="1732"/>
      <c r="BF75" s="138"/>
    </row>
    <row r="76" spans="2:70" x14ac:dyDescent="0.25">
      <c r="B76" s="137"/>
      <c r="C76" s="1506" t="s">
        <v>105</v>
      </c>
      <c r="D76" s="1506"/>
      <c r="E76" s="1506"/>
      <c r="F76" s="1506"/>
      <c r="G76" s="1506"/>
      <c r="H76" s="1506"/>
      <c r="I76" s="1506"/>
      <c r="J76" s="1506"/>
      <c r="K76" s="1506"/>
      <c r="L76" s="1506"/>
      <c r="M76" s="1506"/>
      <c r="N76" s="1506"/>
      <c r="O76" s="1506"/>
      <c r="P76" s="1506"/>
      <c r="Q76" s="1506"/>
      <c r="R76" s="1506"/>
      <c r="S76" s="1506"/>
      <c r="T76" s="1506"/>
      <c r="U76" s="1506"/>
      <c r="V76" s="1506"/>
      <c r="W76" s="1506"/>
      <c r="X76" s="1506"/>
      <c r="Y76" s="1506"/>
      <c r="Z76" s="1506"/>
      <c r="AC76" s="1735" t="str">
        <f>'PIM Model'!$AD$22</f>
        <v/>
      </c>
      <c r="AD76" s="1735"/>
      <c r="AE76" s="1735" t="str">
        <f>'PIM Model'!$D$22</f>
        <v>%</v>
      </c>
      <c r="AF76" s="1735"/>
      <c r="AG76" s="1735" t="str">
        <f>'PIM Model'!$D$22</f>
        <v>%</v>
      </c>
      <c r="AH76" s="1735"/>
      <c r="AI76" s="1732" t="str">
        <f>'PIM Model'!$D$22</f>
        <v>%</v>
      </c>
      <c r="AJ76" s="1732"/>
      <c r="BF76" s="138"/>
    </row>
    <row r="77" spans="2:70" x14ac:dyDescent="0.25">
      <c r="B77" s="667"/>
      <c r="C77" s="1737" t="s">
        <v>726</v>
      </c>
      <c r="D77" s="1737"/>
      <c r="E77" s="1737"/>
      <c r="F77" s="1737"/>
      <c r="G77" s="1737"/>
      <c r="H77" s="1737"/>
      <c r="I77" s="1737"/>
      <c r="J77" s="1737"/>
      <c r="K77" s="1737"/>
      <c r="L77" s="1737"/>
      <c r="M77" s="1737"/>
      <c r="N77" s="1737"/>
      <c r="O77" s="1737"/>
      <c r="P77" s="1737"/>
      <c r="Q77" s="1737"/>
      <c r="R77" s="1737"/>
      <c r="S77" s="1737"/>
      <c r="T77" s="1737"/>
      <c r="U77" s="1737"/>
      <c r="V77" s="1737"/>
      <c r="W77" s="1737"/>
      <c r="X77" s="1737"/>
      <c r="Y77" s="1737"/>
      <c r="Z77" s="1737"/>
      <c r="AC77" s="1735" t="str">
        <f>'PIM Model'!$AD$12</f>
        <v/>
      </c>
      <c r="AD77" s="1735"/>
      <c r="AE77" s="1735" t="str">
        <f>'PIM Model'!$D$12</f>
        <v>%</v>
      </c>
      <c r="AF77" s="1735"/>
      <c r="AG77" s="1735" t="str">
        <f>'PIM Model'!$D$12</f>
        <v>%</v>
      </c>
      <c r="AH77" s="1735"/>
      <c r="AI77" s="1732" t="str">
        <f>'PIM Model'!$D$12</f>
        <v>%</v>
      </c>
      <c r="AJ77" s="1732"/>
      <c r="BF77" s="138"/>
    </row>
    <row r="78" spans="2:70" x14ac:dyDescent="0.25">
      <c r="B78" s="137"/>
      <c r="C78" s="1737" t="s">
        <v>727</v>
      </c>
      <c r="D78" s="1737"/>
      <c r="E78" s="1737"/>
      <c r="F78" s="1737"/>
      <c r="G78" s="1737"/>
      <c r="H78" s="1737"/>
      <c r="I78" s="1737"/>
      <c r="J78" s="1737"/>
      <c r="K78" s="1737"/>
      <c r="L78" s="1737"/>
      <c r="M78" s="1737"/>
      <c r="N78" s="1737"/>
      <c r="O78" s="1737"/>
      <c r="P78" s="1737"/>
      <c r="Q78" s="1737"/>
      <c r="R78" s="1737"/>
      <c r="S78" s="1737"/>
      <c r="T78" s="1737"/>
      <c r="U78" s="1737"/>
      <c r="V78" s="1737"/>
      <c r="W78" s="1737"/>
      <c r="X78" s="1737"/>
      <c r="Y78" s="1737"/>
      <c r="Z78" s="1737"/>
      <c r="AC78" s="650"/>
      <c r="AD78" s="650"/>
      <c r="AE78" s="650"/>
      <c r="AF78" s="650"/>
      <c r="AG78" s="650"/>
      <c r="AH78" s="650"/>
      <c r="BF78" s="138"/>
      <c r="BR78" s="266"/>
    </row>
    <row r="79" spans="2:70" x14ac:dyDescent="0.25">
      <c r="B79" s="137"/>
      <c r="BF79" s="138"/>
    </row>
    <row r="80" spans="2:70" x14ac:dyDescent="0.25">
      <c r="B80" s="137"/>
      <c r="BF80" s="138"/>
    </row>
    <row r="81" spans="1:70" x14ac:dyDescent="0.25">
      <c r="B81" s="137"/>
      <c r="D81" s="1732" t="s">
        <v>694</v>
      </c>
      <c r="E81" s="1732"/>
      <c r="F81" s="1732"/>
      <c r="G81" s="1732"/>
      <c r="H81" s="1732"/>
      <c r="I81" s="1732"/>
      <c r="J81" s="1732"/>
      <c r="K81" s="1732"/>
      <c r="L81" s="1732"/>
      <c r="M81" s="1732"/>
      <c r="N81" s="1732"/>
      <c r="O81" s="1732"/>
      <c r="P81" s="1732"/>
      <c r="Q81" s="1732"/>
      <c r="R81" s="1732"/>
      <c r="S81" s="1732"/>
      <c r="T81" s="1732"/>
      <c r="U81" s="1732"/>
      <c r="V81" s="1732"/>
      <c r="W81" s="1732"/>
      <c r="X81" s="1732"/>
      <c r="Y81" s="1732"/>
      <c r="Z81" s="1732"/>
      <c r="AA81" s="1732"/>
      <c r="AB81" s="1732"/>
      <c r="AC81" s="1732"/>
      <c r="AD81" s="1732"/>
      <c r="AE81" s="1732"/>
      <c r="AF81" s="1732"/>
      <c r="AG81" s="1732"/>
      <c r="AH81" s="1732"/>
      <c r="AI81" s="1732"/>
      <c r="AJ81" s="1732"/>
      <c r="AK81" s="1732"/>
      <c r="AL81" s="1732"/>
      <c r="AM81" s="1732"/>
      <c r="AN81" s="1732"/>
      <c r="AO81" s="1732"/>
      <c r="AP81" s="1732"/>
      <c r="AQ81" s="1732"/>
      <c r="AR81" s="1732"/>
      <c r="AS81" s="1732"/>
      <c r="AT81" s="1732"/>
      <c r="AU81" s="1732"/>
      <c r="AV81" s="1732"/>
      <c r="AW81" s="1732"/>
      <c r="AX81" s="1732"/>
      <c r="AY81" s="1732"/>
      <c r="AZ81" s="1732"/>
      <c r="BA81" s="1732"/>
      <c r="BB81" s="1732"/>
      <c r="BC81" s="1732"/>
      <c r="BD81" s="1732"/>
      <c r="BF81" s="138"/>
    </row>
    <row r="82" spans="1:70" x14ac:dyDescent="0.25">
      <c r="B82" s="137"/>
      <c r="D82" s="1733" t="s">
        <v>241</v>
      </c>
      <c r="E82" s="1733"/>
      <c r="F82" s="1732" t="s">
        <v>693</v>
      </c>
      <c r="G82" s="1732"/>
      <c r="H82" s="1732"/>
      <c r="I82" s="1732"/>
      <c r="J82" s="1732"/>
      <c r="K82" s="1732"/>
      <c r="L82" s="1732"/>
      <c r="M82" s="1732"/>
      <c r="N82" s="1732"/>
      <c r="O82" s="1732"/>
      <c r="P82" s="1732"/>
      <c r="Q82" s="1732"/>
      <c r="R82" s="1732"/>
      <c r="S82" s="1732"/>
      <c r="T82" s="1732"/>
      <c r="U82" s="1732"/>
      <c r="V82" s="1732"/>
      <c r="W82" s="1732"/>
      <c r="X82" s="1732"/>
      <c r="Y82" s="1732"/>
      <c r="Z82" s="1732"/>
      <c r="AA82" s="1732"/>
      <c r="AB82" s="1732"/>
      <c r="AC82" s="1732"/>
      <c r="AD82" s="1732"/>
      <c r="AE82" s="1732"/>
      <c r="AF82" s="1732"/>
      <c r="AG82" s="1732"/>
      <c r="AH82" s="1732"/>
      <c r="AI82" s="1732"/>
      <c r="AJ82" s="1732"/>
      <c r="AK82" s="1732"/>
      <c r="AL82" s="1732"/>
      <c r="AM82" s="1732"/>
      <c r="AN82" s="1732"/>
      <c r="AO82" s="1732"/>
      <c r="AP82" s="1732"/>
      <c r="AQ82" s="1732"/>
      <c r="AR82" s="1732"/>
      <c r="AS82" s="1732"/>
      <c r="AT82" s="1732"/>
      <c r="AU82" s="1732"/>
      <c r="AV82" s="1732"/>
      <c r="AW82" s="1732"/>
      <c r="AX82" s="1732"/>
      <c r="AY82" s="1732"/>
      <c r="AZ82" s="1732"/>
      <c r="BA82" s="1732"/>
      <c r="BB82" s="1732"/>
      <c r="BC82" s="1732"/>
      <c r="BD82" s="1732"/>
      <c r="BF82" s="138"/>
    </row>
    <row r="83" spans="1:70" x14ac:dyDescent="0.25">
      <c r="B83" s="137"/>
      <c r="D83" s="1734"/>
      <c r="E83" s="1734"/>
      <c r="F83" s="1732" t="s">
        <v>692</v>
      </c>
      <c r="G83" s="1732"/>
      <c r="H83" s="1732"/>
      <c r="I83" s="1732"/>
      <c r="J83" s="1732"/>
      <c r="K83" s="1732"/>
      <c r="L83" s="1732"/>
      <c r="M83" s="1732"/>
      <c r="N83" s="1732"/>
      <c r="O83" s="1732"/>
      <c r="P83" s="1732"/>
      <c r="Q83" s="1732"/>
      <c r="R83" s="1732"/>
      <c r="S83" s="1732"/>
      <c r="T83" s="1732"/>
      <c r="U83" s="1732"/>
      <c r="V83" s="1732"/>
      <c r="W83" s="1732"/>
      <c r="X83" s="1732"/>
      <c r="Y83" s="1732"/>
      <c r="Z83" s="1732"/>
      <c r="AA83" s="1732"/>
      <c r="AB83" s="1732"/>
      <c r="AC83" s="1732"/>
      <c r="AD83" s="1732"/>
      <c r="AE83" s="1732"/>
      <c r="AF83" s="1732"/>
      <c r="AG83" s="1732"/>
      <c r="AH83" s="1732"/>
      <c r="AI83" s="1732"/>
      <c r="AJ83" s="1732"/>
      <c r="AK83" s="1732"/>
      <c r="AL83" s="1732"/>
      <c r="AM83" s="1732"/>
      <c r="AN83" s="1732"/>
      <c r="AO83" s="1732"/>
      <c r="AP83" s="1732"/>
      <c r="AQ83" s="1732"/>
      <c r="AR83" s="1732"/>
      <c r="AS83" s="1732"/>
      <c r="AT83" s="1732"/>
      <c r="AU83" s="1732"/>
      <c r="AV83" s="1732"/>
      <c r="AW83" s="1732"/>
      <c r="AX83" s="1732"/>
      <c r="AY83" s="1732"/>
      <c r="AZ83" s="1732"/>
      <c r="BA83" s="1732"/>
      <c r="BB83" s="1732"/>
      <c r="BC83" s="1732"/>
      <c r="BD83" s="1732"/>
      <c r="BF83" s="138"/>
    </row>
    <row r="84" spans="1:70" x14ac:dyDescent="0.25">
      <c r="A84" s="273"/>
      <c r="B84" s="137"/>
      <c r="D84" s="1734"/>
      <c r="E84" s="1734"/>
      <c r="F84" s="1732" t="s">
        <v>691</v>
      </c>
      <c r="G84" s="1732"/>
      <c r="H84" s="1732"/>
      <c r="I84" s="1732"/>
      <c r="J84" s="1732"/>
      <c r="K84" s="1732"/>
      <c r="L84" s="1732"/>
      <c r="M84" s="1732"/>
      <c r="N84" s="1732"/>
      <c r="O84" s="1732"/>
      <c r="P84" s="1732"/>
      <c r="Q84" s="1732"/>
      <c r="R84" s="1732"/>
      <c r="S84" s="1732"/>
      <c r="T84" s="1732"/>
      <c r="U84" s="1732"/>
      <c r="V84" s="1732"/>
      <c r="W84" s="1732"/>
      <c r="X84" s="1732"/>
      <c r="Y84" s="1732"/>
      <c r="Z84" s="1732"/>
      <c r="AA84" s="1732"/>
      <c r="AB84" s="1732"/>
      <c r="AC84" s="1732"/>
      <c r="AD84" s="1732"/>
      <c r="AE84" s="1732"/>
      <c r="AF84" s="1732"/>
      <c r="AG84" s="1732"/>
      <c r="AH84" s="1732"/>
      <c r="AI84" s="1732"/>
      <c r="AJ84" s="1732"/>
      <c r="AK84" s="1732"/>
      <c r="AL84" s="1732"/>
      <c r="AM84" s="1732"/>
      <c r="AN84" s="1732"/>
      <c r="AO84" s="1732"/>
      <c r="AP84" s="1732"/>
      <c r="AQ84" s="1732"/>
      <c r="AR84" s="1732"/>
      <c r="AS84" s="1732"/>
      <c r="AT84" s="1732"/>
      <c r="AU84" s="1732"/>
      <c r="AV84" s="1732"/>
      <c r="AW84" s="1732"/>
      <c r="AX84" s="1732"/>
      <c r="AY84" s="1732"/>
      <c r="AZ84" s="1732"/>
      <c r="BA84" s="1732"/>
      <c r="BB84" s="1732"/>
      <c r="BC84" s="1732"/>
      <c r="BD84" s="1732"/>
      <c r="BF84" s="138"/>
    </row>
    <row r="85" spans="1:70" x14ac:dyDescent="0.25">
      <c r="B85" s="137"/>
      <c r="BF85" s="138"/>
    </row>
    <row r="86" spans="1:70" x14ac:dyDescent="0.25">
      <c r="B86" s="137"/>
      <c r="D86" s="1732" t="s">
        <v>690</v>
      </c>
      <c r="E86" s="1732"/>
      <c r="F86" s="1732"/>
      <c r="G86" s="1732"/>
      <c r="H86" s="1732"/>
      <c r="I86" s="1732"/>
      <c r="J86" s="1732"/>
      <c r="K86" s="1732"/>
      <c r="L86" s="1732"/>
      <c r="M86" s="1732"/>
      <c r="N86" s="1732"/>
      <c r="O86" s="1732"/>
      <c r="P86" s="1732"/>
      <c r="Q86" s="1732"/>
      <c r="R86" s="1732"/>
      <c r="S86" s="1732"/>
      <c r="T86" s="1732"/>
      <c r="U86" s="1732"/>
      <c r="V86" s="1732"/>
      <c r="W86" s="1732"/>
      <c r="X86" s="1732"/>
      <c r="Y86" s="1732"/>
      <c r="Z86" s="1732"/>
      <c r="AA86" s="1732"/>
      <c r="AB86" s="1732"/>
      <c r="AC86" s="1732"/>
      <c r="AD86" s="1732"/>
      <c r="AE86" s="1732"/>
      <c r="AF86" s="1732"/>
      <c r="AG86" s="1732"/>
      <c r="AH86" s="1732"/>
      <c r="AI86" s="1732"/>
      <c r="AJ86" s="1732"/>
      <c r="AK86" s="1732"/>
      <c r="AL86" s="1732"/>
      <c r="AM86" s="1732"/>
      <c r="AN86" s="1732"/>
      <c r="AO86" s="1732"/>
      <c r="AP86" s="1732"/>
      <c r="AQ86" s="1732"/>
      <c r="AR86" s="1732"/>
      <c r="AS86" s="1732"/>
      <c r="AT86" s="1732"/>
      <c r="AU86" s="1732"/>
      <c r="AV86" s="1732"/>
      <c r="AW86" s="1732"/>
      <c r="AX86" s="1732"/>
      <c r="AY86" s="1732"/>
      <c r="AZ86" s="1732"/>
      <c r="BA86" s="1732"/>
      <c r="BB86" s="1732"/>
      <c r="BC86" s="1732"/>
      <c r="BD86" s="1732"/>
      <c r="BF86" s="138"/>
    </row>
    <row r="87" spans="1:70" x14ac:dyDescent="0.25">
      <c r="B87" s="137"/>
      <c r="D87" s="1733" t="s">
        <v>241</v>
      </c>
      <c r="E87" s="1733"/>
      <c r="F87" s="1732" t="s">
        <v>689</v>
      </c>
      <c r="G87" s="1732"/>
      <c r="H87" s="1732"/>
      <c r="I87" s="1732"/>
      <c r="J87" s="1732"/>
      <c r="K87" s="1732"/>
      <c r="L87" s="1732"/>
      <c r="M87" s="1732"/>
      <c r="N87" s="1732"/>
      <c r="O87" s="1732"/>
      <c r="P87" s="1732"/>
      <c r="Q87" s="1732"/>
      <c r="R87" s="1732"/>
      <c r="S87" s="1732"/>
      <c r="T87" s="1732"/>
      <c r="U87" s="1732"/>
      <c r="V87" s="1732"/>
      <c r="W87" s="1732"/>
      <c r="X87" s="1732"/>
      <c r="Y87" s="1732"/>
      <c r="Z87" s="1732"/>
      <c r="AA87" s="1732"/>
      <c r="AB87" s="1732"/>
      <c r="AC87" s="1732"/>
      <c r="AD87" s="1732"/>
      <c r="AE87" s="1732"/>
      <c r="AF87" s="1732"/>
      <c r="AG87" s="1732"/>
      <c r="AH87" s="1732"/>
      <c r="AI87" s="1732"/>
      <c r="AJ87" s="1732"/>
      <c r="AK87" s="1732"/>
      <c r="AL87" s="1732"/>
      <c r="AM87" s="1732"/>
      <c r="AN87" s="1732"/>
      <c r="AO87" s="1732"/>
      <c r="AP87" s="1732"/>
      <c r="AQ87" s="1732"/>
      <c r="AR87" s="1732"/>
      <c r="AS87" s="1732"/>
      <c r="AT87" s="1732"/>
      <c r="AU87" s="1732"/>
      <c r="AV87" s="1732"/>
      <c r="AW87" s="1732"/>
      <c r="AX87" s="1732"/>
      <c r="AY87" s="1732"/>
      <c r="AZ87" s="1732"/>
      <c r="BA87" s="1732"/>
      <c r="BB87" s="1732"/>
      <c r="BC87" s="1732"/>
      <c r="BD87" s="1732"/>
      <c r="BF87" s="138"/>
    </row>
    <row r="88" spans="1:70" x14ac:dyDescent="0.25">
      <c r="B88" s="137"/>
      <c r="D88" s="1734"/>
      <c r="E88" s="1734"/>
      <c r="F88" s="1732" t="s">
        <v>688</v>
      </c>
      <c r="G88" s="1732"/>
      <c r="H88" s="1732"/>
      <c r="I88" s="1732"/>
      <c r="J88" s="1732"/>
      <c r="K88" s="1732"/>
      <c r="L88" s="1732"/>
      <c r="M88" s="1732"/>
      <c r="N88" s="1732"/>
      <c r="O88" s="1732"/>
      <c r="P88" s="1732"/>
      <c r="Q88" s="1732"/>
      <c r="R88" s="1732"/>
      <c r="S88" s="1732"/>
      <c r="T88" s="1732"/>
      <c r="U88" s="1732"/>
      <c r="V88" s="1732"/>
      <c r="W88" s="1732"/>
      <c r="X88" s="1732"/>
      <c r="Y88" s="1732"/>
      <c r="Z88" s="1732"/>
      <c r="AA88" s="1732"/>
      <c r="AB88" s="1732"/>
      <c r="AC88" s="1732"/>
      <c r="AD88" s="1732"/>
      <c r="AE88" s="1732"/>
      <c r="AF88" s="1732"/>
      <c r="AG88" s="1732"/>
      <c r="AH88" s="1732"/>
      <c r="AI88" s="1732"/>
      <c r="AJ88" s="1732"/>
      <c r="AK88" s="1732"/>
      <c r="AL88" s="1732"/>
      <c r="AM88" s="1732"/>
      <c r="AN88" s="1732"/>
      <c r="AO88" s="1732"/>
      <c r="AP88" s="1732"/>
      <c r="AQ88" s="1732"/>
      <c r="AR88" s="1732"/>
      <c r="AS88" s="1732"/>
      <c r="AT88" s="1732"/>
      <c r="AU88" s="1732"/>
      <c r="AV88" s="1732"/>
      <c r="AW88" s="1732"/>
      <c r="AX88" s="1732"/>
      <c r="AY88" s="1732"/>
      <c r="AZ88" s="1732"/>
      <c r="BA88" s="1732"/>
      <c r="BB88" s="1732"/>
      <c r="BC88" s="1732"/>
      <c r="BD88" s="1732"/>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668"/>
      <c r="C90" s="270"/>
      <c r="D90" s="270"/>
      <c r="E90" s="270"/>
      <c r="F90" s="270"/>
      <c r="G90" s="270"/>
      <c r="H90" s="270"/>
      <c r="I90" s="270"/>
      <c r="J90" s="270"/>
      <c r="K90" s="270"/>
      <c r="L90" s="270"/>
      <c r="M90" s="270"/>
      <c r="N90" s="270"/>
      <c r="O90" s="270"/>
      <c r="P90" s="270"/>
      <c r="Q90" s="270"/>
      <c r="R90" s="270"/>
      <c r="S90" s="270"/>
      <c r="T90" s="270"/>
      <c r="U90" s="270"/>
      <c r="V90" s="270"/>
      <c r="W90" s="270"/>
      <c r="X90" s="270"/>
      <c r="Y90" s="270"/>
      <c r="Z90" s="270"/>
      <c r="AA90" s="270"/>
      <c r="AB90" s="270"/>
      <c r="AC90" s="270"/>
      <c r="AD90" s="270"/>
      <c r="AE90" s="270"/>
      <c r="AF90" s="270"/>
      <c r="AG90" s="270"/>
      <c r="AH90" s="270"/>
      <c r="AI90" s="270"/>
      <c r="AJ90" s="270"/>
      <c r="AK90" s="270"/>
      <c r="AL90" s="270"/>
      <c r="AM90" s="270"/>
      <c r="AN90" s="270"/>
      <c r="AO90" s="270"/>
      <c r="AP90" s="270"/>
      <c r="AQ90" s="270"/>
      <c r="AR90" s="270"/>
      <c r="AS90" s="270"/>
      <c r="AT90" s="270"/>
      <c r="AU90" s="270"/>
      <c r="AV90" s="270"/>
      <c r="AW90" s="270"/>
      <c r="AX90" s="270"/>
      <c r="AY90" s="270"/>
      <c r="AZ90" s="270"/>
      <c r="BA90" s="270"/>
      <c r="BB90" s="270"/>
      <c r="BC90" s="270"/>
      <c r="BD90" s="270"/>
      <c r="BE90" s="270"/>
      <c r="BF90" s="649"/>
    </row>
    <row r="91" spans="1:70" x14ac:dyDescent="0.25">
      <c r="B91" s="137"/>
      <c r="BF91" s="138"/>
    </row>
    <row r="92" spans="1:70" ht="18.75" x14ac:dyDescent="0.3">
      <c r="B92" s="1748" t="s">
        <v>1007</v>
      </c>
      <c r="C92" s="1749"/>
      <c r="D92" s="1749"/>
      <c r="E92" s="1749"/>
      <c r="F92" s="1749"/>
      <c r="G92" s="1749"/>
      <c r="H92" s="1749"/>
      <c r="I92" s="1749"/>
      <c r="J92" s="1749"/>
      <c r="K92" s="1749"/>
      <c r="L92" s="1749"/>
      <c r="M92" s="1749"/>
      <c r="N92" s="1749"/>
      <c r="O92" s="1749"/>
      <c r="P92" s="1749"/>
      <c r="Q92" s="1749"/>
      <c r="R92" s="1749"/>
      <c r="S92" s="1749"/>
      <c r="T92" s="1749"/>
      <c r="U92" s="1749"/>
      <c r="V92" s="1749"/>
      <c r="W92" s="1749"/>
      <c r="X92" s="1749"/>
      <c r="Y92" s="1749"/>
      <c r="Z92" s="1749"/>
      <c r="AA92" s="1749"/>
      <c r="AB92" s="1749"/>
      <c r="AC92" s="1749"/>
      <c r="AD92" s="1749"/>
      <c r="AE92" s="1749"/>
      <c r="AF92" s="1749"/>
      <c r="AG92" s="1749"/>
      <c r="AH92" s="1749"/>
      <c r="AI92" s="1749"/>
      <c r="AJ92" s="1749"/>
      <c r="AK92" s="1749"/>
      <c r="AL92" s="1749"/>
      <c r="AM92" s="1749"/>
      <c r="AN92" s="1749"/>
      <c r="AO92" s="1749"/>
      <c r="AP92" s="1749"/>
      <c r="AQ92" s="1749"/>
      <c r="AR92" s="1749"/>
      <c r="AS92" s="1749"/>
      <c r="AT92" s="1749"/>
      <c r="AU92" s="1749"/>
      <c r="AV92" s="1749"/>
      <c r="AW92" s="1749"/>
      <c r="AX92" s="1749"/>
      <c r="AY92" s="1749"/>
      <c r="AZ92" s="1749"/>
      <c r="BA92" s="1749"/>
      <c r="BB92" s="1749"/>
      <c r="BC92" s="1749"/>
      <c r="BD92" s="1749"/>
      <c r="BE92" s="1749"/>
      <c r="BF92" s="1750"/>
    </row>
    <row r="93" spans="1:70" ht="15.75" thickBot="1" x14ac:dyDescent="0.3">
      <c r="B93" s="137"/>
      <c r="BF93" s="138"/>
      <c r="BR93" s="266"/>
    </row>
    <row r="94" spans="1:70" ht="15.75" thickBot="1" x14ac:dyDescent="0.3">
      <c r="B94" s="137"/>
      <c r="D94" s="1762" t="s">
        <v>734</v>
      </c>
      <c r="E94" s="1763"/>
      <c r="F94" s="1763"/>
      <c r="G94" s="1763"/>
      <c r="H94" s="1763"/>
      <c r="I94" s="1763"/>
      <c r="J94" s="1763"/>
      <c r="K94" s="1769" t="s">
        <v>735</v>
      </c>
      <c r="L94" s="1763"/>
      <c r="M94" s="1763"/>
      <c r="N94" s="1763"/>
      <c r="O94" s="1763"/>
      <c r="P94" s="1763"/>
      <c r="Q94" s="1763"/>
      <c r="R94" s="1763"/>
      <c r="S94" s="1763"/>
      <c r="T94" s="1763"/>
      <c r="U94" s="1769" t="s">
        <v>795</v>
      </c>
      <c r="V94" s="1763"/>
      <c r="W94" s="1763"/>
      <c r="X94" s="1763"/>
      <c r="Y94" s="1763"/>
      <c r="Z94" s="1763"/>
      <c r="AA94" s="1763"/>
      <c r="AB94" s="1763"/>
      <c r="AC94" s="1763"/>
      <c r="AD94" s="1763"/>
      <c r="AE94" s="1763"/>
      <c r="AF94" s="1763"/>
      <c r="AG94" s="1763"/>
      <c r="AH94" s="1763"/>
      <c r="AI94" s="1763"/>
      <c r="AJ94" s="1769" t="s">
        <v>800</v>
      </c>
      <c r="AK94" s="1763"/>
      <c r="AL94" s="1763"/>
      <c r="AM94" s="1763"/>
      <c r="AN94" s="1763"/>
      <c r="AO94" s="1763"/>
      <c r="AP94" s="1763"/>
      <c r="AQ94" s="1763"/>
      <c r="AR94" s="1763"/>
      <c r="AS94" s="1763"/>
      <c r="AT94" s="1781"/>
      <c r="AU94" s="1769" t="s">
        <v>801</v>
      </c>
      <c r="AV94" s="1763"/>
      <c r="AW94" s="1763"/>
      <c r="AX94" s="1781"/>
      <c r="AY94" s="1769" t="s">
        <v>845</v>
      </c>
      <c r="AZ94" s="1763"/>
      <c r="BA94" s="1763"/>
      <c r="BB94" s="1763"/>
      <c r="BC94" s="1791"/>
      <c r="BF94" s="138"/>
    </row>
    <row r="95" spans="1:70" x14ac:dyDescent="0.25">
      <c r="B95" s="137"/>
      <c r="C95" s="623">
        <v>1</v>
      </c>
      <c r="D95" s="1761">
        <f>'Customer Inputs'!$B$6</f>
        <v>0</v>
      </c>
      <c r="E95" s="1761"/>
      <c r="F95" s="1761"/>
      <c r="G95" s="1761"/>
      <c r="H95" s="1761"/>
      <c r="I95" s="1761"/>
      <c r="J95" s="1761"/>
      <c r="K95" s="1717" t="str">
        <f>IFERROR(IFERROR('Multi-Customer'!$BB$39,VLOOKUP($D95,'Required Info to Submit'!$E$23:$J$32,2,FALSE)),"")</f>
        <v/>
      </c>
      <c r="L95" s="1717"/>
      <c r="M95" s="1717"/>
      <c r="N95" s="1717"/>
      <c r="O95" s="1717"/>
      <c r="P95" s="1717"/>
      <c r="Q95" s="1717"/>
      <c r="R95" s="1717"/>
      <c r="S95" s="1717"/>
      <c r="T95" s="1717"/>
      <c r="U95" s="1717" t="str">
        <f>IFERROR(IFERROR('Multi-Customer'!$BB$41&amp;" "&amp;'Multi-Customer'!$BB$42,VLOOKUP($D95,'Required Info to Submit'!$E$23:$J$32,3,FALSE)),"")</f>
        <v/>
      </c>
      <c r="V95" s="1717"/>
      <c r="W95" s="1717"/>
      <c r="X95" s="1717"/>
      <c r="Y95" s="1717"/>
      <c r="Z95" s="1717"/>
      <c r="AA95" s="1717"/>
      <c r="AB95" s="1717"/>
      <c r="AC95" s="1717"/>
      <c r="AD95" s="1717"/>
      <c r="AE95" s="1717"/>
      <c r="AF95" s="1717"/>
      <c r="AG95" s="1717"/>
      <c r="AH95" s="1717"/>
      <c r="AI95" s="1717"/>
      <c r="AJ95" s="1778" t="str">
        <f>IFERROR(IFERROR('Multi-Customer'!$BB$43,VLOOKUP($D95,'Required Info to Submit'!$E$23:$J$32,4,FALSE)),"")</f>
        <v/>
      </c>
      <c r="AK95" s="1779"/>
      <c r="AL95" s="1779"/>
      <c r="AM95" s="1779"/>
      <c r="AN95" s="1779"/>
      <c r="AO95" s="1779"/>
      <c r="AP95" s="1779"/>
      <c r="AQ95" s="1779"/>
      <c r="AR95" s="1779"/>
      <c r="AS95" s="1779"/>
      <c r="AT95" s="1780"/>
      <c r="AU95" s="1782" t="str">
        <f>IFERROR(IFERROR('Multi-Customer'!$BB$44,VLOOKUP($D95,'Required Info to Submit'!$E$23:$J$32,5,FALSE)),"")</f>
        <v/>
      </c>
      <c r="AV95" s="1783"/>
      <c r="AW95" s="1783"/>
      <c r="AX95" s="1784"/>
      <c r="AY95" s="1788" t="str">
        <f>IFERROR(IFERROR('Multi-Customer'!$BB$45,VLOOKUP($D95,'Required Info to Submit'!$E$23:$J$32,6,FALSE)),"")</f>
        <v/>
      </c>
      <c r="AZ95" s="1789"/>
      <c r="BA95" s="1789"/>
      <c r="BB95" s="1789"/>
      <c r="BC95" s="1790"/>
      <c r="BF95" s="138"/>
    </row>
    <row r="96" spans="1:70" x14ac:dyDescent="0.25">
      <c r="B96" s="137"/>
      <c r="C96" s="624">
        <v>2</v>
      </c>
      <c r="D96" s="1760">
        <f>'Customer Inputs'!$B$7</f>
        <v>0</v>
      </c>
      <c r="E96" s="1760"/>
      <c r="F96" s="1760"/>
      <c r="G96" s="1760"/>
      <c r="H96" s="1760"/>
      <c r="I96" s="1760"/>
      <c r="J96" s="1760"/>
      <c r="K96" s="1704" t="str">
        <f>IFERROR(IFERROR('Multi-Customer'!$BY$39,VLOOKUP($D96,'Required Info to Submit'!$E$23:$J$32,2,FALSE)),"")</f>
        <v/>
      </c>
      <c r="L96" s="1704"/>
      <c r="M96" s="1704"/>
      <c r="N96" s="1704"/>
      <c r="O96" s="1704"/>
      <c r="P96" s="1704"/>
      <c r="Q96" s="1704"/>
      <c r="R96" s="1704"/>
      <c r="S96" s="1704"/>
      <c r="T96" s="1704"/>
      <c r="U96" s="1704" t="str">
        <f>IFERROR(IFERROR('Multi-Customer'!$BY$41&amp;" "&amp;'Multi-Customer'!$BY$42,VLOOKUP($D96,'Required Info to Submit'!$E$23:$J$32,3,FALSE)),"")</f>
        <v/>
      </c>
      <c r="V96" s="1704"/>
      <c r="W96" s="1704"/>
      <c r="X96" s="1704"/>
      <c r="Y96" s="1704"/>
      <c r="Z96" s="1704"/>
      <c r="AA96" s="1704"/>
      <c r="AB96" s="1704"/>
      <c r="AC96" s="1704"/>
      <c r="AD96" s="1704"/>
      <c r="AE96" s="1704"/>
      <c r="AF96" s="1704"/>
      <c r="AG96" s="1704"/>
      <c r="AH96" s="1704"/>
      <c r="AI96" s="1704"/>
      <c r="AJ96" s="1775" t="str">
        <f>IFERROR(IFERROR('Multi-Customer'!$BY$43,VLOOKUP($D96,'Required Info to Submit'!$E$23:$J$32,4,FALSE)),"")</f>
        <v/>
      </c>
      <c r="AK96" s="1776"/>
      <c r="AL96" s="1776"/>
      <c r="AM96" s="1776"/>
      <c r="AN96" s="1776"/>
      <c r="AO96" s="1776"/>
      <c r="AP96" s="1776"/>
      <c r="AQ96" s="1776"/>
      <c r="AR96" s="1776"/>
      <c r="AS96" s="1776"/>
      <c r="AT96" s="1777"/>
      <c r="AU96" s="1628" t="str">
        <f>IFERROR(IFERROR('Multi-Customer'!$BY$44,VLOOKUP($D96,'Required Info to Submit'!$E$23:$J$32,5,FALSE)),"")</f>
        <v/>
      </c>
      <c r="AV96" s="1629"/>
      <c r="AW96" s="1629"/>
      <c r="AX96" s="1630"/>
      <c r="AY96" s="1695" t="str">
        <f>IFERROR(IFERROR('Multi-Customer'!$BY$45,VLOOKUP($D96,'Required Info to Submit'!$E$23:$J$32,6,FALSE)),"")</f>
        <v/>
      </c>
      <c r="AZ96" s="1696"/>
      <c r="BA96" s="1696"/>
      <c r="BB96" s="1696"/>
      <c r="BC96" s="1697"/>
      <c r="BF96" s="138"/>
    </row>
    <row r="97" spans="2:58" x14ac:dyDescent="0.25">
      <c r="B97" s="137"/>
      <c r="C97" s="624">
        <v>3</v>
      </c>
      <c r="D97" s="1760">
        <f>'Customer Inputs'!$B$8</f>
        <v>0</v>
      </c>
      <c r="E97" s="1760"/>
      <c r="F97" s="1760"/>
      <c r="G97" s="1760"/>
      <c r="H97" s="1760"/>
      <c r="I97" s="1760"/>
      <c r="J97" s="1760"/>
      <c r="K97" s="1704" t="str">
        <f>IFERROR(IFERROR('Multi-Customer'!$CV$39,VLOOKUP($D97,'Required Info to Submit'!$E$23:$J$32,2,FALSE)),"")</f>
        <v/>
      </c>
      <c r="L97" s="1704"/>
      <c r="M97" s="1704"/>
      <c r="N97" s="1704"/>
      <c r="O97" s="1704"/>
      <c r="P97" s="1704"/>
      <c r="Q97" s="1704"/>
      <c r="R97" s="1704"/>
      <c r="S97" s="1704"/>
      <c r="T97" s="1704"/>
      <c r="U97" s="1704" t="str">
        <f>IFERROR(IFERROR('Multi-Customer'!$CV$41&amp;" "&amp;'Multi-Customer'!$CV$42,VLOOKUP($D97,'Required Info to Submit'!$E$23:$J$32,3,FALSE)),"")</f>
        <v/>
      </c>
      <c r="V97" s="1704"/>
      <c r="W97" s="1704"/>
      <c r="X97" s="1704"/>
      <c r="Y97" s="1704"/>
      <c r="Z97" s="1704"/>
      <c r="AA97" s="1704"/>
      <c r="AB97" s="1704"/>
      <c r="AC97" s="1704"/>
      <c r="AD97" s="1704"/>
      <c r="AE97" s="1704"/>
      <c r="AF97" s="1704"/>
      <c r="AG97" s="1704"/>
      <c r="AH97" s="1704"/>
      <c r="AI97" s="1704"/>
      <c r="AJ97" s="1775" t="str">
        <f>IFERROR(IFERROR('Multi-Customer'!$CV$43,VLOOKUP($D97,'Required Info to Submit'!$E$23:$J$32,4,FALSE)),"")</f>
        <v/>
      </c>
      <c r="AK97" s="1776"/>
      <c r="AL97" s="1776"/>
      <c r="AM97" s="1776"/>
      <c r="AN97" s="1776"/>
      <c r="AO97" s="1776"/>
      <c r="AP97" s="1776"/>
      <c r="AQ97" s="1776"/>
      <c r="AR97" s="1776"/>
      <c r="AS97" s="1776"/>
      <c r="AT97" s="1777"/>
      <c r="AU97" s="1628" t="str">
        <f>IFERROR(IFERROR('Multi-Customer'!$CV$44,VLOOKUP($D97,'Required Info to Submit'!$E$23:$J$32,5,FALSE)),"")</f>
        <v/>
      </c>
      <c r="AV97" s="1629"/>
      <c r="AW97" s="1629"/>
      <c r="AX97" s="1630"/>
      <c r="AY97" s="1695" t="str">
        <f>IFERROR(IFERROR('Multi-Customer'!$CV$45,VLOOKUP($D97,'Required Info to Submit'!$E$23:$J$32,6,FALSE)),"")</f>
        <v/>
      </c>
      <c r="AZ97" s="1696"/>
      <c r="BA97" s="1696"/>
      <c r="BB97" s="1696"/>
      <c r="BC97" s="1697"/>
      <c r="BF97" s="138"/>
    </row>
    <row r="98" spans="2:58" x14ac:dyDescent="0.25">
      <c r="B98" s="137"/>
      <c r="C98" s="624">
        <v>4</v>
      </c>
      <c r="D98" s="1760">
        <f>'Customer Inputs'!$B$9</f>
        <v>0</v>
      </c>
      <c r="E98" s="1760"/>
      <c r="F98" s="1760"/>
      <c r="G98" s="1760"/>
      <c r="H98" s="1760"/>
      <c r="I98" s="1760"/>
      <c r="J98" s="1760"/>
      <c r="K98" s="1704" t="str">
        <f>IFERROR(IFERROR('Multi-Customer'!$DS$39,VLOOKUP($D98,'Required Info to Submit'!$E$23:$J$32,2,FALSE)),"")</f>
        <v/>
      </c>
      <c r="L98" s="1704"/>
      <c r="M98" s="1704"/>
      <c r="N98" s="1704"/>
      <c r="O98" s="1704"/>
      <c r="P98" s="1704"/>
      <c r="Q98" s="1704"/>
      <c r="R98" s="1704"/>
      <c r="S98" s="1704"/>
      <c r="T98" s="1704"/>
      <c r="U98" s="1704" t="str">
        <f>IFERROR(IFERROR('Multi-Customer'!$DS$41&amp;" "&amp;'Multi-Customer'!$DS$42,VLOOKUP($D98,'Required Info to Submit'!$E$23:$J$32,3,FALSE)),"")</f>
        <v/>
      </c>
      <c r="V98" s="1704"/>
      <c r="W98" s="1704"/>
      <c r="X98" s="1704"/>
      <c r="Y98" s="1704"/>
      <c r="Z98" s="1704"/>
      <c r="AA98" s="1704"/>
      <c r="AB98" s="1704"/>
      <c r="AC98" s="1704"/>
      <c r="AD98" s="1704"/>
      <c r="AE98" s="1704"/>
      <c r="AF98" s="1704"/>
      <c r="AG98" s="1704"/>
      <c r="AH98" s="1704"/>
      <c r="AI98" s="1704"/>
      <c r="AJ98" s="1775" t="str">
        <f>IFERROR(IFERROR('Multi-Customer'!$DS$43,VLOOKUP($D98,'Required Info to Submit'!$E$23:$J$32,4,FALSE)),"")</f>
        <v/>
      </c>
      <c r="AK98" s="1776"/>
      <c r="AL98" s="1776"/>
      <c r="AM98" s="1776"/>
      <c r="AN98" s="1776"/>
      <c r="AO98" s="1776"/>
      <c r="AP98" s="1776"/>
      <c r="AQ98" s="1776"/>
      <c r="AR98" s="1776"/>
      <c r="AS98" s="1776"/>
      <c r="AT98" s="1777"/>
      <c r="AU98" s="1628" t="str">
        <f>IFERROR(IFERROR('Multi-Customer'!$DS$44,VLOOKUP($D98,'Required Info to Submit'!$E$23:$J$32,5,FALSE)),"")</f>
        <v/>
      </c>
      <c r="AV98" s="1629"/>
      <c r="AW98" s="1629"/>
      <c r="AX98" s="1630"/>
      <c r="AY98" s="1695" t="str">
        <f>IFERROR(IFERROR('Multi-Customer'!$DS$45,VLOOKUP($D98,'Required Info to Submit'!$E$23:$J$32,6,FALSE)),"")</f>
        <v/>
      </c>
      <c r="AZ98" s="1696"/>
      <c r="BA98" s="1696"/>
      <c r="BB98" s="1696"/>
      <c r="BC98" s="1697"/>
      <c r="BF98" s="138"/>
    </row>
    <row r="99" spans="2:58" x14ac:dyDescent="0.25">
      <c r="B99" s="137"/>
      <c r="C99" s="624">
        <v>5</v>
      </c>
      <c r="D99" s="1760">
        <f>'Customer Inputs'!$B$10</f>
        <v>0</v>
      </c>
      <c r="E99" s="1760"/>
      <c r="F99" s="1760"/>
      <c r="G99" s="1760"/>
      <c r="H99" s="1760"/>
      <c r="I99" s="1760"/>
      <c r="J99" s="1760"/>
      <c r="K99" s="1704" t="str">
        <f>IFERROR(IFERROR('Multi-Customer'!$EP$39,VLOOKUP($D99,'Required Info to Submit'!$E$23:$J$32,2,FALSE)),"")</f>
        <v/>
      </c>
      <c r="L99" s="1704"/>
      <c r="M99" s="1704"/>
      <c r="N99" s="1704"/>
      <c r="O99" s="1704"/>
      <c r="P99" s="1704"/>
      <c r="Q99" s="1704"/>
      <c r="R99" s="1704"/>
      <c r="S99" s="1704"/>
      <c r="T99" s="1704"/>
      <c r="U99" s="1704" t="str">
        <f>IFERROR(IFERROR('Multi-Customer'!$EP$41&amp;" "&amp;'Multi-Customer'!$EP$42,VLOOKUP($D99,'Required Info to Submit'!$E$23:$J$32,3,FALSE)),"")</f>
        <v/>
      </c>
      <c r="V99" s="1704"/>
      <c r="W99" s="1704"/>
      <c r="X99" s="1704"/>
      <c r="Y99" s="1704"/>
      <c r="Z99" s="1704"/>
      <c r="AA99" s="1704"/>
      <c r="AB99" s="1704"/>
      <c r="AC99" s="1704"/>
      <c r="AD99" s="1704"/>
      <c r="AE99" s="1704"/>
      <c r="AF99" s="1704"/>
      <c r="AG99" s="1704"/>
      <c r="AH99" s="1704"/>
      <c r="AI99" s="1704"/>
      <c r="AJ99" s="1775" t="str">
        <f>IFERROR(IFERROR('Multi-Customer'!$EP$43,VLOOKUP($D99,'Required Info to Submit'!$E$23:$J$32,4,FALSE)),"")</f>
        <v/>
      </c>
      <c r="AK99" s="1776"/>
      <c r="AL99" s="1776"/>
      <c r="AM99" s="1776"/>
      <c r="AN99" s="1776"/>
      <c r="AO99" s="1776"/>
      <c r="AP99" s="1776"/>
      <c r="AQ99" s="1776"/>
      <c r="AR99" s="1776"/>
      <c r="AS99" s="1776"/>
      <c r="AT99" s="1777"/>
      <c r="AU99" s="1628" t="str">
        <f>IFERROR(IFERROR('Multi-Customer'!$EP$44,VLOOKUP($D99,'Required Info to Submit'!$E$23:$J$32,5,FALSE)),"")</f>
        <v/>
      </c>
      <c r="AV99" s="1629"/>
      <c r="AW99" s="1629"/>
      <c r="AX99" s="1630"/>
      <c r="AY99" s="1695" t="str">
        <f>IFERROR(IFERROR('Multi-Customer'!$EP$45,VLOOKUP($D99,'Required Info to Submit'!$E$23:$J$32,6,FALSE)),"")</f>
        <v/>
      </c>
      <c r="AZ99" s="1696"/>
      <c r="BA99" s="1696"/>
      <c r="BB99" s="1696"/>
      <c r="BC99" s="1697"/>
      <c r="BF99" s="138"/>
    </row>
    <row r="100" spans="2:58" x14ac:dyDescent="0.25">
      <c r="B100" s="137"/>
      <c r="C100" s="624">
        <v>6</v>
      </c>
      <c r="D100" s="1760">
        <f>'Customer Inputs'!$B$11</f>
        <v>0</v>
      </c>
      <c r="E100" s="1760"/>
      <c r="F100" s="1760"/>
      <c r="G100" s="1760"/>
      <c r="H100" s="1760"/>
      <c r="I100" s="1760"/>
      <c r="J100" s="1760"/>
      <c r="K100" s="1704" t="str">
        <f>IFERROR(IFERROR('Multi-Customer'!$FM$39,VLOOKUP($D100,'Required Info to Submit'!$E$23:$J$32,2,FALSE)),"")</f>
        <v/>
      </c>
      <c r="L100" s="1704"/>
      <c r="M100" s="1704"/>
      <c r="N100" s="1704"/>
      <c r="O100" s="1704"/>
      <c r="P100" s="1704"/>
      <c r="Q100" s="1704"/>
      <c r="R100" s="1704"/>
      <c r="S100" s="1704"/>
      <c r="T100" s="1704"/>
      <c r="U100" s="1704" t="str">
        <f>IFERROR(IFERROR('Multi-Customer'!$FM$41&amp;" "&amp;'Multi-Customer'!$FM$42,VLOOKUP($D100,'Required Info to Submit'!$E$23:$J$32,3,FALSE)),"")</f>
        <v/>
      </c>
      <c r="V100" s="1704"/>
      <c r="W100" s="1704"/>
      <c r="X100" s="1704"/>
      <c r="Y100" s="1704"/>
      <c r="Z100" s="1704"/>
      <c r="AA100" s="1704"/>
      <c r="AB100" s="1704"/>
      <c r="AC100" s="1704"/>
      <c r="AD100" s="1704"/>
      <c r="AE100" s="1704"/>
      <c r="AF100" s="1704"/>
      <c r="AG100" s="1704"/>
      <c r="AH100" s="1704"/>
      <c r="AI100" s="1704"/>
      <c r="AJ100" s="1775" t="str">
        <f>IFERROR(IFERROR('Multi-Customer'!$FM$43,VLOOKUP($D100,'Required Info to Submit'!$E$23:$J$32,4,FALSE)),"")</f>
        <v/>
      </c>
      <c r="AK100" s="1776"/>
      <c r="AL100" s="1776"/>
      <c r="AM100" s="1776"/>
      <c r="AN100" s="1776"/>
      <c r="AO100" s="1776"/>
      <c r="AP100" s="1776"/>
      <c r="AQ100" s="1776"/>
      <c r="AR100" s="1776"/>
      <c r="AS100" s="1776"/>
      <c r="AT100" s="1777"/>
      <c r="AU100" s="1628" t="str">
        <f>IFERROR(IFERROR('Multi-Customer'!$FM$44,VLOOKUP($D100,'Required Info to Submit'!$E$23:$J$32,5,FALSE)),"")</f>
        <v/>
      </c>
      <c r="AV100" s="1629"/>
      <c r="AW100" s="1629"/>
      <c r="AX100" s="1630"/>
      <c r="AY100" s="1695" t="str">
        <f>IFERROR(IFERROR('Multi-Customer'!$FM$45,VLOOKUP($D100,'Required Info to Submit'!$E$23:$J$32,6,FALSE)),"")</f>
        <v/>
      </c>
      <c r="AZ100" s="1696"/>
      <c r="BA100" s="1696"/>
      <c r="BB100" s="1696"/>
      <c r="BC100" s="1697"/>
      <c r="BF100" s="138"/>
    </row>
    <row r="101" spans="2:58" x14ac:dyDescent="0.25">
      <c r="B101" s="137"/>
      <c r="C101" s="624">
        <v>7</v>
      </c>
      <c r="D101" s="1760">
        <f>'Customer Inputs'!$B$12</f>
        <v>0</v>
      </c>
      <c r="E101" s="1760"/>
      <c r="F101" s="1760"/>
      <c r="G101" s="1760"/>
      <c r="H101" s="1760"/>
      <c r="I101" s="1760"/>
      <c r="J101" s="1760"/>
      <c r="K101" s="1704" t="str">
        <f>IFERROR(IFERROR('Multi-Customer'!$GJ$39,VLOOKUP($D101,'Required Info to Submit'!$E$23:$J$32,2,FALSE)),"")</f>
        <v/>
      </c>
      <c r="L101" s="1704"/>
      <c r="M101" s="1704"/>
      <c r="N101" s="1704"/>
      <c r="O101" s="1704"/>
      <c r="P101" s="1704"/>
      <c r="Q101" s="1704"/>
      <c r="R101" s="1704"/>
      <c r="S101" s="1704"/>
      <c r="T101" s="1704"/>
      <c r="U101" s="1704" t="str">
        <f>IFERROR(IFERROR('Multi-Customer'!$GJ$41&amp;" "&amp;'Multi-Customer'!$GJ$42,VLOOKUP($D101,'Required Info to Submit'!$E$23:$J$32,3,FALSE)),"")</f>
        <v/>
      </c>
      <c r="V101" s="1704"/>
      <c r="W101" s="1704"/>
      <c r="X101" s="1704"/>
      <c r="Y101" s="1704"/>
      <c r="Z101" s="1704"/>
      <c r="AA101" s="1704"/>
      <c r="AB101" s="1704"/>
      <c r="AC101" s="1704"/>
      <c r="AD101" s="1704"/>
      <c r="AE101" s="1704"/>
      <c r="AF101" s="1704"/>
      <c r="AG101" s="1704"/>
      <c r="AH101" s="1704"/>
      <c r="AI101" s="1704"/>
      <c r="AJ101" s="1775" t="str">
        <f>IFERROR(IFERROR('Multi-Customer'!$GJ$43,VLOOKUP($D101,'Required Info to Submit'!$E$23:$J$32,4,FALSE)),"")</f>
        <v/>
      </c>
      <c r="AK101" s="1776"/>
      <c r="AL101" s="1776"/>
      <c r="AM101" s="1776"/>
      <c r="AN101" s="1776"/>
      <c r="AO101" s="1776"/>
      <c r="AP101" s="1776"/>
      <c r="AQ101" s="1776"/>
      <c r="AR101" s="1776"/>
      <c r="AS101" s="1776"/>
      <c r="AT101" s="1777"/>
      <c r="AU101" s="1628" t="str">
        <f>IFERROR(IFERROR('Multi-Customer'!$GJ$44,VLOOKUP($D101,'Required Info to Submit'!$E$23:$J$32,5,FALSE)),"")</f>
        <v/>
      </c>
      <c r="AV101" s="1629"/>
      <c r="AW101" s="1629"/>
      <c r="AX101" s="1630"/>
      <c r="AY101" s="1695" t="str">
        <f>IFERROR(IFERROR('Multi-Customer'!$GJ$45,VLOOKUP($D101,'Required Info to Submit'!$E$23:$J$32,6,FALSE)),"")</f>
        <v/>
      </c>
      <c r="AZ101" s="1696"/>
      <c r="BA101" s="1696"/>
      <c r="BB101" s="1696"/>
      <c r="BC101" s="1697"/>
      <c r="BF101" s="138"/>
    </row>
    <row r="102" spans="2:58" x14ac:dyDescent="0.25">
      <c r="B102" s="137"/>
      <c r="C102" s="624">
        <v>8</v>
      </c>
      <c r="D102" s="1760">
        <f>'Customer Inputs'!$B$13</f>
        <v>0</v>
      </c>
      <c r="E102" s="1760"/>
      <c r="F102" s="1760"/>
      <c r="G102" s="1760"/>
      <c r="H102" s="1760"/>
      <c r="I102" s="1760"/>
      <c r="J102" s="1760"/>
      <c r="K102" s="1704" t="str">
        <f>IFERROR(IFERROR('Multi-Customer'!$HG$39,VLOOKUP($D102,'Required Info to Submit'!$E$23:$J$32,2,FALSE)),"")</f>
        <v/>
      </c>
      <c r="L102" s="1704"/>
      <c r="M102" s="1704"/>
      <c r="N102" s="1704"/>
      <c r="O102" s="1704"/>
      <c r="P102" s="1704"/>
      <c r="Q102" s="1704"/>
      <c r="R102" s="1704"/>
      <c r="S102" s="1704"/>
      <c r="T102" s="1704"/>
      <c r="U102" s="1704" t="str">
        <f>IFERROR(IFERROR('Multi-Customer'!$HG$41&amp;" "&amp;'Multi-Customer'!$HG$42,VLOOKUP($D102,'Required Info to Submit'!$E$23:$J$32,3,FALSE)),"")</f>
        <v/>
      </c>
      <c r="V102" s="1704"/>
      <c r="W102" s="1704"/>
      <c r="X102" s="1704"/>
      <c r="Y102" s="1704"/>
      <c r="Z102" s="1704"/>
      <c r="AA102" s="1704"/>
      <c r="AB102" s="1704"/>
      <c r="AC102" s="1704"/>
      <c r="AD102" s="1704"/>
      <c r="AE102" s="1704"/>
      <c r="AF102" s="1704"/>
      <c r="AG102" s="1704"/>
      <c r="AH102" s="1704"/>
      <c r="AI102" s="1704"/>
      <c r="AJ102" s="1775" t="str">
        <f>IFERROR(IFERROR('Multi-Customer'!$HG$43,VLOOKUP($D102,'Required Info to Submit'!$E$23:$J$32,4,FALSE)),"")</f>
        <v/>
      </c>
      <c r="AK102" s="1776"/>
      <c r="AL102" s="1776"/>
      <c r="AM102" s="1776"/>
      <c r="AN102" s="1776"/>
      <c r="AO102" s="1776"/>
      <c r="AP102" s="1776"/>
      <c r="AQ102" s="1776"/>
      <c r="AR102" s="1776"/>
      <c r="AS102" s="1776"/>
      <c r="AT102" s="1777"/>
      <c r="AU102" s="1628" t="str">
        <f>IFERROR(IFERROR('Multi-Customer'!$HG$44,VLOOKUP($D102,'Required Info to Submit'!$E$23:$J$32,5,FALSE)),"")</f>
        <v/>
      </c>
      <c r="AV102" s="1629"/>
      <c r="AW102" s="1629"/>
      <c r="AX102" s="1630"/>
      <c r="AY102" s="1695" t="str">
        <f>IFERROR(IFERROR('Multi-Customer'!$HG$45,VLOOKUP($D102,'Required Info to Submit'!$E$23:$J$32,6,FALSE)),"")</f>
        <v/>
      </c>
      <c r="AZ102" s="1696"/>
      <c r="BA102" s="1696"/>
      <c r="BB102" s="1696"/>
      <c r="BC102" s="1697"/>
      <c r="BF102" s="138"/>
    </row>
    <row r="103" spans="2:58" x14ac:dyDescent="0.25">
      <c r="B103" s="137"/>
      <c r="C103" s="624">
        <v>9</v>
      </c>
      <c r="D103" s="1760">
        <f>'Customer Inputs'!$B$14</f>
        <v>0</v>
      </c>
      <c r="E103" s="1760"/>
      <c r="F103" s="1760"/>
      <c r="G103" s="1760"/>
      <c r="H103" s="1760"/>
      <c r="I103" s="1760"/>
      <c r="J103" s="1760"/>
      <c r="K103" s="1704" t="str">
        <f>IFERROR(IFERROR('Multi-Customer'!$ID$39,VLOOKUP($D103,'Required Info to Submit'!$E$23:$J$32,2,FALSE)),"")</f>
        <v/>
      </c>
      <c r="L103" s="1704"/>
      <c r="M103" s="1704"/>
      <c r="N103" s="1704"/>
      <c r="O103" s="1704"/>
      <c r="P103" s="1704"/>
      <c r="Q103" s="1704"/>
      <c r="R103" s="1704"/>
      <c r="S103" s="1704"/>
      <c r="T103" s="1704"/>
      <c r="U103" s="1704" t="str">
        <f>IFERROR(IFERROR('Multi-Customer'!$ID$41&amp;" "&amp;'Multi-Customer'!$ID$42,VLOOKUP($D103,'Required Info to Submit'!$E$23:$J$32,3,FALSE)),"")</f>
        <v/>
      </c>
      <c r="V103" s="1704"/>
      <c r="W103" s="1704"/>
      <c r="X103" s="1704"/>
      <c r="Y103" s="1704"/>
      <c r="Z103" s="1704"/>
      <c r="AA103" s="1704"/>
      <c r="AB103" s="1704"/>
      <c r="AC103" s="1704"/>
      <c r="AD103" s="1704"/>
      <c r="AE103" s="1704"/>
      <c r="AF103" s="1704"/>
      <c r="AG103" s="1704"/>
      <c r="AH103" s="1704"/>
      <c r="AI103" s="1704"/>
      <c r="AJ103" s="1775" t="str">
        <f>IFERROR(IFERROR('Multi-Customer'!$ID$43,VLOOKUP($D103,'Required Info to Submit'!$E$23:$J$32,4,FALSE)),"")</f>
        <v/>
      </c>
      <c r="AK103" s="1776"/>
      <c r="AL103" s="1776"/>
      <c r="AM103" s="1776"/>
      <c r="AN103" s="1776"/>
      <c r="AO103" s="1776"/>
      <c r="AP103" s="1776"/>
      <c r="AQ103" s="1776"/>
      <c r="AR103" s="1776"/>
      <c r="AS103" s="1776"/>
      <c r="AT103" s="1777"/>
      <c r="AU103" s="1628" t="str">
        <f>IFERROR(IFERROR('Multi-Customer'!$ID$44,VLOOKUP($D103,'Required Info to Submit'!$E$23:$J$32,5,FALSE)),"")</f>
        <v/>
      </c>
      <c r="AV103" s="1629"/>
      <c r="AW103" s="1629"/>
      <c r="AX103" s="1630"/>
      <c r="AY103" s="1695" t="str">
        <f>IFERROR(IFERROR('Multi-Customer'!$ID$45,VLOOKUP($D103,'Required Info to Submit'!$E$23:$J$32,6,FALSE)),"")</f>
        <v/>
      </c>
      <c r="AZ103" s="1696"/>
      <c r="BA103" s="1696"/>
      <c r="BB103" s="1696"/>
      <c r="BC103" s="1697"/>
      <c r="BF103" s="138"/>
    </row>
    <row r="104" spans="2:58" ht="15.75" thickBot="1" x14ac:dyDescent="0.3">
      <c r="B104" s="137"/>
      <c r="C104" s="625">
        <v>10</v>
      </c>
      <c r="D104" s="1771">
        <f>'Customer Inputs'!$B$15</f>
        <v>0</v>
      </c>
      <c r="E104" s="1771"/>
      <c r="F104" s="1771"/>
      <c r="G104" s="1771"/>
      <c r="H104" s="1771"/>
      <c r="I104" s="1771"/>
      <c r="J104" s="1771"/>
      <c r="K104" s="1770" t="str">
        <f>IFERROR(IFERROR('Multi-Customer'!$JA$39,VLOOKUP($D104,'Required Info to Submit'!$E$23:$J$32,2,FALSE)),"")</f>
        <v/>
      </c>
      <c r="L104" s="1770"/>
      <c r="M104" s="1770"/>
      <c r="N104" s="1770"/>
      <c r="O104" s="1770"/>
      <c r="P104" s="1770"/>
      <c r="Q104" s="1770"/>
      <c r="R104" s="1770"/>
      <c r="S104" s="1770"/>
      <c r="T104" s="1770"/>
      <c r="U104" s="1770" t="str">
        <f>IFERROR(IFERROR('Multi-Customer'!$JA$41&amp;" "&amp;'Multi-Customer'!$JA$42,VLOOKUP($D104,'Required Info to Submit'!$E$23:$J$32,3,FALSE)),"")</f>
        <v/>
      </c>
      <c r="V104" s="1770"/>
      <c r="W104" s="1770"/>
      <c r="X104" s="1770"/>
      <c r="Y104" s="1770"/>
      <c r="Z104" s="1770"/>
      <c r="AA104" s="1770"/>
      <c r="AB104" s="1770"/>
      <c r="AC104" s="1770"/>
      <c r="AD104" s="1770"/>
      <c r="AE104" s="1770"/>
      <c r="AF104" s="1770"/>
      <c r="AG104" s="1770"/>
      <c r="AH104" s="1770"/>
      <c r="AI104" s="1770"/>
      <c r="AJ104" s="1772" t="str">
        <f>IFERROR(IFERROR('Multi-Customer'!$JA$43,VLOOKUP($D104,'Required Info to Submit'!$E$23:$J$32,4,FALSE)),"")</f>
        <v/>
      </c>
      <c r="AK104" s="1773"/>
      <c r="AL104" s="1773"/>
      <c r="AM104" s="1773"/>
      <c r="AN104" s="1773"/>
      <c r="AO104" s="1773"/>
      <c r="AP104" s="1773"/>
      <c r="AQ104" s="1773"/>
      <c r="AR104" s="1773"/>
      <c r="AS104" s="1773"/>
      <c r="AT104" s="1774"/>
      <c r="AU104" s="1792" t="str">
        <f>IFERROR(IFERROR('Multi-Customer'!$JA$44,VLOOKUP($D104,'Required Info to Submit'!$E$23:$J$32,5,FALSE)),"")</f>
        <v/>
      </c>
      <c r="AV104" s="1793"/>
      <c r="AW104" s="1793"/>
      <c r="AX104" s="1794"/>
      <c r="AY104" s="1785" t="str">
        <f>IFERROR(IFERROR('Multi-Customer'!$JA$45,VLOOKUP($D104,'Required Info to Submit'!$E$23:$J$32,6,FALSE)),"")</f>
        <v/>
      </c>
      <c r="AZ104" s="1786"/>
      <c r="BA104" s="1786"/>
      <c r="BB104" s="1786"/>
      <c r="BC104" s="1787"/>
      <c r="BF104" s="138"/>
    </row>
    <row r="105" spans="2:58" x14ac:dyDescent="0.25">
      <c r="B105" s="137"/>
      <c r="BF105" s="138"/>
    </row>
    <row r="106" spans="2:58" x14ac:dyDescent="0.25">
      <c r="B106" s="137"/>
      <c r="BF106" s="138"/>
    </row>
    <row r="107" spans="2:58" ht="18.75" x14ac:dyDescent="0.3">
      <c r="B107" s="1748" t="s">
        <v>1015</v>
      </c>
      <c r="C107" s="1749"/>
      <c r="D107" s="1749"/>
      <c r="E107" s="1749"/>
      <c r="F107" s="1749"/>
      <c r="G107" s="1749"/>
      <c r="H107" s="1749"/>
      <c r="I107" s="1749"/>
      <c r="J107" s="1749"/>
      <c r="K107" s="1749"/>
      <c r="L107" s="1749"/>
      <c r="M107" s="1749"/>
      <c r="N107" s="1749"/>
      <c r="O107" s="1749"/>
      <c r="P107" s="1749"/>
      <c r="Q107" s="1749"/>
      <c r="R107" s="1749"/>
      <c r="S107" s="1749"/>
      <c r="T107" s="1749"/>
      <c r="U107" s="1749"/>
      <c r="V107" s="1749"/>
      <c r="W107" s="1749"/>
      <c r="X107" s="1749"/>
      <c r="Y107" s="1749"/>
      <c r="Z107" s="1749"/>
      <c r="AA107" s="1749"/>
      <c r="AB107" s="1749"/>
      <c r="AC107" s="1749"/>
      <c r="AD107" s="1749"/>
      <c r="AE107" s="1749"/>
      <c r="AF107" s="1749"/>
      <c r="AG107" s="1749"/>
      <c r="AH107" s="1749"/>
      <c r="AI107" s="1749"/>
      <c r="AJ107" s="1749"/>
      <c r="AK107" s="1749"/>
      <c r="AL107" s="1749"/>
      <c r="AM107" s="1749"/>
      <c r="AN107" s="1749"/>
      <c r="AO107" s="1749"/>
      <c r="AP107" s="1749"/>
      <c r="AQ107" s="1749"/>
      <c r="AR107" s="1749"/>
      <c r="AS107" s="1749"/>
      <c r="AT107" s="1749"/>
      <c r="AU107" s="1749"/>
      <c r="AV107" s="1749"/>
      <c r="AW107" s="1749"/>
      <c r="AX107" s="1749"/>
      <c r="AY107" s="1749"/>
      <c r="AZ107" s="1749"/>
      <c r="BA107" s="1749"/>
      <c r="BB107" s="1749"/>
      <c r="BC107" s="1749"/>
      <c r="BD107" s="1749"/>
      <c r="BE107" s="1749"/>
      <c r="BF107" s="1750"/>
    </row>
    <row r="108" spans="2:58" ht="15.75" thickBot="1" x14ac:dyDescent="0.3">
      <c r="B108" s="137"/>
      <c r="BF108" s="138"/>
    </row>
    <row r="109" spans="2:58" ht="29.45" customHeight="1" thickBot="1" x14ac:dyDescent="0.3">
      <c r="B109" s="669" t="s">
        <v>1008</v>
      </c>
      <c r="D109" s="242"/>
      <c r="E109" s="242"/>
      <c r="F109" s="242"/>
      <c r="G109" s="242"/>
      <c r="H109" s="242"/>
      <c r="I109" s="242"/>
      <c r="J109" s="242"/>
      <c r="K109" s="242"/>
      <c r="L109" s="242"/>
      <c r="M109" s="242"/>
      <c r="N109" s="242"/>
      <c r="O109" s="242"/>
      <c r="P109" s="242"/>
      <c r="Q109" s="242"/>
      <c r="R109" s="242"/>
      <c r="S109" s="242"/>
      <c r="T109" s="242"/>
      <c r="U109" s="1719" t="s">
        <v>1016</v>
      </c>
      <c r="V109" s="1690"/>
      <c r="W109" s="1690"/>
      <c r="X109" s="1690"/>
      <c r="Y109" s="1690"/>
      <c r="Z109" s="1690" t="s">
        <v>1009</v>
      </c>
      <c r="AA109" s="1690"/>
      <c r="AB109" s="1690"/>
      <c r="AC109" s="1690"/>
      <c r="AD109" s="1690"/>
      <c r="AE109" s="1690"/>
      <c r="AF109" s="1690" t="s">
        <v>1010</v>
      </c>
      <c r="AG109" s="1690"/>
      <c r="AH109" s="1690"/>
      <c r="AI109" s="1690"/>
      <c r="AJ109" s="1690"/>
      <c r="AK109" s="1690"/>
      <c r="AL109" s="1690"/>
      <c r="AM109" s="1690" t="s">
        <v>1013</v>
      </c>
      <c r="AN109" s="1690"/>
      <c r="AO109" s="1690"/>
      <c r="AP109" s="1690"/>
      <c r="AQ109" s="1690"/>
      <c r="AR109" s="1690"/>
      <c r="AS109" s="1691"/>
      <c r="AT109" s="242"/>
      <c r="AU109" s="242"/>
      <c r="AV109" s="242"/>
      <c r="AW109" s="242"/>
      <c r="AX109" s="242"/>
      <c r="AY109" s="242"/>
      <c r="AZ109" s="242"/>
      <c r="BA109" s="242"/>
      <c r="BB109" s="242"/>
      <c r="BC109" s="242"/>
      <c r="BD109" s="242"/>
      <c r="BE109" s="242"/>
      <c r="BF109" s="628"/>
    </row>
    <row r="110" spans="2:58" x14ac:dyDescent="0.25">
      <c r="B110" s="137"/>
      <c r="D110" s="1716" t="s">
        <v>99</v>
      </c>
      <c r="E110" s="1717"/>
      <c r="F110" s="1717"/>
      <c r="G110" s="1717"/>
      <c r="H110" s="1717"/>
      <c r="I110" s="1717"/>
      <c r="J110" s="1717"/>
      <c r="K110" s="1717"/>
      <c r="L110" s="1717"/>
      <c r="M110" s="1717"/>
      <c r="N110" s="1717"/>
      <c r="O110" s="1717"/>
      <c r="P110" s="1717"/>
      <c r="Q110" s="1717"/>
      <c r="R110" s="1717"/>
      <c r="S110" s="1717"/>
      <c r="T110" s="1718"/>
      <c r="U110" s="1707" t="str">
        <f>IF('PIM Model'!$B$10=0,"",'PIM Model'!$B$10)</f>
        <v/>
      </c>
      <c r="V110" s="1708"/>
      <c r="W110" s="1708"/>
      <c r="X110" s="1708"/>
      <c r="Y110" s="1708"/>
      <c r="Z110" s="1708" t="str">
        <f>'PIM Model'!$AF$10</f>
        <v/>
      </c>
      <c r="AA110" s="1708"/>
      <c r="AB110" s="1708"/>
      <c r="AC110" s="1708"/>
      <c r="AD110" s="1708"/>
      <c r="AE110" s="1708"/>
      <c r="AF110" s="1692" t="str">
        <f>'PIM Model'!$AG$10</f>
        <v/>
      </c>
      <c r="AG110" s="1693"/>
      <c r="AH110" s="1693"/>
      <c r="AI110" s="1693"/>
      <c r="AJ110" s="1693"/>
      <c r="AK110" s="1693"/>
      <c r="AL110" s="1700"/>
      <c r="AM110" s="1692" t="str">
        <f>'PIM Model'!$AH$10</f>
        <v/>
      </c>
      <c r="AN110" s="1693"/>
      <c r="AO110" s="1693"/>
      <c r="AP110" s="1693"/>
      <c r="AQ110" s="1693"/>
      <c r="AR110" s="1693"/>
      <c r="AS110" s="1694"/>
      <c r="BF110" s="138"/>
    </row>
    <row r="111" spans="2:58" x14ac:dyDescent="0.25">
      <c r="B111" s="137"/>
      <c r="D111" s="1703" t="s">
        <v>103</v>
      </c>
      <c r="E111" s="1704"/>
      <c r="F111" s="1704"/>
      <c r="G111" s="1704"/>
      <c r="H111" s="1704"/>
      <c r="I111" s="1704"/>
      <c r="J111" s="1704"/>
      <c r="K111" s="1704"/>
      <c r="L111" s="1704"/>
      <c r="M111" s="1704"/>
      <c r="N111" s="1704"/>
      <c r="O111" s="1704"/>
      <c r="P111" s="1704"/>
      <c r="Q111" s="1704"/>
      <c r="R111" s="1704"/>
      <c r="S111" s="1704"/>
      <c r="T111" s="1705"/>
      <c r="U111" s="1702" t="str">
        <f>IF('PIM Model'!$B$11=0,"",'PIM Model'!$B$11)</f>
        <v/>
      </c>
      <c r="V111" s="1627"/>
      <c r="W111" s="1627"/>
      <c r="X111" s="1627"/>
      <c r="Y111" s="1627"/>
      <c r="Z111" s="1627" t="str">
        <f>'PIM Model'!$AF$11</f>
        <v/>
      </c>
      <c r="AA111" s="1627"/>
      <c r="AB111" s="1627"/>
      <c r="AC111" s="1627"/>
      <c r="AD111" s="1627"/>
      <c r="AE111" s="1627"/>
      <c r="AF111" s="1695" t="str">
        <f>'PIM Model'!$AG$11</f>
        <v/>
      </c>
      <c r="AG111" s="1696"/>
      <c r="AH111" s="1696"/>
      <c r="AI111" s="1696"/>
      <c r="AJ111" s="1696"/>
      <c r="AK111" s="1696"/>
      <c r="AL111" s="1701"/>
      <c r="AM111" s="1695" t="str">
        <f>'PIM Model'!$AH$11</f>
        <v/>
      </c>
      <c r="AN111" s="1696"/>
      <c r="AO111" s="1696"/>
      <c r="AP111" s="1696"/>
      <c r="AQ111" s="1696"/>
      <c r="AR111" s="1696"/>
      <c r="AS111" s="1697"/>
      <c r="BF111" s="138"/>
    </row>
    <row r="112" spans="2:58" x14ac:dyDescent="0.25">
      <c r="B112" s="137"/>
      <c r="D112" s="1703" t="s">
        <v>1389</v>
      </c>
      <c r="E112" s="1704"/>
      <c r="F112" s="1704"/>
      <c r="G112" s="1704"/>
      <c r="H112" s="1704"/>
      <c r="I112" s="1704"/>
      <c r="J112" s="1704"/>
      <c r="K112" s="1704"/>
      <c r="L112" s="1704"/>
      <c r="M112" s="1704"/>
      <c r="N112" s="1704"/>
      <c r="O112" s="1704"/>
      <c r="P112" s="1704"/>
      <c r="Q112" s="1704"/>
      <c r="R112" s="1704"/>
      <c r="S112" s="1704"/>
      <c r="T112" s="1705"/>
      <c r="U112" s="1702" t="str">
        <f>IF('PIM Model'!$B$12=0,"",'PIM Model'!$B$12)</f>
        <v/>
      </c>
      <c r="V112" s="1627"/>
      <c r="W112" s="1627"/>
      <c r="X112" s="1627"/>
      <c r="Y112" s="1627"/>
      <c r="Z112" s="1627" t="str">
        <f>'PIM Model'!$AF$12</f>
        <v/>
      </c>
      <c r="AA112" s="1627"/>
      <c r="AB112" s="1627"/>
      <c r="AC112" s="1627"/>
      <c r="AD112" s="1627"/>
      <c r="AE112" s="1627"/>
      <c r="AF112" s="1695" t="str">
        <f>'PIM Model'!$AG$12</f>
        <v/>
      </c>
      <c r="AG112" s="1696"/>
      <c r="AH112" s="1696"/>
      <c r="AI112" s="1696"/>
      <c r="AJ112" s="1696"/>
      <c r="AK112" s="1696"/>
      <c r="AL112" s="1701"/>
      <c r="AM112" s="1695" t="str">
        <f>'PIM Model'!$AH$12</f>
        <v/>
      </c>
      <c r="AN112" s="1696"/>
      <c r="AO112" s="1696"/>
      <c r="AP112" s="1696"/>
      <c r="AQ112" s="1696"/>
      <c r="AR112" s="1696"/>
      <c r="AS112" s="1697"/>
      <c r="BF112" s="138"/>
    </row>
    <row r="113" spans="2:58" x14ac:dyDescent="0.25">
      <c r="B113" s="137"/>
      <c r="D113" s="1703" t="s">
        <v>102</v>
      </c>
      <c r="E113" s="1704"/>
      <c r="F113" s="1704"/>
      <c r="G113" s="1704"/>
      <c r="H113" s="1704"/>
      <c r="I113" s="1704"/>
      <c r="J113" s="1704"/>
      <c r="K113" s="1704"/>
      <c r="L113" s="1704"/>
      <c r="M113" s="1704"/>
      <c r="N113" s="1704"/>
      <c r="O113" s="1704"/>
      <c r="P113" s="1704"/>
      <c r="Q113" s="1704"/>
      <c r="R113" s="1704"/>
      <c r="S113" s="1704"/>
      <c r="T113" s="1705"/>
      <c r="U113" s="1702" t="str">
        <f>IF('PIM Model'!$B$13=0,"",'PIM Model'!$B$13)</f>
        <v/>
      </c>
      <c r="V113" s="1627"/>
      <c r="W113" s="1627"/>
      <c r="X113" s="1627"/>
      <c r="Y113" s="1627"/>
      <c r="Z113" s="1627" t="str">
        <f>'PIM Model'!$AF$13</f>
        <v/>
      </c>
      <c r="AA113" s="1627"/>
      <c r="AB113" s="1627"/>
      <c r="AC113" s="1627"/>
      <c r="AD113" s="1627"/>
      <c r="AE113" s="1627"/>
      <c r="AF113" s="1695" t="str">
        <f>'PIM Model'!$AG$13</f>
        <v/>
      </c>
      <c r="AG113" s="1696"/>
      <c r="AH113" s="1696"/>
      <c r="AI113" s="1696"/>
      <c r="AJ113" s="1696"/>
      <c r="AK113" s="1696"/>
      <c r="AL113" s="1701"/>
      <c r="AM113" s="1695" t="str">
        <f>'PIM Model'!$AH$13</f>
        <v/>
      </c>
      <c r="AN113" s="1696"/>
      <c r="AO113" s="1696"/>
      <c r="AP113" s="1696"/>
      <c r="AQ113" s="1696"/>
      <c r="AR113" s="1696"/>
      <c r="AS113" s="1697"/>
      <c r="BF113" s="138"/>
    </row>
    <row r="114" spans="2:58" x14ac:dyDescent="0.25">
      <c r="B114" s="137"/>
      <c r="D114" s="1703" t="s">
        <v>100</v>
      </c>
      <c r="E114" s="1704"/>
      <c r="F114" s="1704"/>
      <c r="G114" s="1704"/>
      <c r="H114" s="1704"/>
      <c r="I114" s="1704"/>
      <c r="J114" s="1704"/>
      <c r="K114" s="1704"/>
      <c r="L114" s="1704"/>
      <c r="M114" s="1704"/>
      <c r="N114" s="1704"/>
      <c r="O114" s="1704"/>
      <c r="P114" s="1704"/>
      <c r="Q114" s="1704"/>
      <c r="R114" s="1704"/>
      <c r="S114" s="1704"/>
      <c r="T114" s="1705"/>
      <c r="U114" s="1702" t="str">
        <f>IF('PIM Model'!$B$14=0,"",'PIM Model'!$B$14)</f>
        <v/>
      </c>
      <c r="V114" s="1627"/>
      <c r="W114" s="1627"/>
      <c r="X114" s="1627"/>
      <c r="Y114" s="1627"/>
      <c r="Z114" s="1627" t="str">
        <f>'PIM Model'!$AF$14</f>
        <v/>
      </c>
      <c r="AA114" s="1627"/>
      <c r="AB114" s="1627"/>
      <c r="AC114" s="1627"/>
      <c r="AD114" s="1627"/>
      <c r="AE114" s="1627"/>
      <c r="AF114" s="1695" t="str">
        <f>'PIM Model'!$AG$14</f>
        <v/>
      </c>
      <c r="AG114" s="1696"/>
      <c r="AH114" s="1696"/>
      <c r="AI114" s="1696"/>
      <c r="AJ114" s="1696"/>
      <c r="AK114" s="1696"/>
      <c r="AL114" s="1701"/>
      <c r="AM114" s="1695" t="str">
        <f>'PIM Model'!$AH$14</f>
        <v/>
      </c>
      <c r="AN114" s="1696"/>
      <c r="AO114" s="1696"/>
      <c r="AP114" s="1696"/>
      <c r="AQ114" s="1696"/>
      <c r="AR114" s="1696"/>
      <c r="AS114" s="1697"/>
      <c r="BF114" s="138"/>
    </row>
    <row r="115" spans="2:58" x14ac:dyDescent="0.25">
      <c r="B115" s="137"/>
      <c r="D115" s="1703" t="s">
        <v>104</v>
      </c>
      <c r="E115" s="1704"/>
      <c r="F115" s="1704"/>
      <c r="G115" s="1704"/>
      <c r="H115" s="1704"/>
      <c r="I115" s="1704"/>
      <c r="J115" s="1704"/>
      <c r="K115" s="1704"/>
      <c r="L115" s="1704"/>
      <c r="M115" s="1704"/>
      <c r="N115" s="1704"/>
      <c r="O115" s="1704"/>
      <c r="P115" s="1704"/>
      <c r="Q115" s="1704"/>
      <c r="R115" s="1704"/>
      <c r="S115" s="1704"/>
      <c r="T115" s="1705"/>
      <c r="U115" s="1702" t="str">
        <f>IF('PIM Model'!$B$15=0,"",'PIM Model'!$B$15)</f>
        <v/>
      </c>
      <c r="V115" s="1627"/>
      <c r="W115" s="1627"/>
      <c r="X115" s="1627"/>
      <c r="Y115" s="1627"/>
      <c r="Z115" s="1627" t="str">
        <f>'PIM Model'!$AF$15</f>
        <v/>
      </c>
      <c r="AA115" s="1627"/>
      <c r="AB115" s="1627"/>
      <c r="AC115" s="1627"/>
      <c r="AD115" s="1627"/>
      <c r="AE115" s="1627"/>
      <c r="AF115" s="1695" t="str">
        <f>'PIM Model'!$AG$15</f>
        <v/>
      </c>
      <c r="AG115" s="1696"/>
      <c r="AH115" s="1696"/>
      <c r="AI115" s="1696"/>
      <c r="AJ115" s="1696"/>
      <c r="AK115" s="1696"/>
      <c r="AL115" s="1701"/>
      <c r="AM115" s="1695" t="str">
        <f>'PIM Model'!$AH$15</f>
        <v/>
      </c>
      <c r="AN115" s="1696"/>
      <c r="AO115" s="1696"/>
      <c r="AP115" s="1696"/>
      <c r="AQ115" s="1696"/>
      <c r="AR115" s="1696"/>
      <c r="AS115" s="1697"/>
      <c r="BF115" s="138"/>
    </row>
    <row r="116" spans="2:58" x14ac:dyDescent="0.25">
      <c r="B116" s="137"/>
      <c r="D116" s="1703" t="s">
        <v>98</v>
      </c>
      <c r="E116" s="1704"/>
      <c r="F116" s="1704"/>
      <c r="G116" s="1704"/>
      <c r="H116" s="1704"/>
      <c r="I116" s="1704"/>
      <c r="J116" s="1704"/>
      <c r="K116" s="1704"/>
      <c r="L116" s="1704"/>
      <c r="M116" s="1704"/>
      <c r="N116" s="1704"/>
      <c r="O116" s="1704"/>
      <c r="P116" s="1704"/>
      <c r="Q116" s="1704"/>
      <c r="R116" s="1704"/>
      <c r="S116" s="1704"/>
      <c r="T116" s="1705"/>
      <c r="U116" s="1702" t="str">
        <f>IF('PIM Model'!$B$16=0,"",'PIM Model'!$B$16)</f>
        <v/>
      </c>
      <c r="V116" s="1627"/>
      <c r="W116" s="1627"/>
      <c r="X116" s="1627"/>
      <c r="Y116" s="1627"/>
      <c r="Z116" s="1627" t="str">
        <f>'PIM Model'!$AF$16</f>
        <v/>
      </c>
      <c r="AA116" s="1627"/>
      <c r="AB116" s="1627"/>
      <c r="AC116" s="1627"/>
      <c r="AD116" s="1627"/>
      <c r="AE116" s="1627"/>
      <c r="AF116" s="1695" t="str">
        <f>'PIM Model'!$AG$16</f>
        <v/>
      </c>
      <c r="AG116" s="1696"/>
      <c r="AH116" s="1696"/>
      <c r="AI116" s="1696"/>
      <c r="AJ116" s="1696"/>
      <c r="AK116" s="1696"/>
      <c r="AL116" s="1701"/>
      <c r="AM116" s="1695" t="str">
        <f>'PIM Model'!$AH$16</f>
        <v/>
      </c>
      <c r="AN116" s="1696"/>
      <c r="AO116" s="1696"/>
      <c r="AP116" s="1696"/>
      <c r="AQ116" s="1696"/>
      <c r="AR116" s="1696"/>
      <c r="AS116" s="1697"/>
      <c r="BF116" s="138"/>
    </row>
    <row r="117" spans="2:58" x14ac:dyDescent="0.25">
      <c r="B117" s="137"/>
      <c r="D117" s="1703" t="s">
        <v>95</v>
      </c>
      <c r="E117" s="1704"/>
      <c r="F117" s="1704"/>
      <c r="G117" s="1704"/>
      <c r="H117" s="1704"/>
      <c r="I117" s="1704"/>
      <c r="J117" s="1704"/>
      <c r="K117" s="1704"/>
      <c r="L117" s="1704"/>
      <c r="M117" s="1704"/>
      <c r="N117" s="1704"/>
      <c r="O117" s="1704"/>
      <c r="P117" s="1704"/>
      <c r="Q117" s="1704"/>
      <c r="R117" s="1704"/>
      <c r="S117" s="1704"/>
      <c r="T117" s="1705"/>
      <c r="U117" s="1702" t="str">
        <f>IF('PIM Model'!$B$17=0,"",'PIM Model'!$B$17)</f>
        <v/>
      </c>
      <c r="V117" s="1627"/>
      <c r="W117" s="1627"/>
      <c r="X117" s="1627"/>
      <c r="Y117" s="1627"/>
      <c r="Z117" s="1627" t="str">
        <f>'PIM Model'!$AF$17</f>
        <v/>
      </c>
      <c r="AA117" s="1627"/>
      <c r="AB117" s="1627"/>
      <c r="AC117" s="1627"/>
      <c r="AD117" s="1627"/>
      <c r="AE117" s="1627"/>
      <c r="AF117" s="1695" t="str">
        <f>'PIM Model'!$AG$17</f>
        <v/>
      </c>
      <c r="AG117" s="1696"/>
      <c r="AH117" s="1696"/>
      <c r="AI117" s="1696"/>
      <c r="AJ117" s="1696"/>
      <c r="AK117" s="1696"/>
      <c r="AL117" s="1701"/>
      <c r="AM117" s="1695" t="str">
        <f>'PIM Model'!$AH$17</f>
        <v/>
      </c>
      <c r="AN117" s="1696"/>
      <c r="AO117" s="1696"/>
      <c r="AP117" s="1696"/>
      <c r="AQ117" s="1696"/>
      <c r="AR117" s="1696"/>
      <c r="AS117" s="1697"/>
      <c r="BF117" s="138"/>
    </row>
    <row r="118" spans="2:58" x14ac:dyDescent="0.25">
      <c r="B118" s="137"/>
      <c r="D118" s="1703" t="s">
        <v>96</v>
      </c>
      <c r="E118" s="1704"/>
      <c r="F118" s="1704"/>
      <c r="G118" s="1704"/>
      <c r="H118" s="1704"/>
      <c r="I118" s="1704"/>
      <c r="J118" s="1704"/>
      <c r="K118" s="1704"/>
      <c r="L118" s="1704"/>
      <c r="M118" s="1704"/>
      <c r="N118" s="1704"/>
      <c r="O118" s="1704"/>
      <c r="P118" s="1704"/>
      <c r="Q118" s="1704"/>
      <c r="R118" s="1704"/>
      <c r="S118" s="1704"/>
      <c r="T118" s="1705"/>
      <c r="U118" s="1702" t="str">
        <f>IF('PIM Model'!$B$18=0,"",'PIM Model'!$B$18)</f>
        <v/>
      </c>
      <c r="V118" s="1627"/>
      <c r="W118" s="1627"/>
      <c r="X118" s="1627"/>
      <c r="Y118" s="1627"/>
      <c r="Z118" s="1627" t="str">
        <f>'PIM Model'!$AF$18</f>
        <v/>
      </c>
      <c r="AA118" s="1627"/>
      <c r="AB118" s="1627"/>
      <c r="AC118" s="1627"/>
      <c r="AD118" s="1627"/>
      <c r="AE118" s="1627"/>
      <c r="AF118" s="1695" t="str">
        <f>'PIM Model'!$AG$18</f>
        <v/>
      </c>
      <c r="AG118" s="1696"/>
      <c r="AH118" s="1696"/>
      <c r="AI118" s="1696"/>
      <c r="AJ118" s="1696"/>
      <c r="AK118" s="1696"/>
      <c r="AL118" s="1701"/>
      <c r="AM118" s="1695" t="str">
        <f>'PIM Model'!$AH$18</f>
        <v/>
      </c>
      <c r="AN118" s="1696"/>
      <c r="AO118" s="1696"/>
      <c r="AP118" s="1696"/>
      <c r="AQ118" s="1696"/>
      <c r="AR118" s="1696"/>
      <c r="AS118" s="1697"/>
      <c r="BF118" s="138"/>
    </row>
    <row r="119" spans="2:58" x14ac:dyDescent="0.25">
      <c r="B119" s="137"/>
      <c r="D119" s="1703" t="s">
        <v>101</v>
      </c>
      <c r="E119" s="1704"/>
      <c r="F119" s="1704"/>
      <c r="G119" s="1704"/>
      <c r="H119" s="1704"/>
      <c r="I119" s="1704"/>
      <c r="J119" s="1704"/>
      <c r="K119" s="1704"/>
      <c r="L119" s="1704"/>
      <c r="M119" s="1704"/>
      <c r="N119" s="1704"/>
      <c r="O119" s="1704"/>
      <c r="P119" s="1704"/>
      <c r="Q119" s="1704"/>
      <c r="R119" s="1704"/>
      <c r="S119" s="1704"/>
      <c r="T119" s="1705"/>
      <c r="U119" s="1702" t="str">
        <f>IF('PIM Model'!$B$19=0,"",'PIM Model'!$B$19)</f>
        <v/>
      </c>
      <c r="V119" s="1627"/>
      <c r="W119" s="1627"/>
      <c r="X119" s="1627"/>
      <c r="Y119" s="1627"/>
      <c r="Z119" s="1627" t="str">
        <f>'PIM Model'!$AF$19</f>
        <v/>
      </c>
      <c r="AA119" s="1627"/>
      <c r="AB119" s="1627"/>
      <c r="AC119" s="1627"/>
      <c r="AD119" s="1627"/>
      <c r="AE119" s="1627"/>
      <c r="AF119" s="1695" t="str">
        <f>'PIM Model'!$AG$19</f>
        <v/>
      </c>
      <c r="AG119" s="1696"/>
      <c r="AH119" s="1696"/>
      <c r="AI119" s="1696"/>
      <c r="AJ119" s="1696"/>
      <c r="AK119" s="1696"/>
      <c r="AL119" s="1701"/>
      <c r="AM119" s="1695" t="str">
        <f>'PIM Model'!$AH$19</f>
        <v/>
      </c>
      <c r="AN119" s="1696"/>
      <c r="AO119" s="1696"/>
      <c r="AP119" s="1696"/>
      <c r="AQ119" s="1696"/>
      <c r="AR119" s="1696"/>
      <c r="AS119" s="1697"/>
      <c r="BF119" s="138"/>
    </row>
    <row r="120" spans="2:58" x14ac:dyDescent="0.25">
      <c r="B120" s="137"/>
      <c r="D120" s="1703" t="s">
        <v>97</v>
      </c>
      <c r="E120" s="1704"/>
      <c r="F120" s="1704"/>
      <c r="G120" s="1704"/>
      <c r="H120" s="1704"/>
      <c r="I120" s="1704"/>
      <c r="J120" s="1704"/>
      <c r="K120" s="1704"/>
      <c r="L120" s="1704"/>
      <c r="M120" s="1704"/>
      <c r="N120" s="1704"/>
      <c r="O120" s="1704"/>
      <c r="P120" s="1704"/>
      <c r="Q120" s="1704"/>
      <c r="R120" s="1704"/>
      <c r="S120" s="1704"/>
      <c r="T120" s="1705"/>
      <c r="U120" s="1702" t="str">
        <f>IF('PIM Model'!$B$20=0,"",'PIM Model'!$B$20)</f>
        <v/>
      </c>
      <c r="V120" s="1627"/>
      <c r="W120" s="1627"/>
      <c r="X120" s="1627"/>
      <c r="Y120" s="1627"/>
      <c r="Z120" s="1627" t="str">
        <f>'PIM Model'!$AF$20</f>
        <v/>
      </c>
      <c r="AA120" s="1627"/>
      <c r="AB120" s="1627"/>
      <c r="AC120" s="1627"/>
      <c r="AD120" s="1627"/>
      <c r="AE120" s="1627"/>
      <c r="AF120" s="1695" t="str">
        <f>'PIM Model'!$AG$20</f>
        <v/>
      </c>
      <c r="AG120" s="1696"/>
      <c r="AH120" s="1696"/>
      <c r="AI120" s="1696"/>
      <c r="AJ120" s="1696"/>
      <c r="AK120" s="1696"/>
      <c r="AL120" s="1701"/>
      <c r="AM120" s="1695" t="str">
        <f>'PIM Model'!$AH$20</f>
        <v/>
      </c>
      <c r="AN120" s="1696"/>
      <c r="AO120" s="1696"/>
      <c r="AP120" s="1696"/>
      <c r="AQ120" s="1696"/>
      <c r="AR120" s="1696"/>
      <c r="AS120" s="1697"/>
      <c r="BF120" s="138"/>
    </row>
    <row r="121" spans="2:58" x14ac:dyDescent="0.25">
      <c r="B121" s="137"/>
      <c r="D121" s="1703" t="s">
        <v>93</v>
      </c>
      <c r="E121" s="1704"/>
      <c r="F121" s="1704"/>
      <c r="G121" s="1704"/>
      <c r="H121" s="1704"/>
      <c r="I121" s="1704"/>
      <c r="J121" s="1704"/>
      <c r="K121" s="1704"/>
      <c r="L121" s="1704"/>
      <c r="M121" s="1704"/>
      <c r="N121" s="1704"/>
      <c r="O121" s="1704"/>
      <c r="P121" s="1704"/>
      <c r="Q121" s="1704"/>
      <c r="R121" s="1704"/>
      <c r="S121" s="1704"/>
      <c r="T121" s="1705"/>
      <c r="U121" s="1702" t="str">
        <f>IF('PIM Model'!$B$21=0,"",'PIM Model'!$B$21)</f>
        <v/>
      </c>
      <c r="V121" s="1627"/>
      <c r="W121" s="1627"/>
      <c r="X121" s="1627"/>
      <c r="Y121" s="1627"/>
      <c r="Z121" s="1627" t="str">
        <f>'PIM Model'!$AF$21</f>
        <v/>
      </c>
      <c r="AA121" s="1627"/>
      <c r="AB121" s="1627"/>
      <c r="AC121" s="1627"/>
      <c r="AD121" s="1627"/>
      <c r="AE121" s="1627"/>
      <c r="AF121" s="1695" t="str">
        <f>'PIM Model'!$AG$21</f>
        <v/>
      </c>
      <c r="AG121" s="1696"/>
      <c r="AH121" s="1696"/>
      <c r="AI121" s="1696"/>
      <c r="AJ121" s="1696"/>
      <c r="AK121" s="1696"/>
      <c r="AL121" s="1701"/>
      <c r="AM121" s="1695" t="str">
        <f>'PIM Model'!$AH$21</f>
        <v/>
      </c>
      <c r="AN121" s="1696"/>
      <c r="AO121" s="1696"/>
      <c r="AP121" s="1696"/>
      <c r="AQ121" s="1696"/>
      <c r="AR121" s="1696"/>
      <c r="AS121" s="1697"/>
      <c r="BF121" s="138"/>
    </row>
    <row r="122" spans="2:58" x14ac:dyDescent="0.25">
      <c r="B122" s="137"/>
      <c r="D122" s="1703" t="s">
        <v>105</v>
      </c>
      <c r="E122" s="1704"/>
      <c r="F122" s="1704"/>
      <c r="G122" s="1704"/>
      <c r="H122" s="1704"/>
      <c r="I122" s="1704"/>
      <c r="J122" s="1704"/>
      <c r="K122" s="1704"/>
      <c r="L122" s="1704"/>
      <c r="M122" s="1704"/>
      <c r="N122" s="1704"/>
      <c r="O122" s="1704"/>
      <c r="P122" s="1704"/>
      <c r="Q122" s="1704"/>
      <c r="R122" s="1704"/>
      <c r="S122" s="1704"/>
      <c r="T122" s="1705"/>
      <c r="U122" s="1702" t="str">
        <f>IF('PIM Model'!$B$22=0,"",'PIM Model'!$B$22)</f>
        <v/>
      </c>
      <c r="V122" s="1627"/>
      <c r="W122" s="1627"/>
      <c r="X122" s="1627"/>
      <c r="Y122" s="1627"/>
      <c r="Z122" s="1627" t="str">
        <f>'PIM Model'!$AF$22</f>
        <v/>
      </c>
      <c r="AA122" s="1627"/>
      <c r="AB122" s="1627"/>
      <c r="AC122" s="1627"/>
      <c r="AD122" s="1627"/>
      <c r="AE122" s="1627"/>
      <c r="AF122" s="1695" t="str">
        <f>'PIM Model'!$AG$22</f>
        <v/>
      </c>
      <c r="AG122" s="1696"/>
      <c r="AH122" s="1696"/>
      <c r="AI122" s="1696"/>
      <c r="AJ122" s="1696"/>
      <c r="AK122" s="1696"/>
      <c r="AL122" s="1701"/>
      <c r="AM122" s="1695" t="str">
        <f>'PIM Model'!$AH$22</f>
        <v/>
      </c>
      <c r="AN122" s="1696"/>
      <c r="AO122" s="1696"/>
      <c r="AP122" s="1696"/>
      <c r="AQ122" s="1696"/>
      <c r="AR122" s="1696"/>
      <c r="AS122" s="1697"/>
      <c r="BF122" s="138"/>
    </row>
    <row r="123" spans="2:58" x14ac:dyDescent="0.25">
      <c r="B123" s="137"/>
      <c r="D123" s="1703" t="s">
        <v>92</v>
      </c>
      <c r="E123" s="1704"/>
      <c r="F123" s="1704"/>
      <c r="G123" s="1704"/>
      <c r="H123" s="1704"/>
      <c r="I123" s="1704"/>
      <c r="J123" s="1704"/>
      <c r="K123" s="1704"/>
      <c r="L123" s="1704"/>
      <c r="M123" s="1704"/>
      <c r="N123" s="1704"/>
      <c r="O123" s="1704"/>
      <c r="P123" s="1704"/>
      <c r="Q123" s="1704"/>
      <c r="R123" s="1704"/>
      <c r="S123" s="1704"/>
      <c r="T123" s="1705"/>
      <c r="U123" s="1702" t="str">
        <f>IF('PIM Model'!$B$23=0,"",'PIM Model'!$B$23)</f>
        <v/>
      </c>
      <c r="V123" s="1627"/>
      <c r="W123" s="1627"/>
      <c r="X123" s="1627"/>
      <c r="Y123" s="1627"/>
      <c r="Z123" s="1627" t="str">
        <f>'PIM Model'!$AF$23</f>
        <v/>
      </c>
      <c r="AA123" s="1627"/>
      <c r="AB123" s="1627"/>
      <c r="AC123" s="1627"/>
      <c r="AD123" s="1627"/>
      <c r="AE123" s="1627"/>
      <c r="AF123" s="1695" t="str">
        <f>'PIM Model'!$AG$23</f>
        <v/>
      </c>
      <c r="AG123" s="1696"/>
      <c r="AH123" s="1696"/>
      <c r="AI123" s="1696"/>
      <c r="AJ123" s="1696"/>
      <c r="AK123" s="1696"/>
      <c r="AL123" s="1701"/>
      <c r="AM123" s="1695" t="str">
        <f>'PIM Model'!$AH$23</f>
        <v/>
      </c>
      <c r="AN123" s="1696"/>
      <c r="AO123" s="1696"/>
      <c r="AP123" s="1696"/>
      <c r="AQ123" s="1696"/>
      <c r="AR123" s="1696"/>
      <c r="AS123" s="1697"/>
      <c r="BF123" s="138"/>
    </row>
    <row r="124" spans="2:58" x14ac:dyDescent="0.25">
      <c r="B124" s="137"/>
      <c r="D124" s="1703" t="s">
        <v>91</v>
      </c>
      <c r="E124" s="1704"/>
      <c r="F124" s="1704"/>
      <c r="G124" s="1704"/>
      <c r="H124" s="1704"/>
      <c r="I124" s="1704"/>
      <c r="J124" s="1704"/>
      <c r="K124" s="1704"/>
      <c r="L124" s="1704"/>
      <c r="M124" s="1704"/>
      <c r="N124" s="1704"/>
      <c r="O124" s="1704"/>
      <c r="P124" s="1704"/>
      <c r="Q124" s="1704"/>
      <c r="R124" s="1704"/>
      <c r="S124" s="1704"/>
      <c r="T124" s="1705"/>
      <c r="U124" s="1702" t="str">
        <f>IF('PIM Model'!$B$24=0,"",'PIM Model'!$B$24)</f>
        <v/>
      </c>
      <c r="V124" s="1627"/>
      <c r="W124" s="1627"/>
      <c r="X124" s="1627"/>
      <c r="Y124" s="1627"/>
      <c r="Z124" s="1627" t="str">
        <f>'PIM Model'!$AF$24</f>
        <v/>
      </c>
      <c r="AA124" s="1627"/>
      <c r="AB124" s="1627"/>
      <c r="AC124" s="1627"/>
      <c r="AD124" s="1627"/>
      <c r="AE124" s="1627"/>
      <c r="AF124" s="1695" t="str">
        <f>'PIM Model'!$AG$24</f>
        <v/>
      </c>
      <c r="AG124" s="1696"/>
      <c r="AH124" s="1696"/>
      <c r="AI124" s="1696"/>
      <c r="AJ124" s="1696"/>
      <c r="AK124" s="1696"/>
      <c r="AL124" s="1701"/>
      <c r="AM124" s="1695" t="str">
        <f>'PIM Model'!$AH$24</f>
        <v/>
      </c>
      <c r="AN124" s="1696"/>
      <c r="AO124" s="1696"/>
      <c r="AP124" s="1696"/>
      <c r="AQ124" s="1696"/>
      <c r="AR124" s="1696"/>
      <c r="AS124" s="1697"/>
      <c r="BF124" s="138"/>
    </row>
    <row r="125" spans="2:58" x14ac:dyDescent="0.25">
      <c r="B125" s="137"/>
      <c r="D125" s="1703" t="s">
        <v>90</v>
      </c>
      <c r="E125" s="1704"/>
      <c r="F125" s="1704"/>
      <c r="G125" s="1704"/>
      <c r="H125" s="1704"/>
      <c r="I125" s="1704"/>
      <c r="J125" s="1704"/>
      <c r="K125" s="1704"/>
      <c r="L125" s="1704"/>
      <c r="M125" s="1704"/>
      <c r="N125" s="1704"/>
      <c r="O125" s="1704"/>
      <c r="P125" s="1704"/>
      <c r="Q125" s="1704"/>
      <c r="R125" s="1704"/>
      <c r="S125" s="1704"/>
      <c r="T125" s="1705"/>
      <c r="U125" s="1702" t="str">
        <f>IF('PIM Model'!$B$25=0,"",'PIM Model'!$B$25)</f>
        <v/>
      </c>
      <c r="V125" s="1627"/>
      <c r="W125" s="1627"/>
      <c r="X125" s="1627"/>
      <c r="Y125" s="1627"/>
      <c r="Z125" s="1627" t="str">
        <f>'PIM Model'!$AF$25</f>
        <v/>
      </c>
      <c r="AA125" s="1627"/>
      <c r="AB125" s="1627"/>
      <c r="AC125" s="1627"/>
      <c r="AD125" s="1627"/>
      <c r="AE125" s="1627"/>
      <c r="AF125" s="1695" t="str">
        <f>'PIM Model'!$AG$25</f>
        <v/>
      </c>
      <c r="AG125" s="1696"/>
      <c r="AH125" s="1696"/>
      <c r="AI125" s="1696"/>
      <c r="AJ125" s="1696"/>
      <c r="AK125" s="1696"/>
      <c r="AL125" s="1701"/>
      <c r="AM125" s="1695" t="str">
        <f>'PIM Model'!$AH$25</f>
        <v/>
      </c>
      <c r="AN125" s="1696"/>
      <c r="AO125" s="1696"/>
      <c r="AP125" s="1696"/>
      <c r="AQ125" s="1696"/>
      <c r="AR125" s="1696"/>
      <c r="AS125" s="1697"/>
      <c r="BF125" s="138"/>
    </row>
    <row r="126" spans="2:58" x14ac:dyDescent="0.25">
      <c r="B126" s="137"/>
      <c r="D126" s="1703" t="s">
        <v>89</v>
      </c>
      <c r="E126" s="1704"/>
      <c r="F126" s="1704"/>
      <c r="G126" s="1704"/>
      <c r="H126" s="1704"/>
      <c r="I126" s="1704"/>
      <c r="J126" s="1704"/>
      <c r="K126" s="1704"/>
      <c r="L126" s="1704"/>
      <c r="M126" s="1704"/>
      <c r="N126" s="1704"/>
      <c r="O126" s="1704"/>
      <c r="P126" s="1704"/>
      <c r="Q126" s="1704"/>
      <c r="R126" s="1704"/>
      <c r="S126" s="1704"/>
      <c r="T126" s="1705"/>
      <c r="U126" s="1702" t="str">
        <f>IF('PIM Model'!$B$26=0,"",'PIM Model'!$B$26)</f>
        <v/>
      </c>
      <c r="V126" s="1627"/>
      <c r="W126" s="1627"/>
      <c r="X126" s="1627"/>
      <c r="Y126" s="1627"/>
      <c r="Z126" s="1627" t="str">
        <f>'PIM Model'!$AF$26</f>
        <v/>
      </c>
      <c r="AA126" s="1627"/>
      <c r="AB126" s="1627"/>
      <c r="AC126" s="1627"/>
      <c r="AD126" s="1627"/>
      <c r="AE126" s="1627"/>
      <c r="AF126" s="1695" t="str">
        <f>'PIM Model'!$AG$26</f>
        <v/>
      </c>
      <c r="AG126" s="1696"/>
      <c r="AH126" s="1696"/>
      <c r="AI126" s="1696"/>
      <c r="AJ126" s="1696"/>
      <c r="AK126" s="1696"/>
      <c r="AL126" s="1701"/>
      <c r="AM126" s="1695" t="str">
        <f>'PIM Model'!$AH$26</f>
        <v/>
      </c>
      <c r="AN126" s="1696"/>
      <c r="AO126" s="1696"/>
      <c r="AP126" s="1696"/>
      <c r="AQ126" s="1696"/>
      <c r="AR126" s="1696"/>
      <c r="AS126" s="1697"/>
      <c r="BF126" s="138"/>
    </row>
    <row r="127" spans="2:58" x14ac:dyDescent="0.25">
      <c r="B127" s="137"/>
      <c r="D127" s="1703" t="s">
        <v>94</v>
      </c>
      <c r="E127" s="1704"/>
      <c r="F127" s="1704"/>
      <c r="G127" s="1704"/>
      <c r="H127" s="1704"/>
      <c r="I127" s="1704"/>
      <c r="J127" s="1704"/>
      <c r="K127" s="1704"/>
      <c r="L127" s="1704"/>
      <c r="M127" s="1704"/>
      <c r="N127" s="1704"/>
      <c r="O127" s="1704"/>
      <c r="P127" s="1704"/>
      <c r="Q127" s="1704"/>
      <c r="R127" s="1704"/>
      <c r="S127" s="1704"/>
      <c r="T127" s="1705"/>
      <c r="U127" s="1702" t="str">
        <f>IF('PIM Model'!$B$27=0,"",'PIM Model'!$B$27)</f>
        <v/>
      </c>
      <c r="V127" s="1627"/>
      <c r="W127" s="1627"/>
      <c r="X127" s="1627"/>
      <c r="Y127" s="1627"/>
      <c r="Z127" s="1627" t="str">
        <f>'PIM Model'!$AF$27</f>
        <v/>
      </c>
      <c r="AA127" s="1627"/>
      <c r="AB127" s="1627"/>
      <c r="AC127" s="1627"/>
      <c r="AD127" s="1627"/>
      <c r="AE127" s="1627"/>
      <c r="AF127" s="1695" t="str">
        <f>'PIM Model'!$AG$27</f>
        <v/>
      </c>
      <c r="AG127" s="1696"/>
      <c r="AH127" s="1696"/>
      <c r="AI127" s="1696"/>
      <c r="AJ127" s="1696"/>
      <c r="AK127" s="1696"/>
      <c r="AL127" s="1701"/>
      <c r="AM127" s="1695" t="str">
        <f>'PIM Model'!$AH$27</f>
        <v/>
      </c>
      <c r="AN127" s="1696"/>
      <c r="AO127" s="1696"/>
      <c r="AP127" s="1696"/>
      <c r="AQ127" s="1696"/>
      <c r="AR127" s="1696"/>
      <c r="AS127" s="1697"/>
      <c r="BF127" s="138"/>
    </row>
    <row r="128" spans="2:58" x14ac:dyDescent="0.25">
      <c r="B128" s="137"/>
      <c r="D128" s="1703" t="s">
        <v>86</v>
      </c>
      <c r="E128" s="1704"/>
      <c r="F128" s="1704"/>
      <c r="G128" s="1704"/>
      <c r="H128" s="1704"/>
      <c r="I128" s="1704"/>
      <c r="J128" s="1704"/>
      <c r="K128" s="1704"/>
      <c r="L128" s="1704"/>
      <c r="M128" s="1704"/>
      <c r="N128" s="1704"/>
      <c r="O128" s="1704"/>
      <c r="P128" s="1704"/>
      <c r="Q128" s="1704"/>
      <c r="R128" s="1704"/>
      <c r="S128" s="1704"/>
      <c r="T128" s="1705"/>
      <c r="U128" s="1702" t="str">
        <f>IF('PIM Model'!$B$28=0,"",'PIM Model'!$B$28)</f>
        <v/>
      </c>
      <c r="V128" s="1627"/>
      <c r="W128" s="1627"/>
      <c r="X128" s="1627"/>
      <c r="Y128" s="1627"/>
      <c r="Z128" s="1627" t="str">
        <f>'PIM Model'!$AF$28</f>
        <v/>
      </c>
      <c r="AA128" s="1627"/>
      <c r="AB128" s="1627"/>
      <c r="AC128" s="1627"/>
      <c r="AD128" s="1627"/>
      <c r="AE128" s="1627"/>
      <c r="AF128" s="1695" t="str">
        <f>'PIM Model'!$AG$28</f>
        <v/>
      </c>
      <c r="AG128" s="1696"/>
      <c r="AH128" s="1696"/>
      <c r="AI128" s="1696"/>
      <c r="AJ128" s="1696"/>
      <c r="AK128" s="1696"/>
      <c r="AL128" s="1701"/>
      <c r="AM128" s="1695" t="str">
        <f>'PIM Model'!$AH$28</f>
        <v/>
      </c>
      <c r="AN128" s="1696"/>
      <c r="AO128" s="1696"/>
      <c r="AP128" s="1696"/>
      <c r="AQ128" s="1696"/>
      <c r="AR128" s="1696"/>
      <c r="AS128" s="1697"/>
      <c r="BF128" s="138"/>
    </row>
    <row r="129" spans="2:58" x14ac:dyDescent="0.25">
      <c r="B129" s="137"/>
      <c r="D129" s="1703" t="s">
        <v>88</v>
      </c>
      <c r="E129" s="1704"/>
      <c r="F129" s="1704"/>
      <c r="G129" s="1704"/>
      <c r="H129" s="1704"/>
      <c r="I129" s="1704"/>
      <c r="J129" s="1704"/>
      <c r="K129" s="1704"/>
      <c r="L129" s="1704"/>
      <c r="M129" s="1704"/>
      <c r="N129" s="1704"/>
      <c r="O129" s="1704"/>
      <c r="P129" s="1704"/>
      <c r="Q129" s="1704"/>
      <c r="R129" s="1704"/>
      <c r="S129" s="1704"/>
      <c r="T129" s="1705"/>
      <c r="U129" s="1702" t="str">
        <f>IF('PIM Model'!$B$29=0,"",'PIM Model'!$B$29)</f>
        <v/>
      </c>
      <c r="V129" s="1627"/>
      <c r="W129" s="1627"/>
      <c r="X129" s="1627"/>
      <c r="Y129" s="1627"/>
      <c r="Z129" s="1627" t="str">
        <f>'PIM Model'!$AF$29</f>
        <v/>
      </c>
      <c r="AA129" s="1627"/>
      <c r="AB129" s="1627"/>
      <c r="AC129" s="1627"/>
      <c r="AD129" s="1627"/>
      <c r="AE129" s="1627"/>
      <c r="AF129" s="1695" t="str">
        <f>'PIM Model'!$AG$29</f>
        <v/>
      </c>
      <c r="AG129" s="1696"/>
      <c r="AH129" s="1696"/>
      <c r="AI129" s="1696"/>
      <c r="AJ129" s="1696"/>
      <c r="AK129" s="1696"/>
      <c r="AL129" s="1701"/>
      <c r="AM129" s="1695" t="str">
        <f>'PIM Model'!$AH$29</f>
        <v/>
      </c>
      <c r="AN129" s="1696"/>
      <c r="AO129" s="1696"/>
      <c r="AP129" s="1696"/>
      <c r="AQ129" s="1696"/>
      <c r="AR129" s="1696"/>
      <c r="AS129" s="1697"/>
      <c r="BF129" s="138"/>
    </row>
    <row r="130" spans="2:58" ht="15.75" thickBot="1" x14ac:dyDescent="0.3">
      <c r="B130" s="137"/>
      <c r="D130" s="1709" t="s">
        <v>87</v>
      </c>
      <c r="E130" s="1710"/>
      <c r="F130" s="1710"/>
      <c r="G130" s="1710"/>
      <c r="H130" s="1710"/>
      <c r="I130" s="1710"/>
      <c r="J130" s="1710"/>
      <c r="K130" s="1710"/>
      <c r="L130" s="1710"/>
      <c r="M130" s="1710"/>
      <c r="N130" s="1710"/>
      <c r="O130" s="1710"/>
      <c r="P130" s="1710"/>
      <c r="Q130" s="1710"/>
      <c r="R130" s="1710"/>
      <c r="S130" s="1710"/>
      <c r="T130" s="1711"/>
      <c r="U130" s="1706" t="str">
        <f>IF('PIM Model'!$B$30=0,"",'PIM Model'!$B$30)</f>
        <v/>
      </c>
      <c r="V130" s="1699"/>
      <c r="W130" s="1699"/>
      <c r="X130" s="1699"/>
      <c r="Y130" s="1699"/>
      <c r="Z130" s="1699" t="str">
        <f>'PIM Model'!$AF$30</f>
        <v/>
      </c>
      <c r="AA130" s="1699"/>
      <c r="AB130" s="1699"/>
      <c r="AC130" s="1699"/>
      <c r="AD130" s="1699"/>
      <c r="AE130" s="1699"/>
      <c r="AF130" s="1687" t="str">
        <f>'PIM Model'!$AG$30</f>
        <v/>
      </c>
      <c r="AG130" s="1688"/>
      <c r="AH130" s="1688"/>
      <c r="AI130" s="1688"/>
      <c r="AJ130" s="1688"/>
      <c r="AK130" s="1688"/>
      <c r="AL130" s="1689"/>
      <c r="AM130" s="1687" t="str">
        <f>'PIM Model'!$AH$30</f>
        <v/>
      </c>
      <c r="AN130" s="1688"/>
      <c r="AO130" s="1688"/>
      <c r="AP130" s="1688"/>
      <c r="AQ130" s="1688"/>
      <c r="AR130" s="1688"/>
      <c r="AS130" s="1698"/>
      <c r="BF130" s="138"/>
    </row>
    <row r="131" spans="2:58" ht="16.5" thickTop="1" thickBot="1" x14ac:dyDescent="0.3">
      <c r="B131" s="137"/>
      <c r="D131" s="1678" t="s">
        <v>1014</v>
      </c>
      <c r="E131" s="1679"/>
      <c r="F131" s="1679"/>
      <c r="G131" s="1679"/>
      <c r="H131" s="1679"/>
      <c r="I131" s="1679"/>
      <c r="J131" s="1679"/>
      <c r="K131" s="1679"/>
      <c r="L131" s="1679"/>
      <c r="M131" s="1679"/>
      <c r="N131" s="1679"/>
      <c r="O131" s="1679"/>
      <c r="P131" s="1679"/>
      <c r="Q131" s="1679"/>
      <c r="R131" s="1679"/>
      <c r="S131" s="1679"/>
      <c r="T131" s="1680"/>
      <c r="U131" s="1681">
        <f>COUNT($U$110:$Y$130)</f>
        <v>0</v>
      </c>
      <c r="V131" s="1682"/>
      <c r="W131" s="1682"/>
      <c r="X131" s="1682"/>
      <c r="Y131" s="1682"/>
      <c r="Z131" s="1679">
        <f>COUNTIF($Z$110:$AE$130,"ABOVE")+COUNTIF($Z$110:$AE$130,"BELOW")</f>
        <v>0</v>
      </c>
      <c r="AA131" s="1679"/>
      <c r="AB131" s="1679"/>
      <c r="AC131" s="1679"/>
      <c r="AD131" s="1679"/>
      <c r="AE131" s="1679"/>
      <c r="AF131" s="1683"/>
      <c r="AG131" s="1684"/>
      <c r="AH131" s="1684"/>
      <c r="AI131" s="1684"/>
      <c r="AJ131" s="1684"/>
      <c r="AK131" s="1684"/>
      <c r="AL131" s="1685"/>
      <c r="AM131" s="1683"/>
      <c r="AN131" s="1684"/>
      <c r="AO131" s="1684"/>
      <c r="AP131" s="1684"/>
      <c r="AQ131" s="1684"/>
      <c r="AR131" s="1684"/>
      <c r="AS131" s="1686"/>
      <c r="BF131" s="138"/>
    </row>
    <row r="132" spans="2:58" ht="15.75" thickBot="1" x14ac:dyDescent="0.3">
      <c r="B132" s="256"/>
      <c r="C132" s="257"/>
      <c r="D132" s="257"/>
      <c r="E132" s="257"/>
      <c r="F132" s="257"/>
      <c r="G132" s="257"/>
      <c r="H132" s="257"/>
      <c r="I132" s="257"/>
      <c r="J132" s="257"/>
      <c r="K132" s="257"/>
      <c r="L132" s="257"/>
      <c r="M132" s="257"/>
      <c r="N132" s="257"/>
      <c r="O132" s="257"/>
      <c r="P132" s="257"/>
      <c r="Q132" s="257"/>
      <c r="R132" s="257"/>
      <c r="S132" s="257"/>
      <c r="T132" s="257"/>
      <c r="U132" s="257"/>
      <c r="V132" s="257"/>
      <c r="W132" s="257"/>
      <c r="X132" s="257"/>
      <c r="Y132" s="257"/>
      <c r="Z132" s="257"/>
      <c r="AA132" s="257"/>
      <c r="AB132" s="257"/>
      <c r="AC132" s="257"/>
      <c r="AD132" s="257"/>
      <c r="AE132" s="257"/>
      <c r="AF132" s="257"/>
      <c r="AG132" s="257"/>
      <c r="AH132" s="257"/>
      <c r="AI132" s="257"/>
      <c r="AJ132" s="257"/>
      <c r="AK132" s="257"/>
      <c r="AL132" s="257"/>
      <c r="AM132" s="257"/>
      <c r="AN132" s="257"/>
      <c r="AO132" s="257"/>
      <c r="AP132" s="257"/>
      <c r="AQ132" s="257"/>
      <c r="AR132" s="257"/>
      <c r="AS132" s="257"/>
      <c r="AT132" s="257"/>
      <c r="AU132" s="257"/>
      <c r="AV132" s="257"/>
      <c r="AW132" s="257"/>
      <c r="AX132" s="257"/>
      <c r="AY132" s="257"/>
      <c r="AZ132" s="257"/>
      <c r="BA132" s="257"/>
      <c r="BB132" s="257"/>
      <c r="BC132" s="257"/>
      <c r="BD132" s="257"/>
      <c r="BE132" s="257"/>
      <c r="BF132" s="258"/>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97" priority="6">
      <formula>LEN(TRIM(U110))&gt;0</formula>
    </cfRule>
  </conditionalFormatting>
  <conditionalFormatting sqref="Z110:AE130">
    <cfRule type="containsText" dxfId="96" priority="4" operator="containsText" text="BELOW">
      <formula>NOT(ISERROR(SEARCH("BELOW",Z110)))</formula>
    </cfRule>
    <cfRule type="containsText" dxfId="95"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682</v>
      </c>
      <c r="B1" s="60" t="s">
        <v>681</v>
      </c>
      <c r="C1" s="60" t="s">
        <v>725</v>
      </c>
      <c r="D1" s="60" t="s">
        <v>680</v>
      </c>
      <c r="E1" s="60" t="s">
        <v>679</v>
      </c>
      <c r="F1" s="62" t="s">
        <v>678</v>
      </c>
      <c r="G1" s="62" t="s">
        <v>677</v>
      </c>
      <c r="H1" s="60" t="s">
        <v>676</v>
      </c>
      <c r="I1" s="60" t="s">
        <v>675</v>
      </c>
      <c r="J1" s="60" t="s">
        <v>674</v>
      </c>
      <c r="K1" s="61" t="s">
        <v>673</v>
      </c>
      <c r="L1" s="60" t="s">
        <v>672</v>
      </c>
      <c r="M1" s="60" t="s">
        <v>671</v>
      </c>
      <c r="N1" s="60" t="s">
        <v>670</v>
      </c>
      <c r="O1" s="60" t="s">
        <v>669</v>
      </c>
      <c r="P1" s="60" t="s">
        <v>668</v>
      </c>
    </row>
    <row r="2" spans="1:16" x14ac:dyDescent="0.25">
      <c r="A2" s="59">
        <v>15</v>
      </c>
      <c r="B2" s="59">
        <v>0</v>
      </c>
      <c r="C2" s="59">
        <v>0</v>
      </c>
      <c r="D2" s="59" t="s">
        <v>665</v>
      </c>
      <c r="E2" s="59" t="s">
        <v>664</v>
      </c>
      <c r="F2" s="70" t="str">
        <f>'PIM Model'!$AD$11</f>
        <v/>
      </c>
      <c r="G2" s="65" t="str">
        <f>F2</f>
        <v/>
      </c>
      <c r="H2" s="70" t="str">
        <f>IF('PIM Model'!$D$11="$/LB","#","%")</f>
        <v>%</v>
      </c>
      <c r="I2" s="68" t="s">
        <v>667</v>
      </c>
      <c r="J2">
        <f>'MDA Worksheet'!$AU$48</f>
        <v>2.25</v>
      </c>
      <c r="K2" s="917">
        <f>'MDA Worksheet'!$AU$46*100</f>
        <v>30</v>
      </c>
      <c r="L2" s="59" t="s">
        <v>482</v>
      </c>
    </row>
    <row r="3" spans="1:16" x14ac:dyDescent="0.25">
      <c r="A3" s="59">
        <v>15</v>
      </c>
      <c r="B3" s="59">
        <v>131</v>
      </c>
      <c r="C3" s="59">
        <v>0</v>
      </c>
      <c r="D3" s="59" t="s">
        <v>665</v>
      </c>
      <c r="E3" s="59" t="s">
        <v>664</v>
      </c>
      <c r="F3" s="70" t="str">
        <f>'PIM Model'!$AD$12</f>
        <v/>
      </c>
      <c r="G3" s="65" t="str">
        <f t="shared" ref="G3:G68" si="0">F3</f>
        <v/>
      </c>
      <c r="H3" s="70" t="str">
        <f>IF('PIM Model'!$D$12="$/LB","#","%")</f>
        <v>%</v>
      </c>
      <c r="I3" s="68" t="s">
        <v>667</v>
      </c>
      <c r="J3" s="899">
        <f>'MDA Worksheet'!$AU$48</f>
        <v>2.25</v>
      </c>
      <c r="K3" s="917">
        <f>'MDA Worksheet'!$AU$46*100</f>
        <v>30</v>
      </c>
      <c r="L3" s="59" t="s">
        <v>482</v>
      </c>
    </row>
    <row r="4" spans="1:16" x14ac:dyDescent="0.25">
      <c r="A4" s="59">
        <v>15</v>
      </c>
      <c r="B4" s="59">
        <v>254</v>
      </c>
      <c r="C4" s="59">
        <v>0</v>
      </c>
      <c r="D4" s="59" t="s">
        <v>665</v>
      </c>
      <c r="E4" s="59" t="s">
        <v>664</v>
      </c>
      <c r="F4" s="70" t="str">
        <f>'PIM Model'!$AD$12</f>
        <v/>
      </c>
      <c r="G4" s="65" t="str">
        <f t="shared" si="0"/>
        <v/>
      </c>
      <c r="H4" s="70" t="str">
        <f>IF('PIM Model'!$D$12="$/LB","#","%")</f>
        <v>%</v>
      </c>
      <c r="I4" s="68" t="s">
        <v>667</v>
      </c>
      <c r="J4" s="899">
        <f>'MDA Worksheet'!$AU$48</f>
        <v>2.25</v>
      </c>
      <c r="K4" s="917">
        <f>'MDA Worksheet'!$AU$46*100</f>
        <v>30</v>
      </c>
      <c r="L4" s="59" t="s">
        <v>482</v>
      </c>
    </row>
    <row r="5" spans="1:16" x14ac:dyDescent="0.25">
      <c r="A5" s="59">
        <v>15</v>
      </c>
      <c r="B5" s="59">
        <v>373</v>
      </c>
      <c r="C5" s="59">
        <v>0</v>
      </c>
      <c r="D5" s="59" t="s">
        <v>665</v>
      </c>
      <c r="E5" s="59" t="s">
        <v>664</v>
      </c>
      <c r="F5" s="70" t="str">
        <f>'PIM Model'!$AD$12</f>
        <v/>
      </c>
      <c r="G5" s="65" t="str">
        <f t="shared" si="0"/>
        <v/>
      </c>
      <c r="H5" s="70" t="str">
        <f>IF('PIM Model'!$D$12="$/LB","#","%")</f>
        <v>%</v>
      </c>
      <c r="I5" s="68" t="s">
        <v>667</v>
      </c>
      <c r="J5" s="899">
        <f>'MDA Worksheet'!$AU$48</f>
        <v>2.25</v>
      </c>
      <c r="K5" s="917">
        <f>'MDA Worksheet'!$AU$46*100</f>
        <v>30</v>
      </c>
      <c r="L5" s="59" t="s">
        <v>482</v>
      </c>
    </row>
    <row r="6" spans="1:16" x14ac:dyDescent="0.25">
      <c r="A6" s="59">
        <v>15</v>
      </c>
      <c r="B6" s="59">
        <v>132</v>
      </c>
      <c r="C6" s="59">
        <v>0</v>
      </c>
      <c r="D6" s="59" t="s">
        <v>665</v>
      </c>
      <c r="E6" s="59" t="s">
        <v>664</v>
      </c>
      <c r="F6" s="70" t="str">
        <f>'PIM Model'!$AD$12</f>
        <v/>
      </c>
      <c r="G6" s="65" t="str">
        <f t="shared" si="0"/>
        <v/>
      </c>
      <c r="H6" s="70" t="str">
        <f>IF('PIM Model'!$D$12="$/LB","#","%")</f>
        <v>%</v>
      </c>
      <c r="I6" s="68" t="s">
        <v>667</v>
      </c>
      <c r="J6" s="899">
        <f>'MDA Worksheet'!$AU$48</f>
        <v>2.25</v>
      </c>
      <c r="K6" s="917">
        <f>'MDA Worksheet'!$AU$46*100</f>
        <v>30</v>
      </c>
      <c r="L6" s="59" t="s">
        <v>482</v>
      </c>
    </row>
    <row r="7" spans="1:16" x14ac:dyDescent="0.25">
      <c r="A7" s="59">
        <v>15</v>
      </c>
      <c r="B7" s="59">
        <v>368</v>
      </c>
      <c r="C7" s="59">
        <v>0</v>
      </c>
      <c r="D7" s="59" t="s">
        <v>665</v>
      </c>
      <c r="E7" s="59" t="s">
        <v>664</v>
      </c>
      <c r="F7" s="70" t="str">
        <f>'PIM Model'!$AD$12</f>
        <v/>
      </c>
      <c r="G7" s="65" t="str">
        <f t="shared" si="0"/>
        <v/>
      </c>
      <c r="H7" s="70" t="str">
        <f>IF('PIM Model'!$D$12="$/LB","#","%")</f>
        <v>%</v>
      </c>
      <c r="I7" s="68" t="s">
        <v>667</v>
      </c>
      <c r="J7" s="899">
        <f>'MDA Worksheet'!$AU$48</f>
        <v>2.25</v>
      </c>
      <c r="K7" s="917">
        <f>'MDA Worksheet'!$AU$46*100</f>
        <v>30</v>
      </c>
      <c r="L7" s="59" t="s">
        <v>482</v>
      </c>
    </row>
    <row r="8" spans="1:16" x14ac:dyDescent="0.25">
      <c r="A8" s="59">
        <v>15</v>
      </c>
      <c r="B8" s="59">
        <v>369</v>
      </c>
      <c r="C8" s="59">
        <v>0</v>
      </c>
      <c r="D8" s="59" t="s">
        <v>665</v>
      </c>
      <c r="E8" s="59" t="s">
        <v>664</v>
      </c>
      <c r="F8" s="70" t="str">
        <f>'PIM Model'!$AD$12</f>
        <v/>
      </c>
      <c r="G8" s="65" t="str">
        <f t="shared" si="0"/>
        <v/>
      </c>
      <c r="H8" s="70" t="str">
        <f>IF('PIM Model'!$D$12="$/LB","#","%")</f>
        <v>%</v>
      </c>
      <c r="I8" s="68" t="s">
        <v>667</v>
      </c>
      <c r="J8" s="899">
        <f>'MDA Worksheet'!$AU$48</f>
        <v>2.25</v>
      </c>
      <c r="K8" s="917">
        <f>'MDA Worksheet'!$AU$46*100</f>
        <v>30</v>
      </c>
      <c r="L8" s="59" t="s">
        <v>482</v>
      </c>
    </row>
    <row r="9" spans="1:16" x14ac:dyDescent="0.25">
      <c r="A9" s="59">
        <v>15</v>
      </c>
      <c r="B9" s="59">
        <v>384</v>
      </c>
      <c r="C9" s="59">
        <v>0</v>
      </c>
      <c r="D9" s="59" t="s">
        <v>665</v>
      </c>
      <c r="E9" s="59" t="s">
        <v>664</v>
      </c>
      <c r="F9" s="70" t="str">
        <f>'PIM Model'!$AD$12</f>
        <v/>
      </c>
      <c r="G9" s="65" t="str">
        <f t="shared" si="0"/>
        <v/>
      </c>
      <c r="H9" s="70" t="str">
        <f>IF('PIM Model'!$D$12="$/LB","#","%")</f>
        <v>%</v>
      </c>
      <c r="I9" s="68" t="s">
        <v>667</v>
      </c>
      <c r="J9" s="899">
        <f>'MDA Worksheet'!$AU$48</f>
        <v>2.25</v>
      </c>
      <c r="K9" s="917">
        <f>'MDA Worksheet'!$AU$46*100</f>
        <v>30</v>
      </c>
      <c r="L9" s="59" t="s">
        <v>482</v>
      </c>
    </row>
    <row r="10" spans="1:16" x14ac:dyDescent="0.25">
      <c r="A10" s="59">
        <v>15</v>
      </c>
      <c r="B10" s="59">
        <v>381</v>
      </c>
      <c r="C10" s="59">
        <v>0</v>
      </c>
      <c r="D10" s="59" t="s">
        <v>665</v>
      </c>
      <c r="E10" s="59" t="s">
        <v>664</v>
      </c>
      <c r="F10" s="70" t="str">
        <f>'PIM Model'!$AD$12</f>
        <v/>
      </c>
      <c r="G10" s="65" t="str">
        <f t="shared" si="0"/>
        <v/>
      </c>
      <c r="H10" s="70" t="str">
        <f>IF('PIM Model'!$D$12="$/LB","#","%")</f>
        <v>%</v>
      </c>
      <c r="I10" s="68" t="s">
        <v>667</v>
      </c>
      <c r="J10" s="899">
        <f>'MDA Worksheet'!$AU$48</f>
        <v>2.25</v>
      </c>
      <c r="K10" s="917">
        <f>'MDA Worksheet'!$AU$46*100</f>
        <v>30</v>
      </c>
      <c r="L10" s="59" t="s">
        <v>482</v>
      </c>
    </row>
    <row r="11" spans="1:16" x14ac:dyDescent="0.25">
      <c r="A11" s="59">
        <v>15</v>
      </c>
      <c r="B11" s="59">
        <v>377</v>
      </c>
      <c r="C11" s="59">
        <v>0</v>
      </c>
      <c r="D11" s="59" t="s">
        <v>665</v>
      </c>
      <c r="E11" s="59" t="s">
        <v>664</v>
      </c>
      <c r="F11" s="70" t="str">
        <f>'PIM Model'!$AD$12</f>
        <v/>
      </c>
      <c r="G11" s="65" t="str">
        <f t="shared" si="0"/>
        <v/>
      </c>
      <c r="H11" s="70" t="str">
        <f>IF('PIM Model'!$D$12="$/LB","#","%")</f>
        <v>%</v>
      </c>
      <c r="I11" s="68" t="s">
        <v>667</v>
      </c>
      <c r="J11" s="899">
        <f>'MDA Worksheet'!$AU$48</f>
        <v>2.25</v>
      </c>
      <c r="K11" s="917">
        <f>'MDA Worksheet'!$AU$46*100</f>
        <v>30</v>
      </c>
      <c r="L11" s="59" t="s">
        <v>482</v>
      </c>
    </row>
    <row r="12" spans="1:16" x14ac:dyDescent="0.25">
      <c r="A12" s="59">
        <v>15</v>
      </c>
      <c r="B12" s="59">
        <v>388</v>
      </c>
      <c r="C12" s="59">
        <v>0</v>
      </c>
      <c r="D12" s="59" t="s">
        <v>665</v>
      </c>
      <c r="E12" s="59" t="s">
        <v>664</v>
      </c>
      <c r="F12" s="70" t="str">
        <f>'PIM Model'!$AD$12</f>
        <v/>
      </c>
      <c r="G12" s="65" t="str">
        <f t="shared" si="0"/>
        <v/>
      </c>
      <c r="H12" s="70" t="str">
        <f>IF('PIM Model'!$D$12="$/LB","#","%")</f>
        <v>%</v>
      </c>
      <c r="I12" s="68" t="s">
        <v>667</v>
      </c>
      <c r="J12" s="899">
        <f>'MDA Worksheet'!$AU$48</f>
        <v>2.25</v>
      </c>
      <c r="K12" s="917">
        <f>'MDA Worksheet'!$AU$46*100</f>
        <v>30</v>
      </c>
      <c r="L12" s="59" t="s">
        <v>482</v>
      </c>
    </row>
    <row r="13" spans="1:16" x14ac:dyDescent="0.25">
      <c r="A13" s="59">
        <v>16</v>
      </c>
      <c r="B13" s="59">
        <v>0</v>
      </c>
      <c r="C13" s="59">
        <v>0</v>
      </c>
      <c r="D13" s="59" t="s">
        <v>663</v>
      </c>
      <c r="E13" s="59" t="str">
        <f>IF('PRIME Headers'!$C$20="No","PWW","P07")</f>
        <v>P07</v>
      </c>
      <c r="F13" s="66" t="str">
        <f>'PIM Model'!$AD$13</f>
        <v/>
      </c>
      <c r="G13" s="65" t="str">
        <f t="shared" si="0"/>
        <v/>
      </c>
      <c r="H13" s="70" t="str">
        <f>'PIM Model'!$D$13</f>
        <v>%</v>
      </c>
      <c r="I13" s="68" t="s">
        <v>667</v>
      </c>
      <c r="J13" s="899">
        <f>'MDA Worksheet'!$AU$48</f>
        <v>2.25</v>
      </c>
      <c r="K13" s="917">
        <f>'MDA Worksheet'!$AU$46*100</f>
        <v>30</v>
      </c>
      <c r="L13" s="59" t="s">
        <v>482</v>
      </c>
    </row>
    <row r="14" spans="1:16" x14ac:dyDescent="0.25">
      <c r="A14" s="59">
        <v>16</v>
      </c>
      <c r="B14" s="59">
        <v>135</v>
      </c>
      <c r="C14" s="59">
        <v>0</v>
      </c>
      <c r="D14" s="59" t="s">
        <v>665</v>
      </c>
      <c r="E14" s="59" t="s">
        <v>664</v>
      </c>
      <c r="F14" s="66" t="str">
        <f>'PIM Model'!$AD$13</f>
        <v/>
      </c>
      <c r="G14" s="65" t="str">
        <f t="shared" si="0"/>
        <v/>
      </c>
      <c r="H14" s="70" t="str">
        <f>'PIM Model'!$D$13</f>
        <v>%</v>
      </c>
      <c r="I14" s="68" t="s">
        <v>667</v>
      </c>
      <c r="J14" s="899">
        <f>'MDA Worksheet'!$AU$48</f>
        <v>2.25</v>
      </c>
      <c r="K14" s="917">
        <f>'MDA Worksheet'!$AU$46*100</f>
        <v>30</v>
      </c>
      <c r="L14" s="59" t="s">
        <v>482</v>
      </c>
    </row>
    <row r="15" spans="1:16" x14ac:dyDescent="0.25">
      <c r="A15" s="59">
        <v>16</v>
      </c>
      <c r="B15" s="59">
        <v>136</v>
      </c>
      <c r="C15" s="59">
        <v>7626</v>
      </c>
      <c r="D15" s="59" t="s">
        <v>665</v>
      </c>
      <c r="E15" s="59" t="s">
        <v>664</v>
      </c>
      <c r="F15" s="66" t="str">
        <f>'PIM Model'!$AD$13</f>
        <v/>
      </c>
      <c r="G15" s="65" t="str">
        <f t="shared" si="0"/>
        <v/>
      </c>
      <c r="H15" s="70" t="str">
        <f>'PIM Model'!$D$13</f>
        <v>%</v>
      </c>
      <c r="I15" s="68" t="s">
        <v>667</v>
      </c>
      <c r="J15" s="899">
        <f>'MDA Worksheet'!$AU$48</f>
        <v>2.25</v>
      </c>
      <c r="K15" s="917">
        <f>'MDA Worksheet'!$AU$46*100</f>
        <v>30</v>
      </c>
      <c r="L15" s="59" t="s">
        <v>482</v>
      </c>
    </row>
    <row r="16" spans="1:16" x14ac:dyDescent="0.25">
      <c r="A16" s="59">
        <v>16</v>
      </c>
      <c r="B16" s="59">
        <v>136</v>
      </c>
      <c r="C16" s="59">
        <v>7627</v>
      </c>
      <c r="D16" s="59" t="s">
        <v>665</v>
      </c>
      <c r="E16" s="59" t="s">
        <v>664</v>
      </c>
      <c r="F16" s="66" t="str">
        <f>'PIM Model'!$AD$13</f>
        <v/>
      </c>
      <c r="G16" s="65" t="str">
        <f t="shared" si="0"/>
        <v/>
      </c>
      <c r="H16" s="70" t="str">
        <f>'PIM Model'!$D$13</f>
        <v>%</v>
      </c>
      <c r="I16" s="68" t="s">
        <v>667</v>
      </c>
      <c r="J16" s="899">
        <f>'MDA Worksheet'!$AU$48</f>
        <v>2.25</v>
      </c>
      <c r="K16" s="917">
        <f>'MDA Worksheet'!$AU$46*100</f>
        <v>30</v>
      </c>
      <c r="L16" s="59" t="s">
        <v>482</v>
      </c>
    </row>
    <row r="17" spans="1:12" x14ac:dyDescent="0.25">
      <c r="A17" s="59">
        <v>16</v>
      </c>
      <c r="B17" s="59">
        <v>136</v>
      </c>
      <c r="C17" s="59">
        <v>7628</v>
      </c>
      <c r="D17" s="59" t="s">
        <v>665</v>
      </c>
      <c r="E17" s="59" t="s">
        <v>664</v>
      </c>
      <c r="F17" s="66" t="str">
        <f>'PIM Model'!$AD$13</f>
        <v/>
      </c>
      <c r="G17" s="65" t="str">
        <f t="shared" si="0"/>
        <v/>
      </c>
      <c r="H17" s="70" t="str">
        <f>'PIM Model'!$D$13</f>
        <v>%</v>
      </c>
      <c r="I17" s="68" t="s">
        <v>667</v>
      </c>
      <c r="J17" s="899">
        <f>'MDA Worksheet'!$AU$48</f>
        <v>2.25</v>
      </c>
      <c r="K17" s="917">
        <f>'MDA Worksheet'!$AU$46*100</f>
        <v>30</v>
      </c>
      <c r="L17" s="59" t="s">
        <v>482</v>
      </c>
    </row>
    <row r="18" spans="1:12" x14ac:dyDescent="0.25">
      <c r="A18" s="59">
        <v>16</v>
      </c>
      <c r="B18" s="59">
        <v>136</v>
      </c>
      <c r="C18" s="59">
        <v>7629</v>
      </c>
      <c r="D18" s="59" t="s">
        <v>665</v>
      </c>
      <c r="E18" s="59" t="s">
        <v>664</v>
      </c>
      <c r="F18" s="66" t="str">
        <f>'PIM Model'!$AD$13</f>
        <v/>
      </c>
      <c r="G18" s="65" t="str">
        <f t="shared" si="0"/>
        <v/>
      </c>
      <c r="H18" s="70" t="str">
        <f>'PIM Model'!$D$13</f>
        <v>%</v>
      </c>
      <c r="I18" s="68" t="s">
        <v>667</v>
      </c>
      <c r="J18" s="899">
        <f>'MDA Worksheet'!$AU$48</f>
        <v>2.25</v>
      </c>
      <c r="K18" s="917">
        <f>'MDA Worksheet'!$AU$46*100</f>
        <v>30</v>
      </c>
      <c r="L18" s="59" t="s">
        <v>482</v>
      </c>
    </row>
    <row r="19" spans="1:12" x14ac:dyDescent="0.25">
      <c r="A19" s="59">
        <v>16</v>
      </c>
      <c r="B19" s="59">
        <v>136</v>
      </c>
      <c r="C19" s="59">
        <v>7643</v>
      </c>
      <c r="D19" s="59" t="s">
        <v>665</v>
      </c>
      <c r="E19" s="59" t="s">
        <v>664</v>
      </c>
      <c r="F19" s="66" t="str">
        <f>'PIM Model'!$AD$13</f>
        <v/>
      </c>
      <c r="G19" s="65" t="str">
        <f t="shared" si="0"/>
        <v/>
      </c>
      <c r="H19" s="70" t="str">
        <f>'PIM Model'!$D$13</f>
        <v>%</v>
      </c>
      <c r="I19" s="68" t="s">
        <v>667</v>
      </c>
      <c r="J19" s="899">
        <f>'MDA Worksheet'!$AU$48</f>
        <v>2.25</v>
      </c>
      <c r="K19" s="917">
        <f>'MDA Worksheet'!$AU$46*100</f>
        <v>30</v>
      </c>
      <c r="L19" s="59" t="s">
        <v>482</v>
      </c>
    </row>
    <row r="20" spans="1:12" x14ac:dyDescent="0.25">
      <c r="A20" s="59">
        <v>16</v>
      </c>
      <c r="B20" s="59">
        <v>136</v>
      </c>
      <c r="C20" s="59">
        <v>7644</v>
      </c>
      <c r="D20" s="59" t="s">
        <v>665</v>
      </c>
      <c r="E20" s="59" t="s">
        <v>664</v>
      </c>
      <c r="F20" s="66" t="str">
        <f>'PIM Model'!$AD$13</f>
        <v/>
      </c>
      <c r="G20" s="65" t="str">
        <f t="shared" si="0"/>
        <v/>
      </c>
      <c r="H20" s="70" t="str">
        <f>'PIM Model'!$D$13</f>
        <v>%</v>
      </c>
      <c r="I20" s="68" t="s">
        <v>667</v>
      </c>
      <c r="J20" s="899">
        <f>'MDA Worksheet'!$AU$48</f>
        <v>2.25</v>
      </c>
      <c r="K20" s="917">
        <f>'MDA Worksheet'!$AU$46*100</f>
        <v>30</v>
      </c>
      <c r="L20" s="59" t="s">
        <v>482</v>
      </c>
    </row>
    <row r="21" spans="1:12" x14ac:dyDescent="0.25">
      <c r="A21" s="59">
        <v>16</v>
      </c>
      <c r="B21" s="59">
        <v>136</v>
      </c>
      <c r="C21" s="59">
        <v>7645</v>
      </c>
      <c r="D21" s="59" t="s">
        <v>665</v>
      </c>
      <c r="E21" s="59" t="s">
        <v>664</v>
      </c>
      <c r="F21" s="66" t="str">
        <f>'PIM Model'!$AD$13</f>
        <v/>
      </c>
      <c r="G21" s="65" t="str">
        <f t="shared" si="0"/>
        <v/>
      </c>
      <c r="H21" s="70" t="str">
        <f>'PIM Model'!$D$13</f>
        <v>%</v>
      </c>
      <c r="I21" s="68" t="s">
        <v>667</v>
      </c>
      <c r="J21" s="899">
        <f>'MDA Worksheet'!$AU$48</f>
        <v>2.25</v>
      </c>
      <c r="K21" s="917">
        <f>'MDA Worksheet'!$AU$46*100</f>
        <v>30</v>
      </c>
      <c r="L21" s="59" t="s">
        <v>482</v>
      </c>
    </row>
    <row r="22" spans="1:12" x14ac:dyDescent="0.25">
      <c r="A22" s="59">
        <v>16</v>
      </c>
      <c r="B22" s="59">
        <v>136</v>
      </c>
      <c r="C22" s="59">
        <v>7646</v>
      </c>
      <c r="D22" s="59" t="s">
        <v>665</v>
      </c>
      <c r="E22" s="59" t="s">
        <v>664</v>
      </c>
      <c r="F22" s="66" t="str">
        <f>'PIM Model'!$AD$13</f>
        <v/>
      </c>
      <c r="G22" s="65" t="str">
        <f t="shared" si="0"/>
        <v/>
      </c>
      <c r="H22" s="70" t="str">
        <f>'PIM Model'!$D$13</f>
        <v>%</v>
      </c>
      <c r="I22" s="68" t="s">
        <v>667</v>
      </c>
      <c r="J22" s="899">
        <f>'MDA Worksheet'!$AU$48</f>
        <v>2.25</v>
      </c>
      <c r="K22" s="917">
        <f>'MDA Worksheet'!$AU$46*100</f>
        <v>30</v>
      </c>
      <c r="L22" s="59" t="s">
        <v>482</v>
      </c>
    </row>
    <row r="23" spans="1:12" x14ac:dyDescent="0.25">
      <c r="A23" s="59">
        <v>16</v>
      </c>
      <c r="B23" s="59">
        <v>136</v>
      </c>
      <c r="C23" s="59">
        <v>7647</v>
      </c>
      <c r="D23" s="59" t="s">
        <v>665</v>
      </c>
      <c r="E23" s="59" t="s">
        <v>664</v>
      </c>
      <c r="F23" s="66" t="str">
        <f>'PIM Model'!$AD$13</f>
        <v/>
      </c>
      <c r="G23" s="65" t="str">
        <f t="shared" si="0"/>
        <v/>
      </c>
      <c r="H23" s="70" t="str">
        <f>'PIM Model'!$D$13</f>
        <v>%</v>
      </c>
      <c r="I23" s="68" t="s">
        <v>667</v>
      </c>
      <c r="J23" s="899">
        <f>'MDA Worksheet'!$AU$48</f>
        <v>2.25</v>
      </c>
      <c r="K23" s="917">
        <f>'MDA Worksheet'!$AU$46*100</f>
        <v>30</v>
      </c>
      <c r="L23" s="59" t="s">
        <v>482</v>
      </c>
    </row>
    <row r="24" spans="1:12" x14ac:dyDescent="0.25">
      <c r="A24" s="59">
        <v>16</v>
      </c>
      <c r="B24" s="59">
        <v>136</v>
      </c>
      <c r="C24" s="59">
        <v>7648</v>
      </c>
      <c r="D24" s="59" t="s">
        <v>665</v>
      </c>
      <c r="E24" s="59" t="s">
        <v>664</v>
      </c>
      <c r="F24" s="66" t="str">
        <f>'PIM Model'!$AD$13</f>
        <v/>
      </c>
      <c r="G24" s="65" t="str">
        <f t="shared" si="0"/>
        <v/>
      </c>
      <c r="H24" s="70" t="str">
        <f>'PIM Model'!$D$13</f>
        <v>%</v>
      </c>
      <c r="I24" s="68" t="s">
        <v>667</v>
      </c>
      <c r="J24" s="899">
        <f>'MDA Worksheet'!$AU$48</f>
        <v>2.25</v>
      </c>
      <c r="K24" s="917">
        <f>'MDA Worksheet'!$AU$46*100</f>
        <v>30</v>
      </c>
      <c r="L24" s="59" t="s">
        <v>482</v>
      </c>
    </row>
    <row r="25" spans="1:12" x14ac:dyDescent="0.25">
      <c r="A25" s="59">
        <v>16</v>
      </c>
      <c r="B25" s="59">
        <v>136</v>
      </c>
      <c r="C25" s="59">
        <v>7649</v>
      </c>
      <c r="D25" s="59" t="s">
        <v>665</v>
      </c>
      <c r="E25" s="59" t="s">
        <v>664</v>
      </c>
      <c r="F25" s="66" t="str">
        <f>'PIM Model'!$AD$13</f>
        <v/>
      </c>
      <c r="G25" s="65" t="str">
        <f t="shared" si="0"/>
        <v/>
      </c>
      <c r="H25" s="70" t="str">
        <f>'PIM Model'!$D$13</f>
        <v>%</v>
      </c>
      <c r="I25" s="68" t="s">
        <v>667</v>
      </c>
      <c r="J25" s="899">
        <f>'MDA Worksheet'!$AU$48</f>
        <v>2.25</v>
      </c>
      <c r="K25" s="917">
        <f>'MDA Worksheet'!$AU$46*100</f>
        <v>30</v>
      </c>
      <c r="L25" s="59" t="s">
        <v>482</v>
      </c>
    </row>
    <row r="26" spans="1:12" x14ac:dyDescent="0.25">
      <c r="A26" s="59">
        <v>16</v>
      </c>
      <c r="B26" s="59">
        <v>136</v>
      </c>
      <c r="C26" s="59">
        <v>7738</v>
      </c>
      <c r="D26" s="59" t="s">
        <v>665</v>
      </c>
      <c r="E26" s="59" t="s">
        <v>664</v>
      </c>
      <c r="F26" s="66" t="str">
        <f>'PIM Model'!$AD$13</f>
        <v/>
      </c>
      <c r="G26" s="65" t="str">
        <f t="shared" si="0"/>
        <v/>
      </c>
      <c r="H26" s="70" t="str">
        <f>'PIM Model'!$D$13</f>
        <v>%</v>
      </c>
      <c r="I26" s="68" t="s">
        <v>667</v>
      </c>
      <c r="J26" s="899">
        <f>'MDA Worksheet'!$AU$48</f>
        <v>2.25</v>
      </c>
      <c r="K26" s="917">
        <f>'MDA Worksheet'!$AU$46*100</f>
        <v>30</v>
      </c>
      <c r="L26" s="59" t="s">
        <v>482</v>
      </c>
    </row>
    <row r="27" spans="1:12" x14ac:dyDescent="0.25">
      <c r="A27" s="59">
        <v>16</v>
      </c>
      <c r="B27" s="59">
        <v>136</v>
      </c>
      <c r="C27" s="59">
        <v>7739</v>
      </c>
      <c r="D27" s="59" t="s">
        <v>665</v>
      </c>
      <c r="E27" s="59" t="s">
        <v>664</v>
      </c>
      <c r="F27" s="66" t="str">
        <f>'PIM Model'!$AD$13</f>
        <v/>
      </c>
      <c r="G27" s="65" t="str">
        <f t="shared" si="0"/>
        <v/>
      </c>
      <c r="H27" s="70" t="str">
        <f>'PIM Model'!$D$13</f>
        <v>%</v>
      </c>
      <c r="I27" s="68" t="s">
        <v>667</v>
      </c>
      <c r="J27" s="899">
        <f>'MDA Worksheet'!$AU$48</f>
        <v>2.25</v>
      </c>
      <c r="K27" s="917">
        <f>'MDA Worksheet'!$AU$46*100</f>
        <v>30</v>
      </c>
      <c r="L27" s="59" t="s">
        <v>482</v>
      </c>
    </row>
    <row r="28" spans="1:12" x14ac:dyDescent="0.25">
      <c r="A28" s="59">
        <v>16</v>
      </c>
      <c r="B28" s="59">
        <v>136</v>
      </c>
      <c r="C28" s="59">
        <v>7744</v>
      </c>
      <c r="D28" s="59" t="s">
        <v>665</v>
      </c>
      <c r="E28" s="59" t="s">
        <v>664</v>
      </c>
      <c r="F28" s="66" t="str">
        <f>'PIM Model'!$AD$13</f>
        <v/>
      </c>
      <c r="G28" s="65" t="str">
        <f t="shared" si="0"/>
        <v/>
      </c>
      <c r="H28" s="70" t="str">
        <f>'PIM Model'!$D$13</f>
        <v>%</v>
      </c>
      <c r="I28" s="68" t="s">
        <v>667</v>
      </c>
      <c r="J28" s="899">
        <f>'MDA Worksheet'!$AU$48</f>
        <v>2.25</v>
      </c>
      <c r="K28" s="917">
        <f>'MDA Worksheet'!$AU$46*100</f>
        <v>30</v>
      </c>
      <c r="L28" s="59" t="s">
        <v>482</v>
      </c>
    </row>
    <row r="29" spans="1:12" x14ac:dyDescent="0.25">
      <c r="A29" s="59">
        <v>16</v>
      </c>
      <c r="B29" s="59">
        <v>136</v>
      </c>
      <c r="C29" s="59">
        <v>7745</v>
      </c>
      <c r="D29" s="59" t="s">
        <v>665</v>
      </c>
      <c r="E29" s="59" t="s">
        <v>664</v>
      </c>
      <c r="F29" s="66" t="str">
        <f>'PIM Model'!$AD$13</f>
        <v/>
      </c>
      <c r="G29" s="65" t="str">
        <f t="shared" si="0"/>
        <v/>
      </c>
      <c r="H29" s="70" t="str">
        <f>'PIM Model'!$D$13</f>
        <v>%</v>
      </c>
      <c r="I29" s="68" t="s">
        <v>667</v>
      </c>
      <c r="J29" s="899">
        <f>'MDA Worksheet'!$AU$48</f>
        <v>2.25</v>
      </c>
      <c r="K29" s="917">
        <f>'MDA Worksheet'!$AU$46*100</f>
        <v>30</v>
      </c>
      <c r="L29" s="59" t="s">
        <v>482</v>
      </c>
    </row>
    <row r="30" spans="1:12" x14ac:dyDescent="0.25">
      <c r="A30" s="59">
        <v>16</v>
      </c>
      <c r="B30" s="59">
        <v>136</v>
      </c>
      <c r="C30" s="59">
        <v>7746</v>
      </c>
      <c r="D30" s="59" t="s">
        <v>665</v>
      </c>
      <c r="E30" s="59" t="s">
        <v>664</v>
      </c>
      <c r="F30" s="66" t="str">
        <f>'PIM Model'!$AD$13</f>
        <v/>
      </c>
      <c r="G30" s="65" t="str">
        <f t="shared" si="0"/>
        <v/>
      </c>
      <c r="H30" s="70" t="str">
        <f>'PIM Model'!$D$13</f>
        <v>%</v>
      </c>
      <c r="I30" s="68" t="s">
        <v>667</v>
      </c>
      <c r="J30" s="899">
        <f>'MDA Worksheet'!$AU$48</f>
        <v>2.25</v>
      </c>
      <c r="K30" s="917">
        <f>'MDA Worksheet'!$AU$46*100</f>
        <v>30</v>
      </c>
      <c r="L30" s="59" t="s">
        <v>482</v>
      </c>
    </row>
    <row r="31" spans="1:12" x14ac:dyDescent="0.25">
      <c r="A31" s="59">
        <v>16</v>
      </c>
      <c r="B31" s="59">
        <v>136</v>
      </c>
      <c r="C31" s="59">
        <v>8216</v>
      </c>
      <c r="D31" s="59" t="s">
        <v>665</v>
      </c>
      <c r="E31" s="59" t="s">
        <v>664</v>
      </c>
      <c r="F31" s="66" t="str">
        <f>'PIM Model'!$AD$13</f>
        <v/>
      </c>
      <c r="G31" s="65" t="str">
        <f t="shared" ref="G31:G32" si="1">F31</f>
        <v/>
      </c>
      <c r="H31" s="70" t="str">
        <f>'PIM Model'!$D$13</f>
        <v>%</v>
      </c>
      <c r="I31" s="68" t="s">
        <v>667</v>
      </c>
      <c r="J31" s="899">
        <f>'MDA Worksheet'!$AU$48</f>
        <v>2.25</v>
      </c>
      <c r="K31" s="917">
        <f>'MDA Worksheet'!$AU$46*100</f>
        <v>30</v>
      </c>
      <c r="L31" s="59" t="s">
        <v>482</v>
      </c>
    </row>
    <row r="32" spans="1:12" x14ac:dyDescent="0.25">
      <c r="A32" s="59">
        <v>16</v>
      </c>
      <c r="B32" s="59">
        <v>136</v>
      </c>
      <c r="C32" s="59">
        <v>8219</v>
      </c>
      <c r="D32" s="59" t="s">
        <v>665</v>
      </c>
      <c r="E32" s="59" t="s">
        <v>664</v>
      </c>
      <c r="F32" s="66" t="str">
        <f>'PIM Model'!$AD$13</f>
        <v/>
      </c>
      <c r="G32" s="65" t="str">
        <f t="shared" si="1"/>
        <v/>
      </c>
      <c r="H32" s="70" t="str">
        <f>'PIM Model'!$D$13</f>
        <v>%</v>
      </c>
      <c r="I32" s="68" t="s">
        <v>667</v>
      </c>
      <c r="J32" s="899">
        <f>'MDA Worksheet'!$AU$48</f>
        <v>2.25</v>
      </c>
      <c r="K32" s="917">
        <f>'MDA Worksheet'!$AU$46*100</f>
        <v>30</v>
      </c>
      <c r="L32" s="59" t="s">
        <v>482</v>
      </c>
    </row>
    <row r="33" spans="1:12" x14ac:dyDescent="0.25">
      <c r="A33" s="59">
        <v>17</v>
      </c>
      <c r="B33" s="59">
        <v>0</v>
      </c>
      <c r="C33" s="59">
        <v>0</v>
      </c>
      <c r="D33" s="59" t="s">
        <v>663</v>
      </c>
      <c r="E33" s="59" t="str">
        <f>IF('PRIME Headers'!$C$20="No","PWW","P07")</f>
        <v>P07</v>
      </c>
      <c r="F33" s="66" t="str">
        <f>'PIM Model'!$AD$19</f>
        <v/>
      </c>
      <c r="G33" s="65" t="str">
        <f t="shared" si="0"/>
        <v/>
      </c>
      <c r="H33" s="70" t="str">
        <f>'PIM Model'!$D$19</f>
        <v>%</v>
      </c>
      <c r="I33" s="68" t="s">
        <v>667</v>
      </c>
      <c r="J33" s="899">
        <f>'MDA Worksheet'!$AU$48</f>
        <v>2.25</v>
      </c>
      <c r="K33" s="917">
        <f>'MDA Worksheet'!$AU$46*100</f>
        <v>30</v>
      </c>
      <c r="L33" s="59" t="s">
        <v>482</v>
      </c>
    </row>
    <row r="34" spans="1:12" x14ac:dyDescent="0.25">
      <c r="A34" s="59">
        <v>18</v>
      </c>
      <c r="B34" s="59">
        <v>0</v>
      </c>
      <c r="C34" s="59">
        <v>0</v>
      </c>
      <c r="D34" s="59" t="s">
        <v>665</v>
      </c>
      <c r="E34" s="59" t="s">
        <v>664</v>
      </c>
      <c r="F34" s="66" t="str">
        <f>'PIM Model'!$AD$14</f>
        <v/>
      </c>
      <c r="G34" s="65" t="str">
        <f t="shared" si="0"/>
        <v/>
      </c>
      <c r="H34" s="70" t="str">
        <f>'PIM Model'!$D$14</f>
        <v>%</v>
      </c>
      <c r="I34" s="68" t="s">
        <v>667</v>
      </c>
      <c r="J34" s="899">
        <f>'MDA Worksheet'!$AU$48</f>
        <v>2.25</v>
      </c>
      <c r="K34" s="917">
        <f>'MDA Worksheet'!$AU$46*100</f>
        <v>30</v>
      </c>
      <c r="L34" s="59" t="s">
        <v>482</v>
      </c>
    </row>
    <row r="35" spans="1:12" x14ac:dyDescent="0.25">
      <c r="A35" s="59">
        <v>19</v>
      </c>
      <c r="B35" s="59">
        <v>0</v>
      </c>
      <c r="C35" s="59">
        <v>0</v>
      </c>
      <c r="D35" s="59" t="s">
        <v>663</v>
      </c>
      <c r="E35" s="59" t="str">
        <f>IF('PRIME Headers'!$C$20="No","PWW","P07")</f>
        <v>P07</v>
      </c>
      <c r="F35" s="66" t="str">
        <f>'PIM Model'!$AD$15</f>
        <v/>
      </c>
      <c r="G35" s="65" t="str">
        <f t="shared" si="0"/>
        <v/>
      </c>
      <c r="H35" s="70" t="str">
        <f>'PIM Model'!$D$15</f>
        <v>%</v>
      </c>
      <c r="I35" s="68" t="s">
        <v>667</v>
      </c>
      <c r="J35" s="899">
        <f>'MDA Worksheet'!$AU$48</f>
        <v>2.25</v>
      </c>
      <c r="K35" s="917">
        <f>'MDA Worksheet'!$AU$46*100</f>
        <v>30</v>
      </c>
      <c r="L35" s="59" t="s">
        <v>482</v>
      </c>
    </row>
    <row r="36" spans="1:12" x14ac:dyDescent="0.25">
      <c r="A36" s="59">
        <v>20</v>
      </c>
      <c r="B36" s="59">
        <v>0</v>
      </c>
      <c r="C36" s="59">
        <v>0</v>
      </c>
      <c r="D36" s="59" t="s">
        <v>663</v>
      </c>
      <c r="E36" s="59" t="str">
        <f>IF('PRIME Headers'!$C$20="No","PWW","P07")</f>
        <v>P07</v>
      </c>
      <c r="F36" s="65" t="str">
        <f>'PIM Model'!$AD$10</f>
        <v/>
      </c>
      <c r="G36" s="65" t="str">
        <f t="shared" si="0"/>
        <v/>
      </c>
      <c r="H36" s="70" t="str">
        <f>'PIM Model'!$D$10</f>
        <v>%</v>
      </c>
      <c r="I36" s="68" t="s">
        <v>667</v>
      </c>
      <c r="J36" s="899">
        <f>'MDA Worksheet'!$AU$48</f>
        <v>2.25</v>
      </c>
      <c r="K36" s="917">
        <f>'MDA Worksheet'!$AU$46*100</f>
        <v>30</v>
      </c>
      <c r="L36" s="59" t="s">
        <v>482</v>
      </c>
    </row>
    <row r="37" spans="1:12" x14ac:dyDescent="0.25">
      <c r="A37" s="59">
        <v>21</v>
      </c>
      <c r="B37" s="59">
        <v>0</v>
      </c>
      <c r="C37" s="59">
        <v>0</v>
      </c>
      <c r="D37" s="59" t="s">
        <v>665</v>
      </c>
      <c r="E37" s="59" t="s">
        <v>664</v>
      </c>
      <c r="F37" s="66" t="str">
        <f>'PIM Model'!$AD$16</f>
        <v/>
      </c>
      <c r="G37" s="65" t="str">
        <f>F37</f>
        <v/>
      </c>
      <c r="H37" s="70" t="str">
        <f>'PIM Model'!$D$16</f>
        <v>%</v>
      </c>
      <c r="I37" s="68" t="s">
        <v>667</v>
      </c>
      <c r="J37" s="899">
        <f>'MDA Worksheet'!$AU$48</f>
        <v>2.25</v>
      </c>
      <c r="K37" s="917">
        <f>'MDA Worksheet'!$AU$46*100</f>
        <v>30</v>
      </c>
      <c r="L37" s="59" t="s">
        <v>482</v>
      </c>
    </row>
    <row r="38" spans="1:12" x14ac:dyDescent="0.25">
      <c r="A38" s="59">
        <v>21</v>
      </c>
      <c r="B38" s="59">
        <v>158</v>
      </c>
      <c r="C38" s="59">
        <v>1957</v>
      </c>
      <c r="D38" s="59" t="s">
        <v>663</v>
      </c>
      <c r="E38" s="59" t="str">
        <f>IF('PRIME Headers'!$C$20="No","PWW","P07")</f>
        <v>P07</v>
      </c>
      <c r="F38" s="66" t="str">
        <f>'PIM Model'!$AD$16</f>
        <v/>
      </c>
      <c r="G38" s="65" t="str">
        <f t="shared" si="0"/>
        <v/>
      </c>
      <c r="H38" s="70" t="str">
        <f>'PIM Model'!$D$16</f>
        <v>%</v>
      </c>
      <c r="I38" s="68" t="s">
        <v>667</v>
      </c>
      <c r="J38" s="899">
        <f>'MDA Worksheet'!$AU$48</f>
        <v>2.25</v>
      </c>
      <c r="K38" s="917">
        <f>'MDA Worksheet'!$AU$46*100</f>
        <v>30</v>
      </c>
      <c r="L38" s="59" t="s">
        <v>482</v>
      </c>
    </row>
    <row r="39" spans="1:12" x14ac:dyDescent="0.25">
      <c r="A39" s="59">
        <v>21</v>
      </c>
      <c r="B39" s="59">
        <v>158</v>
      </c>
      <c r="C39" s="59">
        <v>5800</v>
      </c>
      <c r="D39" s="59" t="s">
        <v>663</v>
      </c>
      <c r="E39" s="59" t="str">
        <f>IF('PRIME Headers'!$C$20="No","PWW","P07")</f>
        <v>P07</v>
      </c>
      <c r="F39" s="66" t="str">
        <f>'PIM Model'!$AD$16</f>
        <v/>
      </c>
      <c r="G39" s="65" t="str">
        <f t="shared" si="0"/>
        <v/>
      </c>
      <c r="H39" s="70" t="str">
        <f>'PIM Model'!$D$16</f>
        <v>%</v>
      </c>
      <c r="I39" s="68" t="s">
        <v>667</v>
      </c>
      <c r="J39" s="899">
        <f>'MDA Worksheet'!$AU$48</f>
        <v>2.25</v>
      </c>
      <c r="K39" s="917">
        <f>'MDA Worksheet'!$AU$46*100</f>
        <v>30</v>
      </c>
      <c r="L39" s="59" t="s">
        <v>482</v>
      </c>
    </row>
    <row r="40" spans="1:12" x14ac:dyDescent="0.25">
      <c r="A40" s="59">
        <v>21</v>
      </c>
      <c r="B40" s="59">
        <v>161</v>
      </c>
      <c r="C40" s="59">
        <v>0</v>
      </c>
      <c r="D40" s="59" t="s">
        <v>663</v>
      </c>
      <c r="E40" s="59" t="str">
        <f>IF('PRIME Headers'!$C$20="No","PWW","P07")</f>
        <v>P07</v>
      </c>
      <c r="F40" s="66" t="str">
        <f>'PIM Model'!$AD$16</f>
        <v/>
      </c>
      <c r="G40" s="65" t="str">
        <f t="shared" si="0"/>
        <v/>
      </c>
      <c r="H40" s="70" t="str">
        <f>'PIM Model'!$D$16</f>
        <v>%</v>
      </c>
      <c r="I40" s="68" t="s">
        <v>667</v>
      </c>
      <c r="J40" s="899">
        <f>'MDA Worksheet'!$AU$48</f>
        <v>2.25</v>
      </c>
      <c r="K40" s="917">
        <f>'MDA Worksheet'!$AU$46*100</f>
        <v>30</v>
      </c>
      <c r="L40" s="59" t="s">
        <v>482</v>
      </c>
    </row>
    <row r="41" spans="1:12" x14ac:dyDescent="0.25">
      <c r="A41" s="59">
        <v>21</v>
      </c>
      <c r="B41" s="59">
        <v>162</v>
      </c>
      <c r="C41" s="59">
        <v>1622</v>
      </c>
      <c r="D41" s="59" t="s">
        <v>663</v>
      </c>
      <c r="E41" s="59" t="str">
        <f>IF('PRIME Headers'!$C$20="No","PWW","P07")</f>
        <v>P07</v>
      </c>
      <c r="F41" s="66" t="str">
        <f>'PIM Model'!$AD$16</f>
        <v/>
      </c>
      <c r="G41" s="65" t="str">
        <f t="shared" si="0"/>
        <v/>
      </c>
      <c r="H41" s="70" t="str">
        <f>'PIM Model'!$D$16</f>
        <v>%</v>
      </c>
      <c r="I41" s="68" t="s">
        <v>667</v>
      </c>
      <c r="J41" s="899">
        <f>'MDA Worksheet'!$AU$48</f>
        <v>2.25</v>
      </c>
      <c r="K41" s="917">
        <f>'MDA Worksheet'!$AU$46*100</f>
        <v>30</v>
      </c>
      <c r="L41" s="59" t="s">
        <v>482</v>
      </c>
    </row>
    <row r="42" spans="1:12" x14ac:dyDescent="0.25">
      <c r="A42" s="59">
        <v>21</v>
      </c>
      <c r="B42" s="59">
        <v>162</v>
      </c>
      <c r="C42" s="59">
        <v>1623</v>
      </c>
      <c r="D42" s="59" t="s">
        <v>663</v>
      </c>
      <c r="E42" s="59" t="str">
        <f>IF('PRIME Headers'!$C$20="No","PWW","P07")</f>
        <v>P07</v>
      </c>
      <c r="F42" s="66" t="str">
        <f>'PIM Model'!$AD$16</f>
        <v/>
      </c>
      <c r="G42" s="65" t="str">
        <f t="shared" si="0"/>
        <v/>
      </c>
      <c r="H42" s="70" t="str">
        <f>'PIM Model'!$D$16</f>
        <v>%</v>
      </c>
      <c r="I42" s="68" t="s">
        <v>667</v>
      </c>
      <c r="J42" s="899">
        <f>'MDA Worksheet'!$AU$48</f>
        <v>2.25</v>
      </c>
      <c r="K42" s="917">
        <f>'MDA Worksheet'!$AU$46*100</f>
        <v>30</v>
      </c>
      <c r="L42" s="59" t="s">
        <v>482</v>
      </c>
    </row>
    <row r="43" spans="1:12" x14ac:dyDescent="0.25">
      <c r="A43" s="59">
        <v>21</v>
      </c>
      <c r="B43" s="59">
        <v>162</v>
      </c>
      <c r="C43" s="59">
        <v>3490</v>
      </c>
      <c r="D43" s="59" t="s">
        <v>663</v>
      </c>
      <c r="E43" s="59" t="str">
        <f>IF('PRIME Headers'!$C$20="No","PWW","P07")</f>
        <v>P07</v>
      </c>
      <c r="F43" s="66" t="str">
        <f>'PIM Model'!$AD$16</f>
        <v/>
      </c>
      <c r="G43" s="65" t="str">
        <f t="shared" si="0"/>
        <v/>
      </c>
      <c r="H43" s="70" t="str">
        <f>'PIM Model'!$D$16</f>
        <v>%</v>
      </c>
      <c r="I43" s="68" t="s">
        <v>667</v>
      </c>
      <c r="J43" s="899">
        <f>'MDA Worksheet'!$AU$48</f>
        <v>2.25</v>
      </c>
      <c r="K43" s="917">
        <f>'MDA Worksheet'!$AU$46*100</f>
        <v>30</v>
      </c>
      <c r="L43" s="59" t="s">
        <v>482</v>
      </c>
    </row>
    <row r="44" spans="1:12" x14ac:dyDescent="0.25">
      <c r="A44" s="59">
        <v>21</v>
      </c>
      <c r="B44" s="59">
        <v>162</v>
      </c>
      <c r="C44" s="59">
        <v>3500</v>
      </c>
      <c r="D44" s="59" t="s">
        <v>663</v>
      </c>
      <c r="E44" s="59" t="str">
        <f>IF('PRIME Headers'!$C$20="No","PWW","P07")</f>
        <v>P07</v>
      </c>
      <c r="F44" s="66" t="str">
        <f>'PIM Model'!$AD$16</f>
        <v/>
      </c>
      <c r="G44" s="65" t="str">
        <f t="shared" si="0"/>
        <v/>
      </c>
      <c r="H44" s="70" t="str">
        <f>'PIM Model'!$D$16</f>
        <v>%</v>
      </c>
      <c r="I44" s="68" t="s">
        <v>667</v>
      </c>
      <c r="J44" s="899">
        <f>'MDA Worksheet'!$AU$48</f>
        <v>2.25</v>
      </c>
      <c r="K44" s="917">
        <f>'MDA Worksheet'!$AU$46*100</f>
        <v>30</v>
      </c>
      <c r="L44" s="59" t="s">
        <v>482</v>
      </c>
    </row>
    <row r="45" spans="1:12" x14ac:dyDescent="0.25">
      <c r="A45" s="59">
        <v>21</v>
      </c>
      <c r="B45" s="59">
        <v>162</v>
      </c>
      <c r="C45" s="59">
        <v>7625</v>
      </c>
      <c r="D45" s="59" t="s">
        <v>663</v>
      </c>
      <c r="E45" s="59" t="str">
        <f>IF('PRIME Headers'!$C$20="No","PWW","P07")</f>
        <v>P07</v>
      </c>
      <c r="F45" s="66" t="str">
        <f>'PIM Model'!$AD$16</f>
        <v/>
      </c>
      <c r="G45" s="65" t="str">
        <f t="shared" si="0"/>
        <v/>
      </c>
      <c r="H45" s="70" t="str">
        <f>'PIM Model'!$D$16</f>
        <v>%</v>
      </c>
      <c r="I45" s="68" t="s">
        <v>667</v>
      </c>
      <c r="J45" s="899">
        <f>'MDA Worksheet'!$AU$48</f>
        <v>2.25</v>
      </c>
      <c r="K45" s="917">
        <f>'MDA Worksheet'!$AU$46*100</f>
        <v>30</v>
      </c>
      <c r="L45" s="59" t="s">
        <v>482</v>
      </c>
    </row>
    <row r="46" spans="1:12" x14ac:dyDescent="0.25">
      <c r="A46" s="59">
        <v>21</v>
      </c>
      <c r="B46" s="59">
        <v>162</v>
      </c>
      <c r="C46" s="59">
        <v>7636</v>
      </c>
      <c r="D46" s="59" t="s">
        <v>663</v>
      </c>
      <c r="E46" s="59" t="str">
        <f>IF('PRIME Headers'!$C$20="No","PWW","P07")</f>
        <v>P07</v>
      </c>
      <c r="F46" s="66" t="str">
        <f>'PIM Model'!$AD$16</f>
        <v/>
      </c>
      <c r="G46" s="65" t="str">
        <f t="shared" si="0"/>
        <v/>
      </c>
      <c r="H46" s="70" t="str">
        <f>'PIM Model'!$D$16</f>
        <v>%</v>
      </c>
      <c r="I46" s="68" t="s">
        <v>667</v>
      </c>
      <c r="J46" s="899">
        <f>'MDA Worksheet'!$AU$48</f>
        <v>2.25</v>
      </c>
      <c r="K46" s="917">
        <f>'MDA Worksheet'!$AU$46*100</f>
        <v>30</v>
      </c>
      <c r="L46" s="59" t="s">
        <v>482</v>
      </c>
    </row>
    <row r="47" spans="1:12" x14ac:dyDescent="0.25">
      <c r="A47" s="59">
        <v>22</v>
      </c>
      <c r="B47" s="59">
        <v>0</v>
      </c>
      <c r="C47" s="59">
        <v>0</v>
      </c>
      <c r="D47" s="59" t="s">
        <v>663</v>
      </c>
      <c r="E47" s="59" t="str">
        <f>IF('PRIME Headers'!$C$20="No","PWW","P07")</f>
        <v>P07</v>
      </c>
      <c r="F47" s="66" t="str">
        <f>'PIM Model'!$AD$20</f>
        <v/>
      </c>
      <c r="G47" s="65" t="str">
        <f t="shared" si="0"/>
        <v/>
      </c>
      <c r="H47" s="70" t="str">
        <f>'PIM Model'!$D$20</f>
        <v>%</v>
      </c>
      <c r="I47" s="68" t="s">
        <v>667</v>
      </c>
      <c r="J47" s="899">
        <f>'MDA Worksheet'!$AU$48</f>
        <v>2.25</v>
      </c>
      <c r="K47" s="917">
        <f>'MDA Worksheet'!$AU$46*100</f>
        <v>30</v>
      </c>
      <c r="L47" s="59" t="s">
        <v>482</v>
      </c>
    </row>
    <row r="48" spans="1:12" x14ac:dyDescent="0.25">
      <c r="A48" s="59">
        <v>22</v>
      </c>
      <c r="B48" s="59">
        <v>171</v>
      </c>
      <c r="C48" s="59">
        <v>1400</v>
      </c>
      <c r="D48" s="59" t="s">
        <v>665</v>
      </c>
      <c r="E48" s="59" t="s">
        <v>664</v>
      </c>
      <c r="F48" s="66" t="str">
        <f>'PIM Model'!$AD$20</f>
        <v/>
      </c>
      <c r="G48" s="65" t="str">
        <f t="shared" si="0"/>
        <v/>
      </c>
      <c r="H48" s="70" t="str">
        <f>'PIM Model'!$D$20</f>
        <v>%</v>
      </c>
      <c r="I48" s="68" t="s">
        <v>667</v>
      </c>
      <c r="J48" s="899">
        <f>'MDA Worksheet'!$AU$48</f>
        <v>2.25</v>
      </c>
      <c r="K48" s="917">
        <f>'MDA Worksheet'!$AU$46*100</f>
        <v>30</v>
      </c>
      <c r="L48" s="59" t="s">
        <v>482</v>
      </c>
    </row>
    <row r="49" spans="1:12" x14ac:dyDescent="0.25">
      <c r="A49" s="59">
        <v>22</v>
      </c>
      <c r="B49" s="59">
        <v>174</v>
      </c>
      <c r="C49" s="59">
        <v>1414</v>
      </c>
      <c r="D49" s="59" t="s">
        <v>665</v>
      </c>
      <c r="E49" s="59" t="s">
        <v>664</v>
      </c>
      <c r="F49" s="66" t="str">
        <f>'PIM Model'!$AD$20</f>
        <v/>
      </c>
      <c r="G49" s="65" t="str">
        <f t="shared" si="0"/>
        <v/>
      </c>
      <c r="H49" s="70" t="str">
        <f>'PIM Model'!$D$20</f>
        <v>%</v>
      </c>
      <c r="I49" s="68" t="s">
        <v>667</v>
      </c>
      <c r="J49" s="899">
        <f>'MDA Worksheet'!$AU$48</f>
        <v>2.25</v>
      </c>
      <c r="K49" s="917">
        <f>'MDA Worksheet'!$AU$46*100</f>
        <v>30</v>
      </c>
      <c r="L49" s="59" t="s">
        <v>482</v>
      </c>
    </row>
    <row r="50" spans="1:12" x14ac:dyDescent="0.25">
      <c r="A50" s="59">
        <v>22</v>
      </c>
      <c r="B50" s="59">
        <v>176</v>
      </c>
      <c r="C50" s="59">
        <v>0</v>
      </c>
      <c r="D50" s="59" t="s">
        <v>665</v>
      </c>
      <c r="E50" s="59" t="s">
        <v>664</v>
      </c>
      <c r="F50" s="66" t="str">
        <f>'PIM Model'!$AD$20</f>
        <v/>
      </c>
      <c r="G50" s="65" t="str">
        <f t="shared" si="0"/>
        <v/>
      </c>
      <c r="H50" s="70" t="str">
        <f>'PIM Model'!$D$20</f>
        <v>%</v>
      </c>
      <c r="I50" s="68" t="s">
        <v>667</v>
      </c>
      <c r="J50" s="899">
        <f>'MDA Worksheet'!$AU$48</f>
        <v>2.25</v>
      </c>
      <c r="K50" s="917">
        <f>'MDA Worksheet'!$AU$46*100</f>
        <v>30</v>
      </c>
      <c r="L50" s="59" t="s">
        <v>482</v>
      </c>
    </row>
    <row r="51" spans="1:12" x14ac:dyDescent="0.25">
      <c r="A51" s="59">
        <v>22</v>
      </c>
      <c r="B51" s="59">
        <v>177</v>
      </c>
      <c r="C51" s="59">
        <v>1886</v>
      </c>
      <c r="D51" s="59" t="s">
        <v>663</v>
      </c>
      <c r="E51" s="59" t="str">
        <f>IF('PRIME Headers'!$C$20="No","PWW","P07")</f>
        <v>P07</v>
      </c>
      <c r="F51" s="66" t="str">
        <f>'PIM Model'!$AD$20</f>
        <v/>
      </c>
      <c r="G51" s="65" t="str">
        <f t="shared" si="0"/>
        <v/>
      </c>
      <c r="H51" s="70" t="str">
        <f>'PIM Model'!$D$20</f>
        <v>%</v>
      </c>
      <c r="I51" s="68" t="s">
        <v>667</v>
      </c>
      <c r="J51" s="899">
        <f>'MDA Worksheet'!$AU$48</f>
        <v>2.25</v>
      </c>
      <c r="K51" s="69">
        <v>0</v>
      </c>
      <c r="L51" s="69" t="s">
        <v>242</v>
      </c>
    </row>
    <row r="52" spans="1:12" x14ac:dyDescent="0.25">
      <c r="A52" s="59">
        <v>22</v>
      </c>
      <c r="B52" s="59">
        <v>177</v>
      </c>
      <c r="C52" s="59">
        <v>1908</v>
      </c>
      <c r="D52" s="59" t="s">
        <v>663</v>
      </c>
      <c r="E52" s="59" t="str">
        <f>IF('PRIME Headers'!$C$20="No","PWW","P07")</f>
        <v>P07</v>
      </c>
      <c r="F52" s="66" t="str">
        <f>'PIM Model'!$AD$20</f>
        <v/>
      </c>
      <c r="G52" s="65" t="str">
        <f t="shared" si="0"/>
        <v/>
      </c>
      <c r="H52" s="70" t="str">
        <f>'PIM Model'!$D$20</f>
        <v>%</v>
      </c>
      <c r="I52" s="68" t="s">
        <v>667</v>
      </c>
      <c r="J52" s="899">
        <f>'MDA Worksheet'!$AU$48</f>
        <v>2.25</v>
      </c>
      <c r="K52" s="69">
        <v>0</v>
      </c>
      <c r="L52" s="69" t="s">
        <v>242</v>
      </c>
    </row>
    <row r="53" spans="1:12" x14ac:dyDescent="0.25">
      <c r="A53" s="59">
        <v>22</v>
      </c>
      <c r="B53" s="59">
        <v>177</v>
      </c>
      <c r="C53" s="59">
        <v>3340</v>
      </c>
      <c r="D53" s="59" t="s">
        <v>663</v>
      </c>
      <c r="E53" s="59" t="str">
        <f>IF('PRIME Headers'!$C$20="No","PWW","P07")</f>
        <v>P07</v>
      </c>
      <c r="F53" s="66" t="str">
        <f>'PIM Model'!$AD$20</f>
        <v/>
      </c>
      <c r="G53" s="65" t="str">
        <f t="shared" si="0"/>
        <v/>
      </c>
      <c r="H53" s="70" t="str">
        <f>'PIM Model'!$D$20</f>
        <v>%</v>
      </c>
      <c r="I53" s="68" t="s">
        <v>667</v>
      </c>
      <c r="J53" s="899">
        <f>'MDA Worksheet'!$AU$48</f>
        <v>2.25</v>
      </c>
      <c r="K53" s="69">
        <v>0</v>
      </c>
      <c r="L53" s="69" t="s">
        <v>242</v>
      </c>
    </row>
    <row r="54" spans="1:12" x14ac:dyDescent="0.25">
      <c r="A54" s="59">
        <v>22</v>
      </c>
      <c r="B54" s="59">
        <v>177</v>
      </c>
      <c r="C54" s="59">
        <v>3820</v>
      </c>
      <c r="D54" s="59" t="s">
        <v>663</v>
      </c>
      <c r="E54" s="59" t="str">
        <f>IF('PRIME Headers'!$C$20="No","PWW","P07")</f>
        <v>P07</v>
      </c>
      <c r="F54" s="66" t="str">
        <f>'PIM Model'!$AD$20</f>
        <v/>
      </c>
      <c r="G54" s="65" t="str">
        <f t="shared" si="0"/>
        <v/>
      </c>
      <c r="H54" s="70" t="str">
        <f>'PIM Model'!$D$20</f>
        <v>%</v>
      </c>
      <c r="I54" s="68" t="s">
        <v>667</v>
      </c>
      <c r="J54" s="899">
        <f>'MDA Worksheet'!$AU$48</f>
        <v>2.25</v>
      </c>
      <c r="K54" s="69">
        <v>0</v>
      </c>
      <c r="L54" s="69" t="s">
        <v>242</v>
      </c>
    </row>
    <row r="55" spans="1:12" x14ac:dyDescent="0.25">
      <c r="A55" s="59">
        <v>22</v>
      </c>
      <c r="B55" s="59">
        <v>177</v>
      </c>
      <c r="C55" s="59">
        <v>7733</v>
      </c>
      <c r="D55" s="59" t="s">
        <v>663</v>
      </c>
      <c r="E55" s="59" t="str">
        <f>IF('PRIME Headers'!$C$20="No","PWW","P07")</f>
        <v>P07</v>
      </c>
      <c r="F55" s="66" t="str">
        <f>'PIM Model'!$AD$20</f>
        <v/>
      </c>
      <c r="G55" s="65" t="str">
        <f t="shared" si="0"/>
        <v/>
      </c>
      <c r="H55" s="70" t="str">
        <f>'PIM Model'!$D$20</f>
        <v>%</v>
      </c>
      <c r="I55" s="68" t="s">
        <v>667</v>
      </c>
      <c r="J55" s="899">
        <f>'MDA Worksheet'!$AU$48</f>
        <v>2.25</v>
      </c>
      <c r="K55" s="69">
        <v>0</v>
      </c>
      <c r="L55" s="69" t="s">
        <v>242</v>
      </c>
    </row>
    <row r="56" spans="1:12" x14ac:dyDescent="0.25">
      <c r="A56" s="59">
        <v>22</v>
      </c>
      <c r="B56" s="59">
        <v>180</v>
      </c>
      <c r="C56" s="59">
        <v>0</v>
      </c>
      <c r="D56" s="59" t="s">
        <v>665</v>
      </c>
      <c r="E56" s="59" t="s">
        <v>664</v>
      </c>
      <c r="F56" s="66" t="str">
        <f>'PIM Model'!$AD$20</f>
        <v/>
      </c>
      <c r="G56" s="65" t="str">
        <f t="shared" si="0"/>
        <v/>
      </c>
      <c r="H56" s="70" t="str">
        <f>'PIM Model'!$D$20</f>
        <v>%</v>
      </c>
      <c r="I56" s="68" t="s">
        <v>667</v>
      </c>
      <c r="J56" s="899">
        <f>'MDA Worksheet'!$AU$48</f>
        <v>2.25</v>
      </c>
      <c r="K56" s="917">
        <f>'MDA Worksheet'!$AU$46*100</f>
        <v>30</v>
      </c>
      <c r="L56" s="59" t="s">
        <v>482</v>
      </c>
    </row>
    <row r="57" spans="1:12" x14ac:dyDescent="0.25">
      <c r="A57" s="59">
        <v>22</v>
      </c>
      <c r="B57" s="59">
        <v>232</v>
      </c>
      <c r="C57" s="59">
        <v>1727</v>
      </c>
      <c r="D57" s="59" t="s">
        <v>665</v>
      </c>
      <c r="E57" s="59" t="s">
        <v>664</v>
      </c>
      <c r="F57" s="66" t="str">
        <f>'PIM Model'!$AD$20</f>
        <v/>
      </c>
      <c r="G57" s="65" t="str">
        <f t="shared" si="0"/>
        <v/>
      </c>
      <c r="H57" s="70" t="str">
        <f>'PIM Model'!$D$20</f>
        <v>%</v>
      </c>
      <c r="I57" s="68" t="s">
        <v>667</v>
      </c>
      <c r="J57" s="899">
        <f>'MDA Worksheet'!$AU$48</f>
        <v>2.25</v>
      </c>
      <c r="K57" s="917">
        <f>'MDA Worksheet'!$AU$46*100</f>
        <v>30</v>
      </c>
      <c r="L57" s="59" t="s">
        <v>482</v>
      </c>
    </row>
    <row r="58" spans="1:12" x14ac:dyDescent="0.25">
      <c r="A58" s="59">
        <v>22</v>
      </c>
      <c r="B58" s="59">
        <v>235</v>
      </c>
      <c r="C58" s="59">
        <v>1728</v>
      </c>
      <c r="D58" s="59" t="s">
        <v>665</v>
      </c>
      <c r="E58" s="59" t="s">
        <v>664</v>
      </c>
      <c r="F58" s="66" t="str">
        <f>'PIM Model'!$AD$20</f>
        <v/>
      </c>
      <c r="G58" s="65" t="str">
        <f t="shared" si="0"/>
        <v/>
      </c>
      <c r="H58" s="70" t="str">
        <f>'PIM Model'!$D$20</f>
        <v>%</v>
      </c>
      <c r="I58" s="68" t="s">
        <v>667</v>
      </c>
      <c r="J58" s="899">
        <f>'MDA Worksheet'!$AU$48</f>
        <v>2.25</v>
      </c>
      <c r="K58" s="917">
        <f>'MDA Worksheet'!$AU$46*100</f>
        <v>30</v>
      </c>
      <c r="L58" s="59" t="s">
        <v>482</v>
      </c>
    </row>
    <row r="59" spans="1:12" x14ac:dyDescent="0.25">
      <c r="A59" s="59">
        <v>23</v>
      </c>
      <c r="B59" s="59">
        <v>0</v>
      </c>
      <c r="C59" s="59">
        <v>0</v>
      </c>
      <c r="D59" s="59" t="s">
        <v>663</v>
      </c>
      <c r="E59" s="59" t="str">
        <f>IF('PRIME Headers'!$C$20="No","PWW","P07")</f>
        <v>P07</v>
      </c>
      <c r="F59" s="66" t="str">
        <f>'PIM Model'!$AD$18</f>
        <v/>
      </c>
      <c r="G59" s="65" t="str">
        <f>F59</f>
        <v/>
      </c>
      <c r="H59" s="70" t="str">
        <f>'PIM Model'!$D$18</f>
        <v>%</v>
      </c>
      <c r="I59" s="68" t="s">
        <v>667</v>
      </c>
      <c r="J59" s="899">
        <f>'MDA Worksheet'!$AU$48</f>
        <v>2.25</v>
      </c>
      <c r="K59" s="917">
        <f>'MDA Worksheet'!$AU$46*100</f>
        <v>30</v>
      </c>
      <c r="L59" s="59" t="s">
        <v>482</v>
      </c>
    </row>
    <row r="60" spans="1:12" x14ac:dyDescent="0.25">
      <c r="A60" s="59">
        <v>24</v>
      </c>
      <c r="B60" s="59">
        <v>0</v>
      </c>
      <c r="C60" s="59">
        <v>0</v>
      </c>
      <c r="D60" s="59" t="s">
        <v>663</v>
      </c>
      <c r="E60" s="59" t="str">
        <f>IF('PRIME Headers'!$C$20="No","PWW","P07")</f>
        <v>P07</v>
      </c>
      <c r="F60" s="66" t="str">
        <f>'PIM Model'!$AD$17</f>
        <v/>
      </c>
      <c r="G60" s="65" t="str">
        <f t="shared" si="0"/>
        <v/>
      </c>
      <c r="H60" s="70" t="str">
        <f>'PIM Model'!$D$17</f>
        <v>%</v>
      </c>
      <c r="I60" s="68" t="s">
        <v>667</v>
      </c>
      <c r="J60" s="899">
        <f>'MDA Worksheet'!$AU$48</f>
        <v>2.25</v>
      </c>
      <c r="K60" s="917">
        <f>'MDA Worksheet'!$AU$46*100</f>
        <v>30</v>
      </c>
      <c r="L60" s="59" t="s">
        <v>482</v>
      </c>
    </row>
    <row r="61" spans="1:12" x14ac:dyDescent="0.25">
      <c r="A61" s="59">
        <v>25</v>
      </c>
      <c r="B61" s="59">
        <v>0</v>
      </c>
      <c r="C61" s="59">
        <v>0</v>
      </c>
      <c r="D61" s="59" t="s">
        <v>665</v>
      </c>
      <c r="E61" s="59" t="s">
        <v>666</v>
      </c>
      <c r="F61" s="66" t="str">
        <f>'PIM Model'!$AD$27</f>
        <v/>
      </c>
      <c r="G61" s="65" t="str">
        <f t="shared" si="0"/>
        <v/>
      </c>
      <c r="H61" s="70" t="str">
        <f>IF('PIM Model'!$D$27="$/CS","$","%")</f>
        <v>%</v>
      </c>
      <c r="I61" s="68" t="s">
        <v>667</v>
      </c>
      <c r="J61" s="899">
        <f>'MDA Worksheet'!$AU$48</f>
        <v>2.25</v>
      </c>
      <c r="K61" s="917">
        <f>'MDA Worksheet'!$AU$46*100</f>
        <v>30</v>
      </c>
      <c r="L61" s="59" t="s">
        <v>482</v>
      </c>
    </row>
    <row r="62" spans="1:12" x14ac:dyDescent="0.25">
      <c r="A62" s="59">
        <v>26</v>
      </c>
      <c r="B62" s="59">
        <v>0</v>
      </c>
      <c r="C62" s="59">
        <v>0</v>
      </c>
      <c r="D62" s="59" t="s">
        <v>663</v>
      </c>
      <c r="E62" s="59" t="str">
        <f>IF('PRIME Headers'!$C$20="No","PWW","P07")</f>
        <v>P07</v>
      </c>
      <c r="F62" s="66" t="str">
        <f>'PIM Model'!$AD$21</f>
        <v/>
      </c>
      <c r="G62" s="65" t="str">
        <f t="shared" si="0"/>
        <v/>
      </c>
      <c r="H62" s="70" t="str">
        <f>'PIM Model'!$D$21</f>
        <v>%</v>
      </c>
      <c r="I62" s="68" t="s">
        <v>667</v>
      </c>
      <c r="J62" s="899">
        <f>'MDA Worksheet'!$AU$48</f>
        <v>2.25</v>
      </c>
      <c r="K62" s="917">
        <f>'MDA Worksheet'!$AU$46*100</f>
        <v>30</v>
      </c>
      <c r="L62" s="59" t="s">
        <v>482</v>
      </c>
    </row>
    <row r="63" spans="1:12" x14ac:dyDescent="0.25">
      <c r="A63" s="59">
        <v>26</v>
      </c>
      <c r="B63" s="59">
        <v>310</v>
      </c>
      <c r="C63" s="59">
        <v>5390</v>
      </c>
      <c r="D63" s="59" t="s">
        <v>665</v>
      </c>
      <c r="E63" s="59" t="s">
        <v>664</v>
      </c>
      <c r="F63" s="66" t="str">
        <f>'PIM Model'!$AD$21</f>
        <v/>
      </c>
      <c r="G63" s="65" t="str">
        <f t="shared" si="0"/>
        <v/>
      </c>
      <c r="H63" s="70" t="str">
        <f>'PIM Model'!$D$22</f>
        <v>%</v>
      </c>
      <c r="I63" s="68" t="s">
        <v>667</v>
      </c>
      <c r="J63" s="899">
        <f>'MDA Worksheet'!$AU$48</f>
        <v>2.25</v>
      </c>
      <c r="K63" s="917">
        <f>'MDA Worksheet'!$AU$46*100</f>
        <v>30</v>
      </c>
      <c r="L63" s="59" t="s">
        <v>482</v>
      </c>
    </row>
    <row r="64" spans="1:12" x14ac:dyDescent="0.25">
      <c r="A64" s="59">
        <v>29</v>
      </c>
      <c r="B64" s="59">
        <v>0</v>
      </c>
      <c r="C64" s="59">
        <v>0</v>
      </c>
      <c r="D64" s="59" t="s">
        <v>665</v>
      </c>
      <c r="E64" s="59" t="s">
        <v>664</v>
      </c>
      <c r="F64" s="66" t="str">
        <f>'PIM Model'!$AD$23</f>
        <v/>
      </c>
      <c r="G64" s="65" t="str">
        <f t="shared" si="0"/>
        <v/>
      </c>
      <c r="H64" s="70" t="str">
        <f>'PIM Model'!$D$23</f>
        <v>%</v>
      </c>
      <c r="I64" s="68" t="s">
        <v>667</v>
      </c>
      <c r="J64" s="899">
        <f>'MDA Worksheet'!$AU$48</f>
        <v>2.25</v>
      </c>
      <c r="K64" s="917">
        <f>'MDA Worksheet'!$AU$46*100</f>
        <v>30</v>
      </c>
      <c r="L64" s="59" t="s">
        <v>482</v>
      </c>
    </row>
    <row r="65" spans="1:12" x14ac:dyDescent="0.25">
      <c r="A65" s="59">
        <v>30</v>
      </c>
      <c r="B65" s="59">
        <v>0</v>
      </c>
      <c r="C65" s="59">
        <v>0</v>
      </c>
      <c r="D65" s="59" t="s">
        <v>665</v>
      </c>
      <c r="E65" s="59" t="s">
        <v>664</v>
      </c>
      <c r="F65" s="66" t="str">
        <f>'PIM Model'!$AD$24</f>
        <v/>
      </c>
      <c r="G65" s="65" t="str">
        <f t="shared" si="0"/>
        <v/>
      </c>
      <c r="H65" s="70" t="str">
        <f>IF('PIM Model'!$D$24="$/LB","#","%")</f>
        <v>%</v>
      </c>
      <c r="I65" s="68" t="s">
        <v>667</v>
      </c>
      <c r="J65" s="899">
        <f>'MDA Worksheet'!$AU$48</f>
        <v>2.25</v>
      </c>
      <c r="K65" s="917">
        <f>'MDA Worksheet'!$AU$46*100</f>
        <v>30</v>
      </c>
      <c r="L65" s="59" t="s">
        <v>482</v>
      </c>
    </row>
    <row r="66" spans="1:12" x14ac:dyDescent="0.25">
      <c r="A66" s="59">
        <v>31</v>
      </c>
      <c r="B66" s="59">
        <v>0</v>
      </c>
      <c r="C66" s="59">
        <v>0</v>
      </c>
      <c r="D66" s="59" t="s">
        <v>665</v>
      </c>
      <c r="E66" s="59" t="s">
        <v>664</v>
      </c>
      <c r="F66" s="66" t="str">
        <f>'PIM Model'!$AD$25</f>
        <v/>
      </c>
      <c r="G66" s="65" t="str">
        <f t="shared" si="0"/>
        <v/>
      </c>
      <c r="H66" s="70" t="str">
        <f>IF('PIM Model'!$D$25="$/LB","#","%")</f>
        <v>%</v>
      </c>
      <c r="I66" s="68" t="s">
        <v>667</v>
      </c>
      <c r="J66" s="899">
        <f>'MDA Worksheet'!$AU$48</f>
        <v>2.25</v>
      </c>
      <c r="K66" s="917">
        <f>'MDA Worksheet'!$AU$46*100</f>
        <v>30</v>
      </c>
      <c r="L66" s="59" t="s">
        <v>482</v>
      </c>
    </row>
    <row r="67" spans="1:12" x14ac:dyDescent="0.25">
      <c r="A67" s="59">
        <v>32</v>
      </c>
      <c r="B67" s="59">
        <v>0</v>
      </c>
      <c r="C67" s="59">
        <v>0</v>
      </c>
      <c r="D67" s="59" t="s">
        <v>665</v>
      </c>
      <c r="E67" s="59" t="s">
        <v>664</v>
      </c>
      <c r="F67" s="66" t="str">
        <f>'PIM Model'!$AD$26</f>
        <v/>
      </c>
      <c r="G67" s="65" t="str">
        <f t="shared" si="0"/>
        <v/>
      </c>
      <c r="H67" s="70" t="str">
        <f>IF('PIM Model'!$D$26="$/LB","#","%")</f>
        <v>%</v>
      </c>
      <c r="I67" s="68" t="s">
        <v>667</v>
      </c>
      <c r="J67" s="899">
        <f>'MDA Worksheet'!$AU$48</f>
        <v>2.25</v>
      </c>
      <c r="K67" s="917">
        <f>'MDA Worksheet'!$AU$46*100</f>
        <v>30</v>
      </c>
      <c r="L67" s="59" t="s">
        <v>482</v>
      </c>
    </row>
    <row r="68" spans="1:12" x14ac:dyDescent="0.25">
      <c r="A68" s="59">
        <v>33</v>
      </c>
      <c r="B68" s="59">
        <v>0</v>
      </c>
      <c r="C68" s="59">
        <v>0</v>
      </c>
      <c r="D68" s="59" t="s">
        <v>665</v>
      </c>
      <c r="E68" s="59" t="s">
        <v>664</v>
      </c>
      <c r="F68" s="66" t="str">
        <f>'PIM Model'!$AD$29</f>
        <v/>
      </c>
      <c r="G68" s="65" t="str">
        <f t="shared" si="0"/>
        <v/>
      </c>
      <c r="H68" s="70" t="str">
        <f>IF('PIM Model'!$D$29="$/LB","#","%")</f>
        <v>%</v>
      </c>
      <c r="I68" s="68" t="s">
        <v>667</v>
      </c>
      <c r="J68" s="899">
        <f>'MDA Worksheet'!$AU$48</f>
        <v>2.25</v>
      </c>
      <c r="K68" s="917">
        <f>'MDA Worksheet'!$AU$46*100</f>
        <v>30</v>
      </c>
      <c r="L68" s="59" t="s">
        <v>482</v>
      </c>
    </row>
    <row r="69" spans="1:12" x14ac:dyDescent="0.25">
      <c r="A69" s="59">
        <v>34</v>
      </c>
      <c r="B69" s="59">
        <v>0</v>
      </c>
      <c r="C69" s="59">
        <v>0</v>
      </c>
      <c r="D69" s="59" t="s">
        <v>665</v>
      </c>
      <c r="E69" s="59" t="s">
        <v>664</v>
      </c>
      <c r="F69" s="66" t="str">
        <f>'PIM Model'!$AD$30</f>
        <v/>
      </c>
      <c r="G69" s="65" t="str">
        <f t="shared" ref="G69:G72" si="2">F69</f>
        <v/>
      </c>
      <c r="H69" s="70" t="str">
        <f>IF('PIM Model'!$D$30="$/LB","#","%")</f>
        <v>%</v>
      </c>
      <c r="I69" s="68" t="s">
        <v>667</v>
      </c>
      <c r="J69" s="899">
        <f>'MDA Worksheet'!$AU$48</f>
        <v>2.25</v>
      </c>
      <c r="K69" s="917">
        <f>'MDA Worksheet'!$AU$46*100</f>
        <v>30</v>
      </c>
      <c r="L69" s="59" t="s">
        <v>482</v>
      </c>
    </row>
    <row r="70" spans="1:12" x14ac:dyDescent="0.25">
      <c r="A70" s="59">
        <v>35</v>
      </c>
      <c r="B70" s="59">
        <v>0</v>
      </c>
      <c r="C70" s="59">
        <v>0</v>
      </c>
      <c r="D70" s="59" t="s">
        <v>665</v>
      </c>
      <c r="E70" s="59" t="s">
        <v>664</v>
      </c>
      <c r="F70" s="66" t="str">
        <f>'PIM Model'!$AD$28</f>
        <v/>
      </c>
      <c r="G70" s="65" t="str">
        <f t="shared" si="2"/>
        <v/>
      </c>
      <c r="H70" s="70" t="str">
        <f>'PIM Model'!$D$28</f>
        <v>%</v>
      </c>
      <c r="I70" s="68" t="s">
        <v>667</v>
      </c>
      <c r="J70" s="899">
        <f>'MDA Worksheet'!$AU$48</f>
        <v>2.25</v>
      </c>
      <c r="K70" s="917">
        <f>'MDA Worksheet'!$AU$46*100</f>
        <v>30</v>
      </c>
      <c r="L70" s="59" t="s">
        <v>482</v>
      </c>
    </row>
    <row r="71" spans="1:12" x14ac:dyDescent="0.25">
      <c r="A71" s="59">
        <v>35</v>
      </c>
      <c r="B71" s="59">
        <v>272</v>
      </c>
      <c r="C71" s="59">
        <v>3470</v>
      </c>
      <c r="D71" s="59" t="s">
        <v>663</v>
      </c>
      <c r="E71" s="59" t="str">
        <f>IF('PRIME Headers'!$C$20="No","PWW","P07")</f>
        <v>P07</v>
      </c>
      <c r="F71" s="66" t="str">
        <f>'PIM Model'!$AD$28</f>
        <v/>
      </c>
      <c r="G71" s="65" t="str">
        <f t="shared" ref="G71" si="3">F71</f>
        <v/>
      </c>
      <c r="H71" s="70" t="str">
        <f>'PIM Model'!$D$28</f>
        <v>%</v>
      </c>
      <c r="I71" s="68" t="s">
        <v>667</v>
      </c>
      <c r="J71" s="899">
        <f>'MDA Worksheet'!$AU$48</f>
        <v>2.25</v>
      </c>
      <c r="K71" s="917">
        <f>'MDA Worksheet'!$AU$46*100</f>
        <v>30</v>
      </c>
      <c r="L71" s="59" t="s">
        <v>482</v>
      </c>
    </row>
    <row r="72" spans="1:12" x14ac:dyDescent="0.25">
      <c r="A72" s="59">
        <v>37</v>
      </c>
      <c r="B72" s="59">
        <v>0</v>
      </c>
      <c r="C72" s="59">
        <v>0</v>
      </c>
      <c r="D72" s="59" t="s">
        <v>663</v>
      </c>
      <c r="E72" s="59" t="str">
        <f>IF('PRIME Headers'!$C$20="No","PWW","P07")</f>
        <v>P07</v>
      </c>
      <c r="F72" s="66" t="str">
        <f>'PIM Model'!$AD$22</f>
        <v/>
      </c>
      <c r="G72" s="65" t="str">
        <f t="shared" si="2"/>
        <v/>
      </c>
      <c r="H72" s="70" t="str">
        <f>IF('PIM Model'!$D$22="$/LB","#","%")</f>
        <v>%</v>
      </c>
      <c r="I72" s="68" t="s">
        <v>667</v>
      </c>
      <c r="J72" s="899">
        <f>'MDA Worksheet'!$AU$48</f>
        <v>2.25</v>
      </c>
      <c r="K72" s="917">
        <f>'MDA Worksheet'!$AU$46*100</f>
        <v>30</v>
      </c>
      <c r="L72" s="59" t="s">
        <v>482</v>
      </c>
    </row>
    <row r="73" spans="1:12" x14ac:dyDescent="0.25">
      <c r="A73" s="59">
        <v>996</v>
      </c>
      <c r="B73" s="59">
        <v>0</v>
      </c>
      <c r="C73" s="59">
        <v>0</v>
      </c>
      <c r="D73" s="59" t="s">
        <v>663</v>
      </c>
      <c r="E73" s="59" t="str">
        <f>IF('PRIME Headers'!$C$20="No","PWW","P07")</f>
        <v>P07</v>
      </c>
      <c r="F73" s="66" t="str">
        <f>IF(COUNTIF('PIM Model'!$E$10:$E$30,"Exclude"),"",'PIM Model'!$AD$20)</f>
        <v/>
      </c>
      <c r="G73" s="65" t="str">
        <f>F73</f>
        <v/>
      </c>
      <c r="H73" s="70" t="str">
        <f>'PIM Model'!$D$20</f>
        <v>%</v>
      </c>
      <c r="I73" s="68" t="s">
        <v>667</v>
      </c>
      <c r="J73" s="899">
        <f>'MDA Worksheet'!$AU$48</f>
        <v>2.25</v>
      </c>
      <c r="K73" s="917">
        <f>'MDA Worksheet'!$AU$46*100</f>
        <v>30</v>
      </c>
      <c r="L73" s="59" t="s">
        <v>482</v>
      </c>
    </row>
    <row r="74" spans="1:12" x14ac:dyDescent="0.25">
      <c r="A74" s="59">
        <v>997</v>
      </c>
      <c r="B74" s="59">
        <v>0</v>
      </c>
      <c r="C74" s="59">
        <v>0</v>
      </c>
      <c r="D74" s="59" t="s">
        <v>663</v>
      </c>
      <c r="E74" s="59" t="str">
        <f>IF('PRIME Headers'!$C$20="No","PWW","P07")</f>
        <v>P07</v>
      </c>
      <c r="F74" s="66" t="str">
        <f>IF(COUNTIF('PIM Model'!$E$10:$E$30,"Exclude"),"",'PIM Model'!$AD$21)</f>
        <v/>
      </c>
      <c r="G74" s="65" t="str">
        <f t="shared" ref="G74:G76" si="4">F74</f>
        <v/>
      </c>
      <c r="H74" s="70" t="str">
        <f>'PIM Model'!$D$21</f>
        <v>%</v>
      </c>
      <c r="I74" s="68" t="s">
        <v>667</v>
      </c>
      <c r="J74" s="899">
        <f>'MDA Worksheet'!$AU$48</f>
        <v>2.25</v>
      </c>
      <c r="K74" s="917">
        <f>'MDA Worksheet'!$AU$46*100</f>
        <v>30</v>
      </c>
      <c r="L74" s="59" t="s">
        <v>482</v>
      </c>
    </row>
    <row r="75" spans="1:12" x14ac:dyDescent="0.25">
      <c r="A75" s="59">
        <v>998</v>
      </c>
      <c r="B75" s="59">
        <v>0</v>
      </c>
      <c r="C75" s="59">
        <v>0</v>
      </c>
      <c r="D75" s="59" t="s">
        <v>663</v>
      </c>
      <c r="E75" s="59" t="str">
        <f>IF('PRIME Headers'!$C$20="No","PWW","P07")</f>
        <v>P07</v>
      </c>
      <c r="F75" s="66" t="str">
        <f>IF(COUNTIF('PIM Model'!$E$10:$E$30,"Exclude"),"",'PIM Model'!$AD$21)</f>
        <v/>
      </c>
      <c r="G75" s="65" t="str">
        <f t="shared" si="4"/>
        <v/>
      </c>
      <c r="H75" s="70" t="str">
        <f>'PIM Model'!$D$21</f>
        <v>%</v>
      </c>
      <c r="I75" s="68" t="s">
        <v>667</v>
      </c>
      <c r="J75" s="899">
        <f>'MDA Worksheet'!$AU$48</f>
        <v>2.25</v>
      </c>
      <c r="K75" s="917">
        <f>'MDA Worksheet'!$AU$46*100</f>
        <v>30</v>
      </c>
      <c r="L75" s="59" t="s">
        <v>482</v>
      </c>
    </row>
    <row r="76" spans="1:12" x14ac:dyDescent="0.25">
      <c r="A76" s="59">
        <v>999</v>
      </c>
      <c r="B76" s="59">
        <v>0</v>
      </c>
      <c r="C76" s="59">
        <v>0</v>
      </c>
      <c r="D76" s="59" t="s">
        <v>662</v>
      </c>
      <c r="E76" s="59" t="s">
        <v>661</v>
      </c>
      <c r="F76" s="66" t="str">
        <f>IF(COUNTIF('PIM Model'!$E$10:$E$30,"Exclude"),"",'PIM Model'!$AD$20)</f>
        <v/>
      </c>
      <c r="G76" s="65" t="str">
        <f t="shared" si="4"/>
        <v/>
      </c>
      <c r="H76" s="70" t="str">
        <f>'PIM Model'!$D$20</f>
        <v>%</v>
      </c>
      <c r="I76" s="68" t="s">
        <v>667</v>
      </c>
      <c r="J76" s="899">
        <f>'MDA Worksheet'!$AU$48</f>
        <v>2.25</v>
      </c>
      <c r="K76" s="917">
        <f>'MDA Worksheet'!$AU$46*100</f>
        <v>30</v>
      </c>
      <c r="L76" s="59" t="s">
        <v>482</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256</v>
      </c>
      <c r="B2" s="1"/>
      <c r="C2" s="343" t="s">
        <v>99</v>
      </c>
      <c r="D2" s="343" t="s">
        <v>103</v>
      </c>
      <c r="E2" s="343" t="s">
        <v>1389</v>
      </c>
      <c r="F2" s="343" t="s">
        <v>102</v>
      </c>
      <c r="G2" s="343" t="s">
        <v>100</v>
      </c>
      <c r="H2" s="343" t="s">
        <v>104</v>
      </c>
      <c r="I2" s="343" t="s">
        <v>98</v>
      </c>
      <c r="J2" s="343" t="s">
        <v>95</v>
      </c>
      <c r="K2" s="343" t="s">
        <v>96</v>
      </c>
      <c r="L2" s="343" t="s">
        <v>101</v>
      </c>
      <c r="M2" s="343" t="s">
        <v>97</v>
      </c>
      <c r="N2" s="343" t="s">
        <v>93</v>
      </c>
      <c r="O2" s="343" t="s">
        <v>105</v>
      </c>
      <c r="P2" s="343" t="s">
        <v>92</v>
      </c>
      <c r="Q2" s="343" t="s">
        <v>91</v>
      </c>
      <c r="R2" s="343" t="s">
        <v>90</v>
      </c>
      <c r="S2" s="343" t="s">
        <v>89</v>
      </c>
      <c r="T2" s="343" t="s">
        <v>94</v>
      </c>
      <c r="U2" s="343" t="s">
        <v>86</v>
      </c>
      <c r="V2" s="343" t="s">
        <v>88</v>
      </c>
      <c r="W2" s="343" t="s">
        <v>87</v>
      </c>
      <c r="X2" s="343" t="s">
        <v>266</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344">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344">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344">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344">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344">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344">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344">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344">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344">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257</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344">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344">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344">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258</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344">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344">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259</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344">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260</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344">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261</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344">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344">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344">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262</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344">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263</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344">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344">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344">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344">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264</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344">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265</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344">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344">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344">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503</v>
      </c>
    </row>
    <row r="33" spans="1:23" ht="30" x14ac:dyDescent="0.25">
      <c r="A33" t="s">
        <v>256</v>
      </c>
      <c r="C33" t="s">
        <v>99</v>
      </c>
      <c r="D33" s="21" t="s">
        <v>103</v>
      </c>
      <c r="E33" s="21" t="s">
        <v>1389</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257</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258</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259</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260</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261</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262</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263</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264</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265</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502</v>
      </c>
    </row>
    <row r="64" spans="1:23" ht="60" x14ac:dyDescent="0.25">
      <c r="A64" t="s">
        <v>256</v>
      </c>
      <c r="C64" s="21" t="s">
        <v>99</v>
      </c>
      <c r="D64" s="21" t="s">
        <v>103</v>
      </c>
      <c r="E64" s="21" t="s">
        <v>1389</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257</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258</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259</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260</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261</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262</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263</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264</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265</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70"/>
      <c r="D1" s="134"/>
      <c r="E1" s="134"/>
      <c r="F1" s="134"/>
    </row>
    <row r="2" spans="1:6" ht="15.75" x14ac:dyDescent="0.25">
      <c r="A2" s="134"/>
      <c r="B2" s="1797" t="s">
        <v>1038</v>
      </c>
      <c r="C2" s="1798"/>
      <c r="D2" s="134"/>
      <c r="E2" s="134"/>
      <c r="F2" s="134"/>
    </row>
    <row r="3" spans="1:6" x14ac:dyDescent="0.25">
      <c r="A3" s="134"/>
      <c r="B3" s="614" t="s">
        <v>846</v>
      </c>
      <c r="C3" s="671" t="str">
        <f>IF(OR(Welcome!$D$8="PON Only",Welcome!$D$8="PON with Existing CIA",Welcome!$D$8="PON with New CIA"),"ALC PON "&amp;'MDA Worksheet'!$R$14,"ALCM "&amp;'MDA Worksheet'!$R$14)</f>
        <v>ALCM 0</v>
      </c>
      <c r="D3" s="134"/>
      <c r="E3" s="671"/>
      <c r="F3" s="134"/>
    </row>
    <row r="4" spans="1:6" x14ac:dyDescent="0.25">
      <c r="A4" s="134"/>
      <c r="B4" s="614" t="s">
        <v>849</v>
      </c>
      <c r="C4" s="672">
        <f>'Required Info to Submit'!$F$14</f>
        <v>0</v>
      </c>
      <c r="D4" s="134"/>
      <c r="E4" s="134"/>
      <c r="F4" s="134"/>
    </row>
    <row r="5" spans="1:6" x14ac:dyDescent="0.25">
      <c r="A5" s="134"/>
      <c r="B5" s="614" t="s">
        <v>850</v>
      </c>
      <c r="C5" s="671" t="s">
        <v>851</v>
      </c>
      <c r="D5" s="134"/>
      <c r="E5" s="134"/>
      <c r="F5" s="134"/>
    </row>
    <row r="6" spans="1:6" x14ac:dyDescent="0.25">
      <c r="A6" s="134"/>
      <c r="B6" s="1795" t="s">
        <v>854</v>
      </c>
      <c r="C6" s="1796"/>
      <c r="D6" s="134"/>
      <c r="E6" s="134"/>
      <c r="F6" s="134"/>
    </row>
    <row r="7" spans="1:6" x14ac:dyDescent="0.25">
      <c r="A7" s="134"/>
      <c r="B7" s="614" t="s">
        <v>847</v>
      </c>
      <c r="C7" s="671" t="s">
        <v>1178</v>
      </c>
      <c r="D7" s="134"/>
      <c r="E7" s="134"/>
      <c r="F7" s="134"/>
    </row>
    <row r="8" spans="1:6" x14ac:dyDescent="0.25">
      <c r="A8" s="134"/>
      <c r="B8" s="614" t="s">
        <v>848</v>
      </c>
      <c r="C8" s="671" t="s">
        <v>653</v>
      </c>
      <c r="D8" s="134"/>
      <c r="E8" s="134"/>
      <c r="F8" s="134"/>
    </row>
    <row r="9" spans="1:6" x14ac:dyDescent="0.25">
      <c r="A9" s="134"/>
      <c r="B9" s="614" t="s">
        <v>852</v>
      </c>
      <c r="C9" s="671">
        <f>'MDA Worksheet'!$K$10</f>
        <v>0</v>
      </c>
      <c r="D9" s="134"/>
      <c r="E9" s="134"/>
      <c r="F9" s="134"/>
    </row>
    <row r="10" spans="1:6" x14ac:dyDescent="0.25">
      <c r="A10" s="134"/>
      <c r="B10" s="614" t="s">
        <v>770</v>
      </c>
      <c r="C10" s="672">
        <f>'Required Info to Submit'!$F$14</f>
        <v>0</v>
      </c>
      <c r="D10" s="134"/>
      <c r="E10" s="134"/>
      <c r="F10" s="134"/>
    </row>
    <row r="11" spans="1:6" x14ac:dyDescent="0.25">
      <c r="A11" s="134"/>
      <c r="B11" s="614" t="s">
        <v>771</v>
      </c>
      <c r="C11" s="672" t="e">
        <f>IF(C20="NO",C10+370,'MDA Worksheet'!$AV$24)</f>
        <v>#REF!</v>
      </c>
      <c r="D11" s="134"/>
      <c r="E11" s="134"/>
      <c r="F11" s="134"/>
    </row>
    <row r="12" spans="1:6" x14ac:dyDescent="0.25">
      <c r="A12" s="134"/>
      <c r="B12" s="614" t="s">
        <v>853</v>
      </c>
      <c r="C12" s="671" t="s">
        <v>679</v>
      </c>
      <c r="D12" s="134"/>
      <c r="E12" s="134"/>
      <c r="F12" s="134"/>
    </row>
    <row r="13" spans="1:6" x14ac:dyDescent="0.25">
      <c r="A13" s="134"/>
      <c r="B13" s="1795" t="s">
        <v>855</v>
      </c>
      <c r="C13" s="1796"/>
      <c r="D13" s="134"/>
      <c r="E13" s="134"/>
      <c r="F13" s="134"/>
    </row>
    <row r="14" spans="1:6" x14ac:dyDescent="0.25">
      <c r="A14" s="134"/>
      <c r="B14" s="673" t="s">
        <v>856</v>
      </c>
      <c r="C14" s="671">
        <f>'MDA Worksheet'!$AU$48</f>
        <v>2.25</v>
      </c>
      <c r="D14" s="134"/>
      <c r="E14" s="134"/>
      <c r="F14" s="134"/>
    </row>
    <row r="15" spans="1:6" x14ac:dyDescent="0.25">
      <c r="A15" s="134"/>
      <c r="B15" s="673" t="s">
        <v>857</v>
      </c>
      <c r="C15" s="671" t="s">
        <v>858</v>
      </c>
      <c r="D15" s="134"/>
      <c r="E15" s="134"/>
      <c r="F15" s="134"/>
    </row>
    <row r="16" spans="1:6" x14ac:dyDescent="0.25">
      <c r="A16" s="134"/>
      <c r="B16" s="673" t="s">
        <v>859</v>
      </c>
      <c r="C16" s="671" t="s">
        <v>664</v>
      </c>
      <c r="D16" s="134"/>
      <c r="E16" s="134"/>
      <c r="F16" s="134"/>
    </row>
    <row r="17" spans="1:6" x14ac:dyDescent="0.25">
      <c r="A17" s="134"/>
      <c r="B17" s="673" t="s">
        <v>860</v>
      </c>
      <c r="C17" s="671" t="s">
        <v>861</v>
      </c>
      <c r="D17" s="134"/>
      <c r="E17" s="134"/>
      <c r="F17" s="134"/>
    </row>
    <row r="18" spans="1:6" x14ac:dyDescent="0.25">
      <c r="A18" s="134"/>
      <c r="B18" s="673" t="s">
        <v>862</v>
      </c>
      <c r="C18" s="918">
        <f>'MDA Worksheet'!AU46</f>
        <v>0.3</v>
      </c>
      <c r="D18" s="134"/>
      <c r="E18" s="134"/>
      <c r="F18" s="134"/>
    </row>
    <row r="19" spans="1:6" x14ac:dyDescent="0.25">
      <c r="A19" s="134"/>
      <c r="B19" s="673" t="s">
        <v>863</v>
      </c>
      <c r="C19" s="671" t="s">
        <v>482</v>
      </c>
      <c r="D19" s="134"/>
      <c r="E19" s="134"/>
      <c r="F19" s="134"/>
    </row>
    <row r="20" spans="1:6" x14ac:dyDescent="0.25">
      <c r="A20" s="134"/>
      <c r="B20" s="673" t="s">
        <v>864</v>
      </c>
      <c r="C20" s="671" t="str">
        <f>IF(OR(Welcome!$D$8="PON Only",Welcome!$D$8="PON with New CIA",Welcome!$D$8="PON with Existing CIA"),"NO","YES")</f>
        <v>YES</v>
      </c>
      <c r="D20" s="134"/>
      <c r="E20" s="134"/>
      <c r="F20" s="134"/>
    </row>
    <row r="21" spans="1:6" x14ac:dyDescent="0.25">
      <c r="A21" s="134"/>
      <c r="B21" s="673" t="s">
        <v>865</v>
      </c>
      <c r="C21" s="671" t="str">
        <f>IF($C$20="No","","Semi-Annually")</f>
        <v>Semi-Annually</v>
      </c>
      <c r="D21" s="134"/>
      <c r="E21" s="134"/>
      <c r="F21" s="134"/>
    </row>
    <row r="22" spans="1:6" x14ac:dyDescent="0.25">
      <c r="A22" s="134"/>
      <c r="B22" s="673" t="s">
        <v>866</v>
      </c>
      <c r="C22" s="674" t="str">
        <f>'MDA Worksheet'!$T$38</f>
        <v>Error on A La Carte</v>
      </c>
      <c r="D22" s="134"/>
      <c r="E22" s="134"/>
      <c r="F22" s="134"/>
    </row>
    <row r="23" spans="1:6" x14ac:dyDescent="0.25">
      <c r="A23" s="134"/>
      <c r="B23" s="673" t="s">
        <v>867</v>
      </c>
      <c r="C23" s="675" t="str">
        <f>'MDA Worksheet'!$T$36</f>
        <v>Error on A La Carte</v>
      </c>
      <c r="D23" s="134"/>
      <c r="E23" s="134"/>
      <c r="F23" s="134"/>
    </row>
    <row r="24" spans="1:6" ht="15.75" thickBot="1" x14ac:dyDescent="0.3">
      <c r="A24" s="134"/>
      <c r="B24" s="676" t="s">
        <v>868</v>
      </c>
      <c r="C24" s="677">
        <v>2</v>
      </c>
      <c r="D24" s="134"/>
      <c r="E24" s="134"/>
      <c r="F24" s="134"/>
    </row>
    <row r="25" spans="1:6" x14ac:dyDescent="0.25">
      <c r="A25" s="134"/>
      <c r="B25" s="134"/>
      <c r="C25" s="670"/>
      <c r="D25" s="134"/>
      <c r="E25" s="134"/>
      <c r="F25" s="134"/>
    </row>
    <row r="26" spans="1:6" x14ac:dyDescent="0.25">
      <c r="A26" s="134"/>
      <c r="B26" s="134"/>
      <c r="C26" s="670"/>
      <c r="D26" s="134"/>
      <c r="E26" s="134"/>
      <c r="F26" s="134"/>
    </row>
    <row r="27" spans="1:6" x14ac:dyDescent="0.25">
      <c r="A27" s="134"/>
      <c r="B27" s="134"/>
      <c r="C27" s="670"/>
      <c r="D27" s="134"/>
      <c r="E27" s="134"/>
      <c r="F27" s="134"/>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772" bestFit="1" customWidth="1"/>
    <col min="3" max="3" width="28" style="772" bestFit="1" customWidth="1"/>
    <col min="4" max="4" width="10.85546875" bestFit="1" customWidth="1"/>
    <col min="5" max="5" width="15.85546875" bestFit="1" customWidth="1"/>
  </cols>
  <sheetData>
    <row r="1" spans="1:5" x14ac:dyDescent="0.25">
      <c r="A1" s="772"/>
      <c r="D1" s="22"/>
      <c r="E1" s="22"/>
    </row>
    <row r="2" spans="1:5" x14ac:dyDescent="0.25">
      <c r="A2" s="772"/>
      <c r="D2" s="22"/>
      <c r="E2" s="22"/>
    </row>
    <row r="3" spans="1:5" x14ac:dyDescent="0.25">
      <c r="A3" s="772"/>
      <c r="D3" s="22"/>
      <c r="E3" s="22"/>
    </row>
    <row r="4" spans="1:5" x14ac:dyDescent="0.25">
      <c r="A4" s="772"/>
      <c r="D4" s="22"/>
      <c r="E4" s="22"/>
    </row>
    <row r="5" spans="1:5" x14ac:dyDescent="0.25">
      <c r="A5" s="772"/>
      <c r="D5" s="22"/>
      <c r="E5" s="22"/>
    </row>
    <row r="6" spans="1:5" x14ac:dyDescent="0.25">
      <c r="A6" s="772"/>
      <c r="D6" s="22"/>
      <c r="E6" s="22"/>
    </row>
    <row r="7" spans="1:5" x14ac:dyDescent="0.25">
      <c r="A7" s="772"/>
      <c r="D7" s="22"/>
      <c r="E7" s="22"/>
    </row>
    <row r="8" spans="1:5" x14ac:dyDescent="0.25">
      <c r="A8" s="772"/>
      <c r="D8" s="22"/>
      <c r="E8" s="22"/>
    </row>
    <row r="9" spans="1:5" x14ac:dyDescent="0.25">
      <c r="A9" s="772"/>
      <c r="D9" s="22"/>
      <c r="E9" s="22"/>
    </row>
    <row r="10" spans="1:5" x14ac:dyDescent="0.25">
      <c r="A10" s="772"/>
      <c r="D10" s="22"/>
      <c r="E10" s="22"/>
    </row>
    <row r="11" spans="1:5" x14ac:dyDescent="0.25">
      <c r="A11" s="772"/>
      <c r="D11" s="22"/>
      <c r="E11" s="22"/>
    </row>
    <row r="12" spans="1:5" x14ac:dyDescent="0.25">
      <c r="A12" s="772"/>
      <c r="D12" s="22"/>
      <c r="E12" s="22"/>
    </row>
    <row r="13" spans="1:5" x14ac:dyDescent="0.25">
      <c r="A13" s="772"/>
      <c r="D13" s="22"/>
      <c r="E13" s="22"/>
    </row>
    <row r="14" spans="1:5" x14ac:dyDescent="0.25">
      <c r="A14" s="772"/>
      <c r="D14" s="22"/>
      <c r="E14" s="22"/>
    </row>
    <row r="15" spans="1:5" x14ac:dyDescent="0.25">
      <c r="A15" s="772"/>
      <c r="D15" s="22"/>
      <c r="E15" s="22"/>
    </row>
    <row r="16" spans="1:5" x14ac:dyDescent="0.25">
      <c r="A16" s="772"/>
      <c r="D16" s="22"/>
      <c r="E16" s="22"/>
    </row>
    <row r="17" spans="1:5" x14ac:dyDescent="0.25">
      <c r="A17" s="772"/>
      <c r="D17" s="22"/>
      <c r="E17" s="22"/>
    </row>
    <row r="18" spans="1:5" x14ac:dyDescent="0.25">
      <c r="A18" s="772"/>
      <c r="D18" s="22"/>
      <c r="E18" s="22"/>
    </row>
    <row r="19" spans="1:5" x14ac:dyDescent="0.25">
      <c r="A19" s="772"/>
      <c r="D19" s="22"/>
      <c r="E19" s="22"/>
    </row>
    <row r="20" spans="1:5" x14ac:dyDescent="0.25">
      <c r="A20" s="772"/>
      <c r="D20" s="22"/>
      <c r="E20" s="22"/>
    </row>
    <row r="21" spans="1:5" x14ac:dyDescent="0.25">
      <c r="A21" s="772"/>
      <c r="D21" s="22"/>
      <c r="E21" s="22"/>
    </row>
    <row r="22" spans="1:5" x14ac:dyDescent="0.25">
      <c r="A22" s="772"/>
      <c r="D22" s="22"/>
      <c r="E22" s="22"/>
    </row>
    <row r="23" spans="1:5" x14ac:dyDescent="0.25">
      <c r="A23" s="772"/>
      <c r="D23" s="22"/>
      <c r="E23" s="22"/>
    </row>
    <row r="24" spans="1:5" x14ac:dyDescent="0.25">
      <c r="A24" s="772"/>
      <c r="D24" s="22"/>
      <c r="E24" s="22"/>
    </row>
    <row r="25" spans="1:5" x14ac:dyDescent="0.25">
      <c r="A25" s="772"/>
      <c r="D25" s="22"/>
      <c r="E25" s="22"/>
    </row>
    <row r="26" spans="1:5" x14ac:dyDescent="0.25">
      <c r="A26" s="772"/>
      <c r="D26" s="22"/>
      <c r="E26" s="22"/>
    </row>
    <row r="27" spans="1:5" x14ac:dyDescent="0.25">
      <c r="A27" s="772"/>
      <c r="D27" s="22"/>
      <c r="E27" s="22"/>
    </row>
    <row r="28" spans="1:5" x14ac:dyDescent="0.25">
      <c r="A28" s="772"/>
      <c r="D28" s="22"/>
      <c r="E28" s="22"/>
    </row>
    <row r="29" spans="1:5" x14ac:dyDescent="0.25">
      <c r="A29" s="772"/>
      <c r="D29" s="22"/>
      <c r="E29" s="22"/>
    </row>
    <row r="30" spans="1:5" x14ac:dyDescent="0.25">
      <c r="A30" s="772"/>
      <c r="D30" s="22"/>
      <c r="E30" s="22"/>
    </row>
    <row r="31" spans="1:5" x14ac:dyDescent="0.25">
      <c r="A31" s="772"/>
      <c r="D31" s="22"/>
      <c r="E31" s="22"/>
    </row>
    <row r="32" spans="1:5" x14ac:dyDescent="0.25">
      <c r="A32" s="772"/>
      <c r="D32" s="22"/>
      <c r="E32" s="22"/>
    </row>
    <row r="33" spans="1:5" x14ac:dyDescent="0.25">
      <c r="A33" s="772"/>
      <c r="D33" s="22"/>
      <c r="E33" s="22"/>
    </row>
    <row r="34" spans="1:5" x14ac:dyDescent="0.25">
      <c r="A34" s="772"/>
      <c r="D34" s="22"/>
      <c r="E34" s="22"/>
    </row>
    <row r="35" spans="1:5" x14ac:dyDescent="0.25">
      <c r="A35" s="772"/>
      <c r="D35" s="22"/>
      <c r="E35" s="22"/>
    </row>
    <row r="36" spans="1:5" x14ac:dyDescent="0.25">
      <c r="A36" s="772"/>
      <c r="D36" s="22"/>
      <c r="E36" s="22"/>
    </row>
    <row r="37" spans="1:5" x14ac:dyDescent="0.25">
      <c r="A37" s="772"/>
      <c r="D37" s="22"/>
      <c r="E37" s="22"/>
    </row>
    <row r="38" spans="1:5" x14ac:dyDescent="0.25">
      <c r="A38" s="772"/>
      <c r="D38" s="22"/>
      <c r="E38" s="22"/>
    </row>
    <row r="39" spans="1:5" x14ac:dyDescent="0.25">
      <c r="A39" s="772"/>
      <c r="D39" s="22"/>
      <c r="E39" s="22"/>
    </row>
    <row r="40" spans="1:5" x14ac:dyDescent="0.25">
      <c r="A40" s="772"/>
      <c r="D40" s="22"/>
      <c r="E40" s="22"/>
    </row>
    <row r="41" spans="1:5" x14ac:dyDescent="0.25">
      <c r="A41" s="772"/>
      <c r="D41" s="22"/>
      <c r="E41" s="22"/>
    </row>
    <row r="42" spans="1:5" x14ac:dyDescent="0.25">
      <c r="A42" s="772"/>
      <c r="D42" s="22"/>
      <c r="E42" s="22"/>
    </row>
    <row r="43" spans="1:5" x14ac:dyDescent="0.25">
      <c r="A43" s="772"/>
      <c r="D43" s="22"/>
      <c r="E43" s="22"/>
    </row>
    <row r="44" spans="1:5" x14ac:dyDescent="0.25">
      <c r="A44" s="772"/>
      <c r="D44" s="22"/>
      <c r="E44" s="22"/>
    </row>
    <row r="45" spans="1:5" x14ac:dyDescent="0.25">
      <c r="A45" s="772"/>
      <c r="D45" s="22"/>
      <c r="E45" s="22"/>
    </row>
    <row r="46" spans="1:5" x14ac:dyDescent="0.25">
      <c r="A46" s="772"/>
      <c r="D46" s="22"/>
      <c r="E46" s="22"/>
    </row>
    <row r="47" spans="1:5" x14ac:dyDescent="0.25">
      <c r="A47" s="772"/>
      <c r="D47" s="22"/>
      <c r="E47" s="22"/>
    </row>
    <row r="48" spans="1:5" x14ac:dyDescent="0.25">
      <c r="A48" s="772"/>
      <c r="D48" s="22"/>
      <c r="E48" s="22"/>
    </row>
    <row r="49" spans="1:5" x14ac:dyDescent="0.25">
      <c r="A49" s="772"/>
      <c r="D49" s="22"/>
      <c r="E49" s="22"/>
    </row>
    <row r="50" spans="1:5" x14ac:dyDescent="0.25">
      <c r="A50" s="772"/>
      <c r="D50" s="22"/>
      <c r="E50" s="22"/>
    </row>
    <row r="51" spans="1:5" x14ac:dyDescent="0.25">
      <c r="A51" s="772"/>
      <c r="D51" s="22"/>
      <c r="E51" s="22"/>
    </row>
    <row r="52" spans="1:5" x14ac:dyDescent="0.25">
      <c r="A52" s="772"/>
      <c r="D52" s="22"/>
      <c r="E52" s="22"/>
    </row>
    <row r="53" spans="1:5" x14ac:dyDescent="0.25">
      <c r="A53" s="772"/>
      <c r="D53" s="22"/>
      <c r="E53" s="22"/>
    </row>
    <row r="54" spans="1:5" x14ac:dyDescent="0.25">
      <c r="A54" s="772"/>
      <c r="D54" s="22"/>
      <c r="E54" s="22"/>
    </row>
    <row r="55" spans="1:5" x14ac:dyDescent="0.25">
      <c r="A55" s="772"/>
      <c r="D55" s="22"/>
      <c r="E55" s="22"/>
    </row>
    <row r="56" spans="1:5" x14ac:dyDescent="0.25">
      <c r="A56" s="772"/>
      <c r="D56" s="22"/>
      <c r="E56" s="22"/>
    </row>
    <row r="57" spans="1:5" x14ac:dyDescent="0.25">
      <c r="A57" s="772"/>
      <c r="D57" s="22"/>
      <c r="E57" s="22"/>
    </row>
    <row r="58" spans="1:5" x14ac:dyDescent="0.25">
      <c r="A58" s="772"/>
      <c r="D58" s="22"/>
      <c r="E58" s="22"/>
    </row>
    <row r="59" spans="1:5" x14ac:dyDescent="0.25">
      <c r="A59" s="772"/>
      <c r="D59" s="22"/>
      <c r="E59" s="22"/>
    </row>
    <row r="60" spans="1:5" x14ac:dyDescent="0.25">
      <c r="A60" s="772"/>
      <c r="D60" s="22"/>
      <c r="E60" s="22"/>
    </row>
    <row r="61" spans="1:5" x14ac:dyDescent="0.25">
      <c r="A61" s="772"/>
      <c r="D61" s="22"/>
      <c r="E61" s="22"/>
    </row>
    <row r="62" spans="1:5" s="818" customFormat="1" x14ac:dyDescent="0.25">
      <c r="D62" s="22"/>
      <c r="E62" s="22"/>
    </row>
    <row r="63" spans="1:5" x14ac:dyDescent="0.25">
      <c r="A63" s="772"/>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6"/>
  <sheetViews>
    <sheetView topLeftCell="A1196" workbookViewId="0">
      <selection activeCell="B1208" sqref="B1208"/>
    </sheetView>
  </sheetViews>
  <sheetFormatPr defaultRowHeight="15" x14ac:dyDescent="0.25"/>
  <cols>
    <col min="1" max="1" width="17.85546875" style="1085" customWidth="1"/>
    <col min="2" max="2" width="23.5703125" style="1085" customWidth="1"/>
    <col min="3" max="3" width="40.85546875" style="1351" customWidth="1"/>
    <col min="4" max="4" width="43.140625" style="1351" customWidth="1"/>
    <col min="5" max="5" width="42.28515625" style="1086"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319" t="s">
        <v>1505</v>
      </c>
      <c r="B1" s="1319" t="s">
        <v>1506</v>
      </c>
      <c r="C1" s="1353" t="s">
        <v>725</v>
      </c>
      <c r="D1" s="1353" t="s">
        <v>1507</v>
      </c>
      <c r="E1" s="1320" t="s">
        <v>1508</v>
      </c>
    </row>
    <row r="2" spans="1:5" x14ac:dyDescent="0.25">
      <c r="A2" s="1222">
        <v>1</v>
      </c>
      <c r="B2" s="1222" t="s">
        <v>1509</v>
      </c>
      <c r="C2" s="1307" t="s">
        <v>1509</v>
      </c>
      <c r="D2" s="1307" t="s">
        <v>1510</v>
      </c>
      <c r="E2" s="1304" t="s">
        <v>1511</v>
      </c>
    </row>
    <row r="3" spans="1:5" x14ac:dyDescent="0.25">
      <c r="A3" s="1222">
        <v>2</v>
      </c>
      <c r="B3" s="1222" t="s">
        <v>1509</v>
      </c>
      <c r="C3" s="1307" t="s">
        <v>1509</v>
      </c>
      <c r="D3" s="1307" t="s">
        <v>1510</v>
      </c>
      <c r="E3" s="1304" t="s">
        <v>1512</v>
      </c>
    </row>
    <row r="4" spans="1:5" x14ac:dyDescent="0.25">
      <c r="A4" s="1222">
        <v>3</v>
      </c>
      <c r="B4" s="1222" t="s">
        <v>1513</v>
      </c>
      <c r="C4" s="1307" t="s">
        <v>1509</v>
      </c>
      <c r="D4" s="1307" t="s">
        <v>1510</v>
      </c>
      <c r="E4" s="1304" t="s">
        <v>1514</v>
      </c>
    </row>
    <row r="5" spans="1:5" x14ac:dyDescent="0.25">
      <c r="A5" s="1222">
        <v>4</v>
      </c>
      <c r="B5" s="1222" t="s">
        <v>1472</v>
      </c>
      <c r="C5" s="1307" t="s">
        <v>1515</v>
      </c>
      <c r="D5" s="1307" t="s">
        <v>1516</v>
      </c>
      <c r="E5" s="1304" t="s">
        <v>1501</v>
      </c>
    </row>
    <row r="6" spans="1:5" x14ac:dyDescent="0.25">
      <c r="A6" s="1222">
        <v>5</v>
      </c>
      <c r="B6" s="1222" t="s">
        <v>1472</v>
      </c>
      <c r="C6" s="1307" t="s">
        <v>1515</v>
      </c>
      <c r="D6" s="1307" t="s">
        <v>1517</v>
      </c>
      <c r="E6" s="1304" t="s">
        <v>1502</v>
      </c>
    </row>
    <row r="7" spans="1:5" x14ac:dyDescent="0.25">
      <c r="A7" s="1222">
        <v>6</v>
      </c>
      <c r="B7" s="1222" t="s">
        <v>1500</v>
      </c>
      <c r="C7" s="1307" t="s">
        <v>1515</v>
      </c>
      <c r="D7" s="1307" t="s">
        <v>1518</v>
      </c>
      <c r="E7" s="1304" t="s">
        <v>1519</v>
      </c>
    </row>
    <row r="8" spans="1:5" x14ac:dyDescent="0.25">
      <c r="A8" s="1222">
        <v>7</v>
      </c>
      <c r="B8" s="1222" t="s">
        <v>1500</v>
      </c>
      <c r="C8" s="1307" t="s">
        <v>1515</v>
      </c>
      <c r="D8" s="1307" t="s">
        <v>1518</v>
      </c>
      <c r="E8" s="1304" t="s">
        <v>1520</v>
      </c>
    </row>
    <row r="9" spans="1:5" ht="30" x14ac:dyDescent="0.25">
      <c r="A9" s="1222">
        <v>8</v>
      </c>
      <c r="B9" s="1222" t="s">
        <v>1449</v>
      </c>
      <c r="C9" s="1307" t="s">
        <v>1515</v>
      </c>
      <c r="D9" s="1307" t="s">
        <v>1466</v>
      </c>
      <c r="E9" s="1304" t="s">
        <v>1306</v>
      </c>
    </row>
    <row r="10" spans="1:5" ht="30" x14ac:dyDescent="0.25">
      <c r="A10" s="1222">
        <v>9</v>
      </c>
      <c r="B10" s="1222" t="s">
        <v>1449</v>
      </c>
      <c r="C10" s="1307" t="s">
        <v>1515</v>
      </c>
      <c r="D10" s="1307" t="s">
        <v>1466</v>
      </c>
      <c r="E10" s="1304" t="s">
        <v>1307</v>
      </c>
    </row>
    <row r="11" spans="1:5" x14ac:dyDescent="0.25">
      <c r="A11" s="1222">
        <v>10</v>
      </c>
      <c r="B11" s="1222" t="s">
        <v>1449</v>
      </c>
      <c r="C11" s="1307" t="s">
        <v>1515</v>
      </c>
      <c r="D11" s="1307" t="s">
        <v>1466</v>
      </c>
      <c r="E11" s="1304" t="s">
        <v>1311</v>
      </c>
    </row>
    <row r="12" spans="1:5" x14ac:dyDescent="0.25">
      <c r="A12" s="1222">
        <v>11</v>
      </c>
      <c r="B12" s="1222" t="s">
        <v>1449</v>
      </c>
      <c r="C12" s="1307" t="s">
        <v>1521</v>
      </c>
      <c r="D12" s="1307" t="s">
        <v>1466</v>
      </c>
      <c r="E12" s="1304" t="s">
        <v>1308</v>
      </c>
    </row>
    <row r="13" spans="1:5" x14ac:dyDescent="0.25">
      <c r="A13" s="1222">
        <v>12</v>
      </c>
      <c r="B13" s="1222" t="s">
        <v>1449</v>
      </c>
      <c r="C13" s="1307" t="s">
        <v>1521</v>
      </c>
      <c r="D13" s="1307" t="s">
        <v>1466</v>
      </c>
      <c r="E13" s="1304" t="s">
        <v>1319</v>
      </c>
    </row>
    <row r="14" spans="1:5" x14ac:dyDescent="0.25">
      <c r="A14" s="1222">
        <v>13</v>
      </c>
      <c r="B14" s="1222" t="s">
        <v>1449</v>
      </c>
      <c r="C14" s="1307" t="s">
        <v>1521</v>
      </c>
      <c r="D14" s="1307" t="s">
        <v>1466</v>
      </c>
      <c r="E14" s="1304" t="s">
        <v>1320</v>
      </c>
    </row>
    <row r="15" spans="1:5" x14ac:dyDescent="0.25">
      <c r="A15" s="1222">
        <v>14</v>
      </c>
      <c r="B15" s="1222" t="s">
        <v>1449</v>
      </c>
      <c r="C15" s="1307" t="s">
        <v>1521</v>
      </c>
      <c r="D15" s="1307" t="s">
        <v>1466</v>
      </c>
      <c r="E15" s="1304" t="s">
        <v>1322</v>
      </c>
    </row>
    <row r="16" spans="1:5" x14ac:dyDescent="0.25">
      <c r="A16" s="1222">
        <v>15</v>
      </c>
      <c r="B16" s="1222" t="s">
        <v>1449</v>
      </c>
      <c r="C16" s="1307" t="s">
        <v>1521</v>
      </c>
      <c r="D16" s="1307" t="s">
        <v>1466</v>
      </c>
      <c r="E16" s="1304" t="s">
        <v>1323</v>
      </c>
    </row>
    <row r="17" spans="1:5" ht="30" x14ac:dyDescent="0.25">
      <c r="A17" s="1222">
        <v>16</v>
      </c>
      <c r="B17" s="1222" t="s">
        <v>1449</v>
      </c>
      <c r="C17" s="1307" t="s">
        <v>1521</v>
      </c>
      <c r="D17" s="1307" t="s">
        <v>1466</v>
      </c>
      <c r="E17" s="1304" t="s">
        <v>1324</v>
      </c>
    </row>
    <row r="18" spans="1:5" x14ac:dyDescent="0.25">
      <c r="A18" s="1222">
        <v>17</v>
      </c>
      <c r="B18" s="1222" t="s">
        <v>1449</v>
      </c>
      <c r="C18" s="1307" t="s">
        <v>1521</v>
      </c>
      <c r="D18" s="1307" t="s">
        <v>1522</v>
      </c>
      <c r="E18" s="1304" t="s">
        <v>1312</v>
      </c>
    </row>
    <row r="19" spans="1:5" x14ac:dyDescent="0.25">
      <c r="A19" s="1222">
        <v>18</v>
      </c>
      <c r="B19" s="1222" t="s">
        <v>1449</v>
      </c>
      <c r="C19" s="1307" t="s">
        <v>1521</v>
      </c>
      <c r="D19" s="1307" t="s">
        <v>1522</v>
      </c>
      <c r="E19" s="1304" t="s">
        <v>1313</v>
      </c>
    </row>
    <row r="20" spans="1:5" x14ac:dyDescent="0.25">
      <c r="A20" s="1222">
        <v>19</v>
      </c>
      <c r="B20" s="1222" t="s">
        <v>1449</v>
      </c>
      <c r="C20" s="1307" t="s">
        <v>1330</v>
      </c>
      <c r="D20" s="1307" t="s">
        <v>1510</v>
      </c>
      <c r="E20" s="1303" t="s">
        <v>1355</v>
      </c>
    </row>
    <row r="21" spans="1:5" x14ac:dyDescent="0.25">
      <c r="A21" s="1222">
        <v>20</v>
      </c>
      <c r="B21" s="1222" t="s">
        <v>1449</v>
      </c>
      <c r="C21" s="1307" t="s">
        <v>1539</v>
      </c>
      <c r="D21" s="1307" t="s">
        <v>1510</v>
      </c>
      <c r="E21" s="1303" t="s">
        <v>1294</v>
      </c>
    </row>
    <row r="22" spans="1:5" x14ac:dyDescent="0.25">
      <c r="A22" s="1222">
        <v>21</v>
      </c>
      <c r="B22" s="1222" t="s">
        <v>1449</v>
      </c>
      <c r="C22" s="1307" t="s">
        <v>1539</v>
      </c>
      <c r="D22" s="1307" t="s">
        <v>1510</v>
      </c>
      <c r="E22" s="1303" t="s">
        <v>1826</v>
      </c>
    </row>
    <row r="23" spans="1:5" x14ac:dyDescent="0.25">
      <c r="A23" s="1222">
        <v>22</v>
      </c>
      <c r="B23" s="1222" t="s">
        <v>1449</v>
      </c>
      <c r="C23" s="1307" t="s">
        <v>1539</v>
      </c>
      <c r="D23" s="1307" t="s">
        <v>1510</v>
      </c>
      <c r="E23" s="1303" t="s">
        <v>1293</v>
      </c>
    </row>
    <row r="24" spans="1:5" x14ac:dyDescent="0.25">
      <c r="A24" s="1222">
        <v>23</v>
      </c>
      <c r="B24" s="1222" t="s">
        <v>1449</v>
      </c>
      <c r="C24" s="1307" t="s">
        <v>1330</v>
      </c>
      <c r="D24" s="1307" t="s">
        <v>1510</v>
      </c>
      <c r="E24" s="1303" t="s">
        <v>1829</v>
      </c>
    </row>
    <row r="25" spans="1:5" x14ac:dyDescent="0.25">
      <c r="A25" s="1222">
        <v>24</v>
      </c>
      <c r="B25" s="1222" t="s">
        <v>1449</v>
      </c>
      <c r="C25" s="1307" t="s">
        <v>1289</v>
      </c>
      <c r="D25" s="1307" t="s">
        <v>1510</v>
      </c>
      <c r="E25" s="1303" t="s">
        <v>1827</v>
      </c>
    </row>
    <row r="26" spans="1:5" x14ac:dyDescent="0.25">
      <c r="A26" s="1222">
        <v>25</v>
      </c>
      <c r="B26" s="1222" t="s">
        <v>1472</v>
      </c>
      <c r="C26" s="1307" t="s">
        <v>1521</v>
      </c>
      <c r="D26" s="1307" t="s">
        <v>1466</v>
      </c>
      <c r="E26" s="1304" t="s">
        <v>1503</v>
      </c>
    </row>
    <row r="27" spans="1:5" x14ac:dyDescent="0.25">
      <c r="A27" s="1222">
        <v>26</v>
      </c>
      <c r="B27" s="1222" t="s">
        <v>1472</v>
      </c>
      <c r="C27" s="1307" t="s">
        <v>1523</v>
      </c>
      <c r="D27" s="1307" t="s">
        <v>1524</v>
      </c>
      <c r="E27" s="1304" t="s">
        <v>1504</v>
      </c>
    </row>
    <row r="28" spans="1:5" x14ac:dyDescent="0.25">
      <c r="A28" s="1222">
        <v>27</v>
      </c>
      <c r="B28" s="1222" t="s">
        <v>1472</v>
      </c>
      <c r="C28" s="1307" t="s">
        <v>1523</v>
      </c>
      <c r="D28" s="1307" t="s">
        <v>1524</v>
      </c>
      <c r="E28" s="1304" t="s">
        <v>1525</v>
      </c>
    </row>
    <row r="29" spans="1:5" x14ac:dyDescent="0.25">
      <c r="A29" s="1222">
        <v>28</v>
      </c>
      <c r="B29" s="1222" t="s">
        <v>1472</v>
      </c>
      <c r="C29" s="1307" t="s">
        <v>1523</v>
      </c>
      <c r="D29" s="1307" t="s">
        <v>1524</v>
      </c>
      <c r="E29" s="1304" t="s">
        <v>657</v>
      </c>
    </row>
    <row r="30" spans="1:5" x14ac:dyDescent="0.25">
      <c r="A30" s="1222">
        <v>29</v>
      </c>
      <c r="B30" s="1222" t="s">
        <v>1472</v>
      </c>
      <c r="C30" s="1307" t="s">
        <v>1523</v>
      </c>
      <c r="D30" s="1307" t="s">
        <v>1524</v>
      </c>
      <c r="E30" s="1304" t="s">
        <v>1248</v>
      </c>
    </row>
    <row r="31" spans="1:5" x14ac:dyDescent="0.25">
      <c r="A31" s="1222">
        <v>30</v>
      </c>
      <c r="B31" s="1222" t="s">
        <v>1472</v>
      </c>
      <c r="C31" s="1307" t="s">
        <v>1523</v>
      </c>
      <c r="D31" s="1307" t="s">
        <v>1524</v>
      </c>
      <c r="E31" s="1304" t="s">
        <v>1249</v>
      </c>
    </row>
    <row r="32" spans="1:5" x14ac:dyDescent="0.25">
      <c r="A32" s="1222">
        <v>31</v>
      </c>
      <c r="B32" s="1222" t="s">
        <v>1472</v>
      </c>
      <c r="C32" s="1307" t="s">
        <v>1523</v>
      </c>
      <c r="D32" s="1307" t="s">
        <v>1524</v>
      </c>
      <c r="E32" s="1304" t="s">
        <v>1250</v>
      </c>
    </row>
    <row r="33" spans="1:5" x14ac:dyDescent="0.25">
      <c r="A33" s="1222">
        <v>32</v>
      </c>
      <c r="B33" s="1222" t="s">
        <v>1472</v>
      </c>
      <c r="C33" s="1307" t="s">
        <v>1526</v>
      </c>
      <c r="D33" s="1307" t="s">
        <v>1510</v>
      </c>
      <c r="E33" s="1304" t="s">
        <v>1572</v>
      </c>
    </row>
    <row r="34" spans="1:5" x14ac:dyDescent="0.25">
      <c r="A34" s="1222">
        <v>33</v>
      </c>
      <c r="B34" s="1222" t="s">
        <v>1500</v>
      </c>
      <c r="C34" s="1307" t="s">
        <v>1527</v>
      </c>
      <c r="D34" s="1307" t="s">
        <v>1510</v>
      </c>
      <c r="E34" s="1304" t="s">
        <v>1270</v>
      </c>
    </row>
    <row r="35" spans="1:5" x14ac:dyDescent="0.25">
      <c r="A35" s="1222">
        <v>34</v>
      </c>
      <c r="B35" s="1222" t="s">
        <v>917</v>
      </c>
      <c r="C35" s="1307" t="s">
        <v>1527</v>
      </c>
      <c r="D35" s="1307" t="s">
        <v>1510</v>
      </c>
      <c r="E35" s="1304" t="s">
        <v>1274</v>
      </c>
    </row>
    <row r="36" spans="1:5" x14ac:dyDescent="0.25">
      <c r="A36" s="1222">
        <v>35</v>
      </c>
      <c r="B36" s="1222" t="s">
        <v>1500</v>
      </c>
      <c r="C36" s="1307" t="s">
        <v>1527</v>
      </c>
      <c r="D36" s="1307" t="s">
        <v>1510</v>
      </c>
      <c r="E36" s="1304" t="s">
        <v>794</v>
      </c>
    </row>
    <row r="37" spans="1:5" x14ac:dyDescent="0.25">
      <c r="A37" s="1222">
        <v>36</v>
      </c>
      <c r="B37" s="1222" t="s">
        <v>917</v>
      </c>
      <c r="C37" s="1307" t="s">
        <v>1527</v>
      </c>
      <c r="D37" s="1307" t="s">
        <v>1510</v>
      </c>
      <c r="E37" s="1306" t="s">
        <v>1355</v>
      </c>
    </row>
    <row r="38" spans="1:5" ht="30" x14ac:dyDescent="0.25">
      <c r="A38" s="1222">
        <v>37</v>
      </c>
      <c r="B38" s="1222" t="s">
        <v>917</v>
      </c>
      <c r="C38" s="1307" t="s">
        <v>1527</v>
      </c>
      <c r="D38" s="1307" t="s">
        <v>1510</v>
      </c>
      <c r="E38" s="1306" t="s">
        <v>1356</v>
      </c>
    </row>
    <row r="39" spans="1:5" x14ac:dyDescent="0.25">
      <c r="A39" s="1222">
        <v>38</v>
      </c>
      <c r="B39" s="1222" t="s">
        <v>917</v>
      </c>
      <c r="C39" s="1307" t="s">
        <v>1527</v>
      </c>
      <c r="D39" s="1307" t="s">
        <v>1510</v>
      </c>
      <c r="E39" s="1306" t="s">
        <v>1277</v>
      </c>
    </row>
    <row r="40" spans="1:5" x14ac:dyDescent="0.25">
      <c r="A40" s="1222">
        <v>39</v>
      </c>
      <c r="B40" s="1222" t="s">
        <v>917</v>
      </c>
      <c r="C40" s="1307" t="s">
        <v>1527</v>
      </c>
      <c r="D40" s="1307" t="s">
        <v>1510</v>
      </c>
      <c r="E40" s="1306" t="s">
        <v>1278</v>
      </c>
    </row>
    <row r="41" spans="1:5" x14ac:dyDescent="0.25">
      <c r="A41" s="1222">
        <v>40</v>
      </c>
      <c r="B41" s="1222" t="s">
        <v>917</v>
      </c>
      <c r="C41" s="1307" t="s">
        <v>1527</v>
      </c>
      <c r="D41" s="1307" t="s">
        <v>1510</v>
      </c>
      <c r="E41" s="1306" t="s">
        <v>1279</v>
      </c>
    </row>
    <row r="42" spans="1:5" x14ac:dyDescent="0.25">
      <c r="A42" s="1222">
        <v>41</v>
      </c>
      <c r="B42" s="1222" t="s">
        <v>917</v>
      </c>
      <c r="C42" s="1307" t="s">
        <v>1527</v>
      </c>
      <c r="D42" s="1307" t="s">
        <v>1510</v>
      </c>
      <c r="E42" s="1306" t="s">
        <v>1280</v>
      </c>
    </row>
    <row r="43" spans="1:5" x14ac:dyDescent="0.25">
      <c r="A43" s="1222">
        <v>42</v>
      </c>
      <c r="B43" s="1222" t="s">
        <v>917</v>
      </c>
      <c r="C43" s="1307" t="s">
        <v>1527</v>
      </c>
      <c r="D43" s="1307" t="s">
        <v>1510</v>
      </c>
      <c r="E43" s="1306" t="s">
        <v>1281</v>
      </c>
    </row>
    <row r="44" spans="1:5" x14ac:dyDescent="0.25">
      <c r="A44" s="1222">
        <v>43</v>
      </c>
      <c r="B44" s="1222" t="s">
        <v>917</v>
      </c>
      <c r="C44" s="1307" t="s">
        <v>1527</v>
      </c>
      <c r="D44" s="1307" t="s">
        <v>1510</v>
      </c>
      <c r="E44" s="1306" t="s">
        <v>1528</v>
      </c>
    </row>
    <row r="45" spans="1:5" x14ac:dyDescent="0.25">
      <c r="A45" s="1222">
        <v>44</v>
      </c>
      <c r="B45" s="1222" t="s">
        <v>917</v>
      </c>
      <c r="C45" s="1307" t="s">
        <v>1527</v>
      </c>
      <c r="D45" s="1307" t="s">
        <v>1510</v>
      </c>
      <c r="E45" s="1306" t="s">
        <v>1735</v>
      </c>
    </row>
    <row r="46" spans="1:5" x14ac:dyDescent="0.25">
      <c r="A46" s="1222">
        <v>45</v>
      </c>
      <c r="B46" s="1222" t="s">
        <v>1500</v>
      </c>
      <c r="C46" s="1307" t="s">
        <v>1527</v>
      </c>
      <c r="D46" s="1307" t="s">
        <v>1529</v>
      </c>
      <c r="E46" s="1304" t="s">
        <v>793</v>
      </c>
    </row>
    <row r="47" spans="1:5" x14ac:dyDescent="0.25">
      <c r="A47" s="1222">
        <v>46</v>
      </c>
      <c r="B47" s="1222" t="s">
        <v>1500</v>
      </c>
      <c r="C47" s="1307" t="s">
        <v>1527</v>
      </c>
      <c r="D47" s="1307" t="s">
        <v>1529</v>
      </c>
      <c r="E47" s="1304" t="s">
        <v>1271</v>
      </c>
    </row>
    <row r="48" spans="1:5" x14ac:dyDescent="0.25">
      <c r="A48" s="1222">
        <v>47</v>
      </c>
      <c r="B48" s="1222" t="s">
        <v>1500</v>
      </c>
      <c r="C48" s="1307" t="s">
        <v>1527</v>
      </c>
      <c r="D48" s="1307" t="s">
        <v>1510</v>
      </c>
      <c r="E48" s="1304" t="s">
        <v>1272</v>
      </c>
    </row>
    <row r="49" spans="1:5" x14ac:dyDescent="0.25">
      <c r="A49" s="1222">
        <v>48</v>
      </c>
      <c r="B49" s="1222" t="s">
        <v>1500</v>
      </c>
      <c r="C49" s="1307" t="s">
        <v>1527</v>
      </c>
      <c r="D49" s="1307" t="s">
        <v>1510</v>
      </c>
      <c r="E49" s="1304" t="s">
        <v>1465</v>
      </c>
    </row>
    <row r="50" spans="1:5" x14ac:dyDescent="0.25">
      <c r="A50" s="1222">
        <v>49</v>
      </c>
      <c r="B50" s="1222" t="s">
        <v>1500</v>
      </c>
      <c r="C50" s="1307" t="s">
        <v>1527</v>
      </c>
      <c r="D50" s="1307" t="s">
        <v>1510</v>
      </c>
      <c r="E50" s="1304" t="s">
        <v>1390</v>
      </c>
    </row>
    <row r="51" spans="1:5" x14ac:dyDescent="0.25">
      <c r="A51" s="1222">
        <v>50</v>
      </c>
      <c r="B51" s="1222" t="s">
        <v>1500</v>
      </c>
      <c r="C51" s="1307" t="s">
        <v>1527</v>
      </c>
      <c r="D51" s="1307" t="s">
        <v>1510</v>
      </c>
      <c r="E51" s="1304" t="s">
        <v>795</v>
      </c>
    </row>
    <row r="52" spans="1:5" x14ac:dyDescent="0.25">
      <c r="A52" s="1222">
        <v>51</v>
      </c>
      <c r="B52" s="1222" t="s">
        <v>1500</v>
      </c>
      <c r="C52" s="1307" t="s">
        <v>1527</v>
      </c>
      <c r="D52" s="1307" t="s">
        <v>1510</v>
      </c>
      <c r="E52" s="1304" t="s">
        <v>800</v>
      </c>
    </row>
    <row r="53" spans="1:5" x14ac:dyDescent="0.25">
      <c r="A53" s="1222">
        <v>52</v>
      </c>
      <c r="B53" s="1222" t="s">
        <v>1500</v>
      </c>
      <c r="C53" s="1307" t="s">
        <v>1527</v>
      </c>
      <c r="D53" s="1307" t="s">
        <v>1510</v>
      </c>
      <c r="E53" s="1304" t="s">
        <v>801</v>
      </c>
    </row>
    <row r="54" spans="1:5" x14ac:dyDescent="0.25">
      <c r="A54" s="1222">
        <v>53</v>
      </c>
      <c r="B54" s="1222" t="s">
        <v>1500</v>
      </c>
      <c r="C54" s="1307" t="s">
        <v>1527</v>
      </c>
      <c r="D54" s="1307" t="s">
        <v>1510</v>
      </c>
      <c r="E54" s="1304" t="s">
        <v>204</v>
      </c>
    </row>
    <row r="55" spans="1:5" x14ac:dyDescent="0.25">
      <c r="A55" s="1222">
        <v>54</v>
      </c>
      <c r="B55" s="1222" t="s">
        <v>1500</v>
      </c>
      <c r="C55" s="1307" t="s">
        <v>1530</v>
      </c>
      <c r="D55" s="1307" t="s">
        <v>1510</v>
      </c>
      <c r="E55" s="1304" t="s">
        <v>1270</v>
      </c>
    </row>
    <row r="56" spans="1:5" x14ac:dyDescent="0.25">
      <c r="A56" s="1222">
        <v>55</v>
      </c>
      <c r="B56" s="1222" t="s">
        <v>917</v>
      </c>
      <c r="C56" s="1307" t="s">
        <v>1530</v>
      </c>
      <c r="D56" s="1307" t="s">
        <v>1510</v>
      </c>
      <c r="E56" s="1304" t="s">
        <v>1274</v>
      </c>
    </row>
    <row r="57" spans="1:5" x14ac:dyDescent="0.25">
      <c r="A57" s="1222">
        <v>56</v>
      </c>
      <c r="B57" s="1222" t="s">
        <v>1500</v>
      </c>
      <c r="C57" s="1307" t="s">
        <v>1530</v>
      </c>
      <c r="D57" s="1307" t="s">
        <v>1510</v>
      </c>
      <c r="E57" s="1304" t="s">
        <v>794</v>
      </c>
    </row>
    <row r="58" spans="1:5" x14ac:dyDescent="0.25">
      <c r="A58" s="1222">
        <v>57</v>
      </c>
      <c r="B58" s="1222" t="s">
        <v>917</v>
      </c>
      <c r="C58" s="1307" t="s">
        <v>1530</v>
      </c>
      <c r="D58" s="1307" t="s">
        <v>1510</v>
      </c>
      <c r="E58" s="1306" t="s">
        <v>1355</v>
      </c>
    </row>
    <row r="59" spans="1:5" ht="30" x14ac:dyDescent="0.25">
      <c r="A59" s="1222">
        <v>58</v>
      </c>
      <c r="B59" s="1222" t="s">
        <v>917</v>
      </c>
      <c r="C59" s="1307" t="s">
        <v>1530</v>
      </c>
      <c r="D59" s="1307" t="s">
        <v>1510</v>
      </c>
      <c r="E59" s="1306" t="s">
        <v>1356</v>
      </c>
    </row>
    <row r="60" spans="1:5" x14ac:dyDescent="0.25">
      <c r="A60" s="1222">
        <v>59</v>
      </c>
      <c r="B60" s="1222" t="s">
        <v>917</v>
      </c>
      <c r="C60" s="1307" t="s">
        <v>1530</v>
      </c>
      <c r="D60" s="1307" t="s">
        <v>1510</v>
      </c>
      <c r="E60" s="1306" t="s">
        <v>1277</v>
      </c>
    </row>
    <row r="61" spans="1:5" x14ac:dyDescent="0.25">
      <c r="A61" s="1222">
        <v>60</v>
      </c>
      <c r="B61" s="1222" t="s">
        <v>917</v>
      </c>
      <c r="C61" s="1307" t="s">
        <v>1530</v>
      </c>
      <c r="D61" s="1307" t="s">
        <v>1510</v>
      </c>
      <c r="E61" s="1306" t="s">
        <v>1278</v>
      </c>
    </row>
    <row r="62" spans="1:5" x14ac:dyDescent="0.25">
      <c r="A62" s="1222">
        <v>61</v>
      </c>
      <c r="B62" s="1222" t="s">
        <v>917</v>
      </c>
      <c r="C62" s="1307" t="s">
        <v>1530</v>
      </c>
      <c r="D62" s="1307" t="s">
        <v>1510</v>
      </c>
      <c r="E62" s="1306" t="s">
        <v>1279</v>
      </c>
    </row>
    <row r="63" spans="1:5" x14ac:dyDescent="0.25">
      <c r="A63" s="1222">
        <v>62</v>
      </c>
      <c r="B63" s="1222" t="s">
        <v>917</v>
      </c>
      <c r="C63" s="1307" t="s">
        <v>1530</v>
      </c>
      <c r="D63" s="1307" t="s">
        <v>1510</v>
      </c>
      <c r="E63" s="1306" t="s">
        <v>1280</v>
      </c>
    </row>
    <row r="64" spans="1:5" x14ac:dyDescent="0.25">
      <c r="A64" s="1222">
        <v>63</v>
      </c>
      <c r="B64" s="1222" t="s">
        <v>917</v>
      </c>
      <c r="C64" s="1307" t="s">
        <v>1530</v>
      </c>
      <c r="D64" s="1307" t="s">
        <v>1510</v>
      </c>
      <c r="E64" s="1306" t="s">
        <v>1281</v>
      </c>
    </row>
    <row r="65" spans="1:5" x14ac:dyDescent="0.25">
      <c r="A65" s="1222">
        <v>64</v>
      </c>
      <c r="B65" s="1222" t="s">
        <v>917</v>
      </c>
      <c r="C65" s="1307" t="s">
        <v>1530</v>
      </c>
      <c r="D65" s="1307" t="s">
        <v>1510</v>
      </c>
      <c r="E65" s="1306" t="s">
        <v>1528</v>
      </c>
    </row>
    <row r="66" spans="1:5" x14ac:dyDescent="0.25">
      <c r="A66" s="1222">
        <v>65</v>
      </c>
      <c r="B66" s="1222" t="s">
        <v>917</v>
      </c>
      <c r="C66" s="1307" t="s">
        <v>1530</v>
      </c>
      <c r="D66" s="1307" t="s">
        <v>1510</v>
      </c>
      <c r="E66" s="1306" t="s">
        <v>1735</v>
      </c>
    </row>
    <row r="67" spans="1:5" x14ac:dyDescent="0.25">
      <c r="A67" s="1222">
        <v>66</v>
      </c>
      <c r="B67" s="1222" t="s">
        <v>1500</v>
      </c>
      <c r="C67" s="1307" t="s">
        <v>1530</v>
      </c>
      <c r="D67" s="1307" t="s">
        <v>1529</v>
      </c>
      <c r="E67" s="1304" t="s">
        <v>793</v>
      </c>
    </row>
    <row r="68" spans="1:5" x14ac:dyDescent="0.25">
      <c r="A68" s="1222">
        <v>67</v>
      </c>
      <c r="B68" s="1222" t="s">
        <v>1500</v>
      </c>
      <c r="C68" s="1307" t="s">
        <v>1530</v>
      </c>
      <c r="D68" s="1307" t="s">
        <v>1529</v>
      </c>
      <c r="E68" s="1304" t="s">
        <v>1271</v>
      </c>
    </row>
    <row r="69" spans="1:5" x14ac:dyDescent="0.25">
      <c r="A69" s="1222">
        <v>68</v>
      </c>
      <c r="B69" s="1222" t="s">
        <v>1500</v>
      </c>
      <c r="C69" s="1307" t="s">
        <v>1530</v>
      </c>
      <c r="D69" s="1307" t="s">
        <v>1510</v>
      </c>
      <c r="E69" s="1304" t="s">
        <v>1272</v>
      </c>
    </row>
    <row r="70" spans="1:5" x14ac:dyDescent="0.25">
      <c r="A70" s="1222">
        <v>69</v>
      </c>
      <c r="B70" s="1222" t="s">
        <v>1500</v>
      </c>
      <c r="C70" s="1307" t="s">
        <v>1530</v>
      </c>
      <c r="D70" s="1307" t="s">
        <v>1510</v>
      </c>
      <c r="E70" s="1304" t="s">
        <v>1465</v>
      </c>
    </row>
    <row r="71" spans="1:5" x14ac:dyDescent="0.25">
      <c r="A71" s="1222">
        <v>70</v>
      </c>
      <c r="B71" s="1222" t="s">
        <v>1500</v>
      </c>
      <c r="C71" s="1307" t="s">
        <v>1530</v>
      </c>
      <c r="D71" s="1307" t="s">
        <v>1510</v>
      </c>
      <c r="E71" s="1304" t="s">
        <v>1390</v>
      </c>
    </row>
    <row r="72" spans="1:5" x14ac:dyDescent="0.25">
      <c r="A72" s="1222">
        <v>71</v>
      </c>
      <c r="B72" s="1222" t="s">
        <v>1500</v>
      </c>
      <c r="C72" s="1307" t="s">
        <v>1530</v>
      </c>
      <c r="D72" s="1307" t="s">
        <v>1510</v>
      </c>
      <c r="E72" s="1304" t="s">
        <v>795</v>
      </c>
    </row>
    <row r="73" spans="1:5" x14ac:dyDescent="0.25">
      <c r="A73" s="1222">
        <v>72</v>
      </c>
      <c r="B73" s="1222" t="s">
        <v>1500</v>
      </c>
      <c r="C73" s="1307" t="s">
        <v>1530</v>
      </c>
      <c r="D73" s="1307" t="s">
        <v>1510</v>
      </c>
      <c r="E73" s="1304" t="s">
        <v>800</v>
      </c>
    </row>
    <row r="74" spans="1:5" x14ac:dyDescent="0.25">
      <c r="A74" s="1222">
        <v>73</v>
      </c>
      <c r="B74" s="1222" t="s">
        <v>1500</v>
      </c>
      <c r="C74" s="1307" t="s">
        <v>1530</v>
      </c>
      <c r="D74" s="1307" t="s">
        <v>1510</v>
      </c>
      <c r="E74" s="1304" t="s">
        <v>801</v>
      </c>
    </row>
    <row r="75" spans="1:5" x14ac:dyDescent="0.25">
      <c r="A75" s="1222">
        <v>74</v>
      </c>
      <c r="B75" s="1222" t="s">
        <v>1500</v>
      </c>
      <c r="C75" s="1307" t="s">
        <v>1530</v>
      </c>
      <c r="D75" s="1307" t="s">
        <v>1510</v>
      </c>
      <c r="E75" s="1304" t="s">
        <v>204</v>
      </c>
    </row>
    <row r="76" spans="1:5" x14ac:dyDescent="0.25">
      <c r="A76" s="1222">
        <v>75</v>
      </c>
      <c r="B76" s="1222" t="s">
        <v>1500</v>
      </c>
      <c r="C76" s="1307" t="s">
        <v>1531</v>
      </c>
      <c r="D76" s="1307" t="s">
        <v>1529</v>
      </c>
      <c r="E76" s="1304" t="s">
        <v>1270</v>
      </c>
    </row>
    <row r="77" spans="1:5" x14ac:dyDescent="0.25">
      <c r="A77" s="1222">
        <v>76</v>
      </c>
      <c r="B77" s="1222" t="s">
        <v>917</v>
      </c>
      <c r="C77" s="1307" t="s">
        <v>1531</v>
      </c>
      <c r="D77" s="1307" t="s">
        <v>1510</v>
      </c>
      <c r="E77" s="1304" t="s">
        <v>1274</v>
      </c>
    </row>
    <row r="78" spans="1:5" x14ac:dyDescent="0.25">
      <c r="A78" s="1222">
        <v>77</v>
      </c>
      <c r="B78" s="1222" t="s">
        <v>1500</v>
      </c>
      <c r="C78" s="1307" t="s">
        <v>1531</v>
      </c>
      <c r="D78" s="1307" t="s">
        <v>1510</v>
      </c>
      <c r="E78" s="1304" t="s">
        <v>794</v>
      </c>
    </row>
    <row r="79" spans="1:5" x14ac:dyDescent="0.25">
      <c r="A79" s="1222">
        <v>78</v>
      </c>
      <c r="B79" s="1222" t="s">
        <v>917</v>
      </c>
      <c r="C79" s="1307" t="s">
        <v>1531</v>
      </c>
      <c r="D79" s="1307" t="s">
        <v>1510</v>
      </c>
      <c r="E79" s="1306" t="s">
        <v>1355</v>
      </c>
    </row>
    <row r="80" spans="1:5" ht="30" x14ac:dyDescent="0.25">
      <c r="A80" s="1222">
        <v>79</v>
      </c>
      <c r="B80" s="1222" t="s">
        <v>917</v>
      </c>
      <c r="C80" s="1307" t="s">
        <v>1531</v>
      </c>
      <c r="D80" s="1307" t="s">
        <v>1510</v>
      </c>
      <c r="E80" s="1306" t="s">
        <v>1356</v>
      </c>
    </row>
    <row r="81" spans="1:5" x14ac:dyDescent="0.25">
      <c r="A81" s="1222">
        <v>80</v>
      </c>
      <c r="B81" s="1222" t="s">
        <v>917</v>
      </c>
      <c r="C81" s="1307" t="s">
        <v>1531</v>
      </c>
      <c r="D81" s="1307" t="s">
        <v>1510</v>
      </c>
      <c r="E81" s="1306" t="s">
        <v>1277</v>
      </c>
    </row>
    <row r="82" spans="1:5" x14ac:dyDescent="0.25">
      <c r="A82" s="1222">
        <v>81</v>
      </c>
      <c r="B82" s="1222" t="s">
        <v>917</v>
      </c>
      <c r="C82" s="1307" t="s">
        <v>1531</v>
      </c>
      <c r="D82" s="1307" t="s">
        <v>1510</v>
      </c>
      <c r="E82" s="1306" t="s">
        <v>1278</v>
      </c>
    </row>
    <row r="83" spans="1:5" x14ac:dyDescent="0.25">
      <c r="A83" s="1222">
        <v>82</v>
      </c>
      <c r="B83" s="1222" t="s">
        <v>917</v>
      </c>
      <c r="C83" s="1307" t="s">
        <v>1531</v>
      </c>
      <c r="D83" s="1307" t="s">
        <v>1510</v>
      </c>
      <c r="E83" s="1306" t="s">
        <v>1279</v>
      </c>
    </row>
    <row r="84" spans="1:5" x14ac:dyDescent="0.25">
      <c r="A84" s="1222">
        <v>83</v>
      </c>
      <c r="B84" s="1222" t="s">
        <v>917</v>
      </c>
      <c r="C84" s="1307" t="s">
        <v>1531</v>
      </c>
      <c r="D84" s="1307" t="s">
        <v>1510</v>
      </c>
      <c r="E84" s="1306" t="s">
        <v>1280</v>
      </c>
    </row>
    <row r="85" spans="1:5" x14ac:dyDescent="0.25">
      <c r="A85" s="1222">
        <v>84</v>
      </c>
      <c r="B85" s="1222" t="s">
        <v>917</v>
      </c>
      <c r="C85" s="1307" t="s">
        <v>1531</v>
      </c>
      <c r="D85" s="1307" t="s">
        <v>1510</v>
      </c>
      <c r="E85" s="1306" t="s">
        <v>1281</v>
      </c>
    </row>
    <row r="86" spans="1:5" x14ac:dyDescent="0.25">
      <c r="A86" s="1222">
        <v>85</v>
      </c>
      <c r="B86" s="1222" t="s">
        <v>917</v>
      </c>
      <c r="C86" s="1307" t="s">
        <v>1531</v>
      </c>
      <c r="D86" s="1307" t="s">
        <v>1510</v>
      </c>
      <c r="E86" s="1306" t="s">
        <v>1528</v>
      </c>
    </row>
    <row r="87" spans="1:5" x14ac:dyDescent="0.25">
      <c r="A87" s="1222">
        <v>86</v>
      </c>
      <c r="B87" s="1222" t="s">
        <v>917</v>
      </c>
      <c r="C87" s="1307" t="s">
        <v>1531</v>
      </c>
      <c r="D87" s="1307" t="s">
        <v>1510</v>
      </c>
      <c r="E87" s="1306" t="s">
        <v>1735</v>
      </c>
    </row>
    <row r="88" spans="1:5" x14ac:dyDescent="0.25">
      <c r="A88" s="1222">
        <v>87</v>
      </c>
      <c r="B88" s="1222" t="s">
        <v>1500</v>
      </c>
      <c r="C88" s="1307" t="s">
        <v>1531</v>
      </c>
      <c r="D88" s="1307" t="s">
        <v>1529</v>
      </c>
      <c r="E88" s="1304" t="s">
        <v>793</v>
      </c>
    </row>
    <row r="89" spans="1:5" x14ac:dyDescent="0.25">
      <c r="A89" s="1222">
        <v>88</v>
      </c>
      <c r="B89" s="1222" t="s">
        <v>1500</v>
      </c>
      <c r="C89" s="1307" t="s">
        <v>1531</v>
      </c>
      <c r="D89" s="1307" t="s">
        <v>1529</v>
      </c>
      <c r="E89" s="1304" t="s">
        <v>1271</v>
      </c>
    </row>
    <row r="90" spans="1:5" x14ac:dyDescent="0.25">
      <c r="A90" s="1222">
        <v>89</v>
      </c>
      <c r="B90" s="1222" t="s">
        <v>1500</v>
      </c>
      <c r="C90" s="1307" t="s">
        <v>1531</v>
      </c>
      <c r="D90" s="1307" t="s">
        <v>1510</v>
      </c>
      <c r="E90" s="1304" t="s">
        <v>1272</v>
      </c>
    </row>
    <row r="91" spans="1:5" x14ac:dyDescent="0.25">
      <c r="A91" s="1222">
        <v>90</v>
      </c>
      <c r="B91" s="1222" t="s">
        <v>1500</v>
      </c>
      <c r="C91" s="1307" t="s">
        <v>1531</v>
      </c>
      <c r="D91" s="1307" t="s">
        <v>1510</v>
      </c>
      <c r="E91" s="1304" t="s">
        <v>1465</v>
      </c>
    </row>
    <row r="92" spans="1:5" x14ac:dyDescent="0.25">
      <c r="A92" s="1222">
        <v>91</v>
      </c>
      <c r="B92" s="1222" t="s">
        <v>1500</v>
      </c>
      <c r="C92" s="1307" t="s">
        <v>1531</v>
      </c>
      <c r="D92" s="1307" t="s">
        <v>1510</v>
      </c>
      <c r="E92" s="1304" t="s">
        <v>1390</v>
      </c>
    </row>
    <row r="93" spans="1:5" x14ac:dyDescent="0.25">
      <c r="A93" s="1222">
        <v>92</v>
      </c>
      <c r="B93" s="1222" t="s">
        <v>1500</v>
      </c>
      <c r="C93" s="1307" t="s">
        <v>1531</v>
      </c>
      <c r="D93" s="1307" t="s">
        <v>1510</v>
      </c>
      <c r="E93" s="1304" t="s">
        <v>795</v>
      </c>
    </row>
    <row r="94" spans="1:5" x14ac:dyDescent="0.25">
      <c r="A94" s="1222">
        <v>93</v>
      </c>
      <c r="B94" s="1222" t="s">
        <v>1500</v>
      </c>
      <c r="C94" s="1307" t="s">
        <v>1531</v>
      </c>
      <c r="D94" s="1307" t="s">
        <v>1510</v>
      </c>
      <c r="E94" s="1304" t="s">
        <v>800</v>
      </c>
    </row>
    <row r="95" spans="1:5" x14ac:dyDescent="0.25">
      <c r="A95" s="1222">
        <v>94</v>
      </c>
      <c r="B95" s="1222" t="s">
        <v>1500</v>
      </c>
      <c r="C95" s="1307" t="s">
        <v>1531</v>
      </c>
      <c r="D95" s="1307" t="s">
        <v>1510</v>
      </c>
      <c r="E95" s="1304" t="s">
        <v>801</v>
      </c>
    </row>
    <row r="96" spans="1:5" x14ac:dyDescent="0.25">
      <c r="A96" s="1222">
        <v>95</v>
      </c>
      <c r="B96" s="1222" t="s">
        <v>1500</v>
      </c>
      <c r="C96" s="1307" t="s">
        <v>1531</v>
      </c>
      <c r="D96" s="1307" t="s">
        <v>1510</v>
      </c>
      <c r="E96" s="1304" t="s">
        <v>204</v>
      </c>
    </row>
    <row r="97" spans="1:5" x14ac:dyDescent="0.25">
      <c r="A97" s="1222">
        <v>96</v>
      </c>
      <c r="B97" s="1222" t="s">
        <v>1500</v>
      </c>
      <c r="C97" s="1307" t="s">
        <v>1532</v>
      </c>
      <c r="D97" s="1307" t="s">
        <v>1510</v>
      </c>
      <c r="E97" s="1304" t="s">
        <v>1270</v>
      </c>
    </row>
    <row r="98" spans="1:5" x14ac:dyDescent="0.25">
      <c r="A98" s="1222">
        <v>97</v>
      </c>
      <c r="B98" s="1222" t="s">
        <v>917</v>
      </c>
      <c r="C98" s="1307" t="s">
        <v>1532</v>
      </c>
      <c r="D98" s="1307" t="s">
        <v>1510</v>
      </c>
      <c r="E98" s="1304" t="s">
        <v>1274</v>
      </c>
    </row>
    <row r="99" spans="1:5" x14ac:dyDescent="0.25">
      <c r="A99" s="1222">
        <v>98</v>
      </c>
      <c r="B99" s="1222" t="s">
        <v>1500</v>
      </c>
      <c r="C99" s="1307" t="s">
        <v>1532</v>
      </c>
      <c r="D99" s="1307" t="s">
        <v>1510</v>
      </c>
      <c r="E99" s="1304" t="s">
        <v>794</v>
      </c>
    </row>
    <row r="100" spans="1:5" x14ac:dyDescent="0.25">
      <c r="A100" s="1222">
        <v>99</v>
      </c>
      <c r="B100" s="1222" t="s">
        <v>917</v>
      </c>
      <c r="C100" s="1307" t="s">
        <v>1532</v>
      </c>
      <c r="D100" s="1307" t="s">
        <v>1510</v>
      </c>
      <c r="E100" s="1306" t="s">
        <v>1355</v>
      </c>
    </row>
    <row r="101" spans="1:5" ht="30" x14ac:dyDescent="0.25">
      <c r="A101" s="1222">
        <v>100</v>
      </c>
      <c r="B101" s="1222" t="s">
        <v>917</v>
      </c>
      <c r="C101" s="1307" t="s">
        <v>1532</v>
      </c>
      <c r="D101" s="1307" t="s">
        <v>1510</v>
      </c>
      <c r="E101" s="1306" t="s">
        <v>1356</v>
      </c>
    </row>
    <row r="102" spans="1:5" x14ac:dyDescent="0.25">
      <c r="A102" s="1222">
        <v>101</v>
      </c>
      <c r="B102" s="1222" t="s">
        <v>917</v>
      </c>
      <c r="C102" s="1307" t="s">
        <v>1532</v>
      </c>
      <c r="D102" s="1307" t="s">
        <v>1510</v>
      </c>
      <c r="E102" s="1306" t="s">
        <v>1277</v>
      </c>
    </row>
    <row r="103" spans="1:5" x14ac:dyDescent="0.25">
      <c r="A103" s="1222">
        <v>102</v>
      </c>
      <c r="B103" s="1222" t="s">
        <v>917</v>
      </c>
      <c r="C103" s="1307" t="s">
        <v>1532</v>
      </c>
      <c r="D103" s="1307" t="s">
        <v>1510</v>
      </c>
      <c r="E103" s="1306" t="s">
        <v>1278</v>
      </c>
    </row>
    <row r="104" spans="1:5" x14ac:dyDescent="0.25">
      <c r="A104" s="1222">
        <v>103</v>
      </c>
      <c r="B104" s="1222" t="s">
        <v>917</v>
      </c>
      <c r="C104" s="1307" t="s">
        <v>1532</v>
      </c>
      <c r="D104" s="1307" t="s">
        <v>1510</v>
      </c>
      <c r="E104" s="1306" t="s">
        <v>1279</v>
      </c>
    </row>
    <row r="105" spans="1:5" x14ac:dyDescent="0.25">
      <c r="A105" s="1222">
        <v>104</v>
      </c>
      <c r="B105" s="1222" t="s">
        <v>917</v>
      </c>
      <c r="C105" s="1307" t="s">
        <v>1532</v>
      </c>
      <c r="D105" s="1307" t="s">
        <v>1510</v>
      </c>
      <c r="E105" s="1306" t="s">
        <v>1280</v>
      </c>
    </row>
    <row r="106" spans="1:5" x14ac:dyDescent="0.25">
      <c r="A106" s="1222">
        <v>105</v>
      </c>
      <c r="B106" s="1222" t="s">
        <v>917</v>
      </c>
      <c r="C106" s="1307" t="s">
        <v>1532</v>
      </c>
      <c r="D106" s="1307" t="s">
        <v>1510</v>
      </c>
      <c r="E106" s="1306" t="s">
        <v>1281</v>
      </c>
    </row>
    <row r="107" spans="1:5" x14ac:dyDescent="0.25">
      <c r="A107" s="1222">
        <v>106</v>
      </c>
      <c r="B107" s="1222" t="s">
        <v>917</v>
      </c>
      <c r="C107" s="1307" t="s">
        <v>1532</v>
      </c>
      <c r="D107" s="1307" t="s">
        <v>1510</v>
      </c>
      <c r="E107" s="1306" t="s">
        <v>1528</v>
      </c>
    </row>
    <row r="108" spans="1:5" x14ac:dyDescent="0.25">
      <c r="A108" s="1222">
        <v>107</v>
      </c>
      <c r="B108" s="1222" t="s">
        <v>917</v>
      </c>
      <c r="C108" s="1307" t="s">
        <v>1532</v>
      </c>
      <c r="D108" s="1307" t="s">
        <v>1510</v>
      </c>
      <c r="E108" s="1306" t="s">
        <v>1735</v>
      </c>
    </row>
    <row r="109" spans="1:5" x14ac:dyDescent="0.25">
      <c r="A109" s="1222">
        <v>108</v>
      </c>
      <c r="B109" s="1222" t="s">
        <v>1500</v>
      </c>
      <c r="C109" s="1307" t="s">
        <v>1532</v>
      </c>
      <c r="D109" s="1307" t="s">
        <v>1529</v>
      </c>
      <c r="E109" s="1304" t="s">
        <v>793</v>
      </c>
    </row>
    <row r="110" spans="1:5" x14ac:dyDescent="0.25">
      <c r="A110" s="1222">
        <v>109</v>
      </c>
      <c r="B110" s="1222" t="s">
        <v>1500</v>
      </c>
      <c r="C110" s="1307" t="s">
        <v>1532</v>
      </c>
      <c r="D110" s="1307" t="s">
        <v>1529</v>
      </c>
      <c r="E110" s="1304" t="s">
        <v>1271</v>
      </c>
    </row>
    <row r="111" spans="1:5" x14ac:dyDescent="0.25">
      <c r="A111" s="1222">
        <v>110</v>
      </c>
      <c r="B111" s="1222" t="s">
        <v>1500</v>
      </c>
      <c r="C111" s="1307" t="s">
        <v>1532</v>
      </c>
      <c r="D111" s="1307" t="s">
        <v>1510</v>
      </c>
      <c r="E111" s="1304" t="s">
        <v>1272</v>
      </c>
    </row>
    <row r="112" spans="1:5" x14ac:dyDescent="0.25">
      <c r="A112" s="1222">
        <v>111</v>
      </c>
      <c r="B112" s="1222" t="s">
        <v>1500</v>
      </c>
      <c r="C112" s="1307" t="s">
        <v>1532</v>
      </c>
      <c r="D112" s="1307" t="s">
        <v>1510</v>
      </c>
      <c r="E112" s="1304" t="s">
        <v>1465</v>
      </c>
    </row>
    <row r="113" spans="1:5" x14ac:dyDescent="0.25">
      <c r="A113" s="1222">
        <v>112</v>
      </c>
      <c r="B113" s="1222" t="s">
        <v>1500</v>
      </c>
      <c r="C113" s="1307" t="s">
        <v>1532</v>
      </c>
      <c r="D113" s="1307" t="s">
        <v>1510</v>
      </c>
      <c r="E113" s="1304" t="s">
        <v>1390</v>
      </c>
    </row>
    <row r="114" spans="1:5" x14ac:dyDescent="0.25">
      <c r="A114" s="1222">
        <v>113</v>
      </c>
      <c r="B114" s="1222" t="s">
        <v>1500</v>
      </c>
      <c r="C114" s="1307" t="s">
        <v>1532</v>
      </c>
      <c r="D114" s="1307" t="s">
        <v>1510</v>
      </c>
      <c r="E114" s="1304" t="s">
        <v>795</v>
      </c>
    </row>
    <row r="115" spans="1:5" x14ac:dyDescent="0.25">
      <c r="A115" s="1222">
        <v>114</v>
      </c>
      <c r="B115" s="1222" t="s">
        <v>1500</v>
      </c>
      <c r="C115" s="1307" t="s">
        <v>1532</v>
      </c>
      <c r="D115" s="1307" t="s">
        <v>1510</v>
      </c>
      <c r="E115" s="1304" t="s">
        <v>800</v>
      </c>
    </row>
    <row r="116" spans="1:5" x14ac:dyDescent="0.25">
      <c r="A116" s="1222">
        <v>115</v>
      </c>
      <c r="B116" s="1222" t="s">
        <v>1500</v>
      </c>
      <c r="C116" s="1307" t="s">
        <v>1532</v>
      </c>
      <c r="D116" s="1307" t="s">
        <v>1510</v>
      </c>
      <c r="E116" s="1304" t="s">
        <v>801</v>
      </c>
    </row>
    <row r="117" spans="1:5" x14ac:dyDescent="0.25">
      <c r="A117" s="1222">
        <v>116</v>
      </c>
      <c r="B117" s="1222" t="s">
        <v>1500</v>
      </c>
      <c r="C117" s="1307" t="s">
        <v>1532</v>
      </c>
      <c r="D117" s="1307" t="s">
        <v>1510</v>
      </c>
      <c r="E117" s="1304" t="s">
        <v>204</v>
      </c>
    </row>
    <row r="118" spans="1:5" x14ac:dyDescent="0.25">
      <c r="A118" s="1222">
        <v>117</v>
      </c>
      <c r="B118" s="1222" t="s">
        <v>1500</v>
      </c>
      <c r="C118" s="1307" t="s">
        <v>1533</v>
      </c>
      <c r="D118" s="1307" t="s">
        <v>1510</v>
      </c>
      <c r="E118" s="1304" t="s">
        <v>1270</v>
      </c>
    </row>
    <row r="119" spans="1:5" x14ac:dyDescent="0.25">
      <c r="A119" s="1222">
        <v>118</v>
      </c>
      <c r="B119" s="1222" t="s">
        <v>917</v>
      </c>
      <c r="C119" s="1307" t="s">
        <v>1533</v>
      </c>
      <c r="D119" s="1307" t="s">
        <v>1510</v>
      </c>
      <c r="E119" s="1304" t="s">
        <v>1274</v>
      </c>
    </row>
    <row r="120" spans="1:5" x14ac:dyDescent="0.25">
      <c r="A120" s="1222">
        <v>119</v>
      </c>
      <c r="B120" s="1222" t="s">
        <v>1500</v>
      </c>
      <c r="C120" s="1307" t="s">
        <v>1533</v>
      </c>
      <c r="D120" s="1307" t="s">
        <v>1510</v>
      </c>
      <c r="E120" s="1304" t="s">
        <v>794</v>
      </c>
    </row>
    <row r="121" spans="1:5" x14ac:dyDescent="0.25">
      <c r="A121" s="1222">
        <v>120</v>
      </c>
      <c r="B121" s="1222" t="s">
        <v>917</v>
      </c>
      <c r="C121" s="1307" t="s">
        <v>1533</v>
      </c>
      <c r="D121" s="1307" t="s">
        <v>1510</v>
      </c>
      <c r="E121" s="1306" t="s">
        <v>1355</v>
      </c>
    </row>
    <row r="122" spans="1:5" ht="30" x14ac:dyDescent="0.25">
      <c r="A122" s="1222">
        <v>121</v>
      </c>
      <c r="B122" s="1222" t="s">
        <v>917</v>
      </c>
      <c r="C122" s="1307" t="s">
        <v>1533</v>
      </c>
      <c r="D122" s="1307" t="s">
        <v>1510</v>
      </c>
      <c r="E122" s="1306" t="s">
        <v>1356</v>
      </c>
    </row>
    <row r="123" spans="1:5" x14ac:dyDescent="0.25">
      <c r="A123" s="1222">
        <v>122</v>
      </c>
      <c r="B123" s="1222" t="s">
        <v>917</v>
      </c>
      <c r="C123" s="1307" t="s">
        <v>1533</v>
      </c>
      <c r="D123" s="1307" t="s">
        <v>1510</v>
      </c>
      <c r="E123" s="1306" t="s">
        <v>1277</v>
      </c>
    </row>
    <row r="124" spans="1:5" x14ac:dyDescent="0.25">
      <c r="A124" s="1222">
        <v>123</v>
      </c>
      <c r="B124" s="1222" t="s">
        <v>917</v>
      </c>
      <c r="C124" s="1307" t="s">
        <v>1533</v>
      </c>
      <c r="D124" s="1307" t="s">
        <v>1510</v>
      </c>
      <c r="E124" s="1306" t="s">
        <v>1278</v>
      </c>
    </row>
    <row r="125" spans="1:5" x14ac:dyDescent="0.25">
      <c r="A125" s="1222">
        <v>124</v>
      </c>
      <c r="B125" s="1222" t="s">
        <v>917</v>
      </c>
      <c r="C125" s="1307" t="s">
        <v>1533</v>
      </c>
      <c r="D125" s="1307" t="s">
        <v>1510</v>
      </c>
      <c r="E125" s="1306" t="s">
        <v>1279</v>
      </c>
    </row>
    <row r="126" spans="1:5" x14ac:dyDescent="0.25">
      <c r="A126" s="1222">
        <v>125</v>
      </c>
      <c r="B126" s="1222" t="s">
        <v>917</v>
      </c>
      <c r="C126" s="1307" t="s">
        <v>1533</v>
      </c>
      <c r="D126" s="1307" t="s">
        <v>1510</v>
      </c>
      <c r="E126" s="1306" t="s">
        <v>1280</v>
      </c>
    </row>
    <row r="127" spans="1:5" x14ac:dyDescent="0.25">
      <c r="A127" s="1222">
        <v>126</v>
      </c>
      <c r="B127" s="1222" t="s">
        <v>917</v>
      </c>
      <c r="C127" s="1307" t="s">
        <v>1533</v>
      </c>
      <c r="D127" s="1307" t="s">
        <v>1510</v>
      </c>
      <c r="E127" s="1306" t="s">
        <v>1281</v>
      </c>
    </row>
    <row r="128" spans="1:5" x14ac:dyDescent="0.25">
      <c r="A128" s="1222">
        <v>127</v>
      </c>
      <c r="B128" s="1222" t="s">
        <v>917</v>
      </c>
      <c r="C128" s="1307" t="s">
        <v>1533</v>
      </c>
      <c r="D128" s="1307" t="s">
        <v>1510</v>
      </c>
      <c r="E128" s="1306" t="s">
        <v>1528</v>
      </c>
    </row>
    <row r="129" spans="1:5" x14ac:dyDescent="0.25">
      <c r="A129" s="1222">
        <v>128</v>
      </c>
      <c r="B129" s="1222" t="s">
        <v>917</v>
      </c>
      <c r="C129" s="1307" t="s">
        <v>1533</v>
      </c>
      <c r="D129" s="1307" t="s">
        <v>1510</v>
      </c>
      <c r="E129" s="1306" t="s">
        <v>1735</v>
      </c>
    </row>
    <row r="130" spans="1:5" x14ac:dyDescent="0.25">
      <c r="A130" s="1222">
        <v>129</v>
      </c>
      <c r="B130" s="1222" t="s">
        <v>1500</v>
      </c>
      <c r="C130" s="1307" t="s">
        <v>1533</v>
      </c>
      <c r="D130" s="1307" t="s">
        <v>1529</v>
      </c>
      <c r="E130" s="1304" t="s">
        <v>793</v>
      </c>
    </row>
    <row r="131" spans="1:5" x14ac:dyDescent="0.25">
      <c r="A131" s="1222">
        <v>130</v>
      </c>
      <c r="B131" s="1222" t="s">
        <v>1500</v>
      </c>
      <c r="C131" s="1307" t="s">
        <v>1533</v>
      </c>
      <c r="D131" s="1307" t="s">
        <v>1529</v>
      </c>
      <c r="E131" s="1304" t="s">
        <v>1271</v>
      </c>
    </row>
    <row r="132" spans="1:5" x14ac:dyDescent="0.25">
      <c r="A132" s="1222">
        <v>131</v>
      </c>
      <c r="B132" s="1222" t="s">
        <v>1500</v>
      </c>
      <c r="C132" s="1307" t="s">
        <v>1533</v>
      </c>
      <c r="D132" s="1307" t="s">
        <v>1510</v>
      </c>
      <c r="E132" s="1304" t="s">
        <v>1272</v>
      </c>
    </row>
    <row r="133" spans="1:5" x14ac:dyDescent="0.25">
      <c r="A133" s="1222">
        <v>132</v>
      </c>
      <c r="B133" s="1222" t="s">
        <v>1500</v>
      </c>
      <c r="C133" s="1307" t="s">
        <v>1533</v>
      </c>
      <c r="D133" s="1307" t="s">
        <v>1510</v>
      </c>
      <c r="E133" s="1304" t="s">
        <v>1465</v>
      </c>
    </row>
    <row r="134" spans="1:5" x14ac:dyDescent="0.25">
      <c r="A134" s="1222">
        <v>133</v>
      </c>
      <c r="B134" s="1222" t="s">
        <v>1500</v>
      </c>
      <c r="C134" s="1307" t="s">
        <v>1533</v>
      </c>
      <c r="D134" s="1307" t="s">
        <v>1510</v>
      </c>
      <c r="E134" s="1304" t="s">
        <v>1390</v>
      </c>
    </row>
    <row r="135" spans="1:5" x14ac:dyDescent="0.25">
      <c r="A135" s="1222">
        <v>134</v>
      </c>
      <c r="B135" s="1222" t="s">
        <v>1500</v>
      </c>
      <c r="C135" s="1307" t="s">
        <v>1533</v>
      </c>
      <c r="D135" s="1307" t="s">
        <v>1510</v>
      </c>
      <c r="E135" s="1304" t="s">
        <v>795</v>
      </c>
    </row>
    <row r="136" spans="1:5" x14ac:dyDescent="0.25">
      <c r="A136" s="1222">
        <v>135</v>
      </c>
      <c r="B136" s="1222" t="s">
        <v>1500</v>
      </c>
      <c r="C136" s="1307" t="s">
        <v>1533</v>
      </c>
      <c r="D136" s="1307" t="s">
        <v>1510</v>
      </c>
      <c r="E136" s="1304" t="s">
        <v>800</v>
      </c>
    </row>
    <row r="137" spans="1:5" x14ac:dyDescent="0.25">
      <c r="A137" s="1222">
        <v>136</v>
      </c>
      <c r="B137" s="1222" t="s">
        <v>1500</v>
      </c>
      <c r="C137" s="1307" t="s">
        <v>1533</v>
      </c>
      <c r="D137" s="1307" t="s">
        <v>1510</v>
      </c>
      <c r="E137" s="1304" t="s">
        <v>801</v>
      </c>
    </row>
    <row r="138" spans="1:5" x14ac:dyDescent="0.25">
      <c r="A138" s="1222">
        <v>137</v>
      </c>
      <c r="B138" s="1222" t="s">
        <v>1500</v>
      </c>
      <c r="C138" s="1307" t="s">
        <v>1533</v>
      </c>
      <c r="D138" s="1307" t="s">
        <v>1510</v>
      </c>
      <c r="E138" s="1304" t="s">
        <v>204</v>
      </c>
    </row>
    <row r="139" spans="1:5" x14ac:dyDescent="0.25">
      <c r="A139" s="1222">
        <v>138</v>
      </c>
      <c r="B139" s="1222" t="s">
        <v>1500</v>
      </c>
      <c r="C139" s="1307" t="s">
        <v>1534</v>
      </c>
      <c r="D139" s="1307" t="s">
        <v>1510</v>
      </c>
      <c r="E139" s="1304" t="s">
        <v>1270</v>
      </c>
    </row>
    <row r="140" spans="1:5" x14ac:dyDescent="0.25">
      <c r="A140" s="1222">
        <v>139</v>
      </c>
      <c r="B140" s="1222" t="s">
        <v>917</v>
      </c>
      <c r="C140" s="1307" t="s">
        <v>1534</v>
      </c>
      <c r="D140" s="1307" t="s">
        <v>1510</v>
      </c>
      <c r="E140" s="1304" t="s">
        <v>1274</v>
      </c>
    </row>
    <row r="141" spans="1:5" x14ac:dyDescent="0.25">
      <c r="A141" s="1222">
        <v>140</v>
      </c>
      <c r="B141" s="1222" t="s">
        <v>1500</v>
      </c>
      <c r="C141" s="1307" t="s">
        <v>1534</v>
      </c>
      <c r="D141" s="1307" t="s">
        <v>1510</v>
      </c>
      <c r="E141" s="1304" t="s">
        <v>794</v>
      </c>
    </row>
    <row r="142" spans="1:5" x14ac:dyDescent="0.25">
      <c r="A142" s="1222">
        <v>141</v>
      </c>
      <c r="B142" s="1222" t="s">
        <v>917</v>
      </c>
      <c r="C142" s="1307" t="s">
        <v>1534</v>
      </c>
      <c r="D142" s="1307" t="s">
        <v>1510</v>
      </c>
      <c r="E142" s="1306" t="s">
        <v>1355</v>
      </c>
    </row>
    <row r="143" spans="1:5" ht="30" x14ac:dyDescent="0.25">
      <c r="A143" s="1222">
        <v>142</v>
      </c>
      <c r="B143" s="1222" t="s">
        <v>917</v>
      </c>
      <c r="C143" s="1307" t="s">
        <v>1534</v>
      </c>
      <c r="D143" s="1307" t="s">
        <v>1510</v>
      </c>
      <c r="E143" s="1306" t="s">
        <v>1356</v>
      </c>
    </row>
    <row r="144" spans="1:5" x14ac:dyDescent="0.25">
      <c r="A144" s="1222">
        <v>143</v>
      </c>
      <c r="B144" s="1222" t="s">
        <v>917</v>
      </c>
      <c r="C144" s="1307" t="s">
        <v>1534</v>
      </c>
      <c r="D144" s="1307" t="s">
        <v>1510</v>
      </c>
      <c r="E144" s="1306" t="s">
        <v>1277</v>
      </c>
    </row>
    <row r="145" spans="1:5" x14ac:dyDescent="0.25">
      <c r="A145" s="1222">
        <v>144</v>
      </c>
      <c r="B145" s="1222" t="s">
        <v>917</v>
      </c>
      <c r="C145" s="1307" t="s">
        <v>1534</v>
      </c>
      <c r="D145" s="1307" t="s">
        <v>1510</v>
      </c>
      <c r="E145" s="1306" t="s">
        <v>1278</v>
      </c>
    </row>
    <row r="146" spans="1:5" x14ac:dyDescent="0.25">
      <c r="A146" s="1222">
        <v>145</v>
      </c>
      <c r="B146" s="1222" t="s">
        <v>917</v>
      </c>
      <c r="C146" s="1307" t="s">
        <v>1534</v>
      </c>
      <c r="D146" s="1307" t="s">
        <v>1510</v>
      </c>
      <c r="E146" s="1306" t="s">
        <v>1279</v>
      </c>
    </row>
    <row r="147" spans="1:5" x14ac:dyDescent="0.25">
      <c r="A147" s="1222">
        <v>146</v>
      </c>
      <c r="B147" s="1222" t="s">
        <v>917</v>
      </c>
      <c r="C147" s="1307" t="s">
        <v>1534</v>
      </c>
      <c r="D147" s="1307" t="s">
        <v>1510</v>
      </c>
      <c r="E147" s="1306" t="s">
        <v>1280</v>
      </c>
    </row>
    <row r="148" spans="1:5" x14ac:dyDescent="0.25">
      <c r="A148" s="1222">
        <v>147</v>
      </c>
      <c r="B148" s="1222" t="s">
        <v>917</v>
      </c>
      <c r="C148" s="1307" t="s">
        <v>1534</v>
      </c>
      <c r="D148" s="1307" t="s">
        <v>1510</v>
      </c>
      <c r="E148" s="1306" t="s">
        <v>1281</v>
      </c>
    </row>
    <row r="149" spans="1:5" x14ac:dyDescent="0.25">
      <c r="A149" s="1222">
        <v>148</v>
      </c>
      <c r="B149" s="1222" t="s">
        <v>917</v>
      </c>
      <c r="C149" s="1307" t="s">
        <v>1534</v>
      </c>
      <c r="D149" s="1307" t="s">
        <v>1510</v>
      </c>
      <c r="E149" s="1306" t="s">
        <v>1528</v>
      </c>
    </row>
    <row r="150" spans="1:5" x14ac:dyDescent="0.25">
      <c r="A150" s="1222">
        <v>149</v>
      </c>
      <c r="B150" s="1222" t="s">
        <v>917</v>
      </c>
      <c r="C150" s="1307" t="s">
        <v>1534</v>
      </c>
      <c r="D150" s="1307" t="s">
        <v>1510</v>
      </c>
      <c r="E150" s="1306" t="s">
        <v>1735</v>
      </c>
    </row>
    <row r="151" spans="1:5" x14ac:dyDescent="0.25">
      <c r="A151" s="1222">
        <v>150</v>
      </c>
      <c r="B151" s="1222" t="s">
        <v>1500</v>
      </c>
      <c r="C151" s="1307" t="s">
        <v>1534</v>
      </c>
      <c r="D151" s="1307" t="s">
        <v>1529</v>
      </c>
      <c r="E151" s="1304" t="s">
        <v>793</v>
      </c>
    </row>
    <row r="152" spans="1:5" x14ac:dyDescent="0.25">
      <c r="A152" s="1222">
        <v>151</v>
      </c>
      <c r="B152" s="1222" t="s">
        <v>1500</v>
      </c>
      <c r="C152" s="1307" t="s">
        <v>1534</v>
      </c>
      <c r="D152" s="1307" t="s">
        <v>1529</v>
      </c>
      <c r="E152" s="1304" t="s">
        <v>1271</v>
      </c>
    </row>
    <row r="153" spans="1:5" x14ac:dyDescent="0.25">
      <c r="A153" s="1222">
        <v>152</v>
      </c>
      <c r="B153" s="1222" t="s">
        <v>1500</v>
      </c>
      <c r="C153" s="1307" t="s">
        <v>1534</v>
      </c>
      <c r="D153" s="1307" t="s">
        <v>1510</v>
      </c>
      <c r="E153" s="1304" t="s">
        <v>1272</v>
      </c>
    </row>
    <row r="154" spans="1:5" x14ac:dyDescent="0.25">
      <c r="A154" s="1222">
        <v>153</v>
      </c>
      <c r="B154" s="1222" t="s">
        <v>1500</v>
      </c>
      <c r="C154" s="1307" t="s">
        <v>1534</v>
      </c>
      <c r="D154" s="1307" t="s">
        <v>1510</v>
      </c>
      <c r="E154" s="1304" t="s">
        <v>1465</v>
      </c>
    </row>
    <row r="155" spans="1:5" x14ac:dyDescent="0.25">
      <c r="A155" s="1222">
        <v>154</v>
      </c>
      <c r="B155" s="1222" t="s">
        <v>1500</v>
      </c>
      <c r="C155" s="1307" t="s">
        <v>1534</v>
      </c>
      <c r="D155" s="1307" t="s">
        <v>1510</v>
      </c>
      <c r="E155" s="1304" t="s">
        <v>1390</v>
      </c>
    </row>
    <row r="156" spans="1:5" x14ac:dyDescent="0.25">
      <c r="A156" s="1222">
        <v>155</v>
      </c>
      <c r="B156" s="1222" t="s">
        <v>1500</v>
      </c>
      <c r="C156" s="1307" t="s">
        <v>1534</v>
      </c>
      <c r="D156" s="1307" t="s">
        <v>1510</v>
      </c>
      <c r="E156" s="1304" t="s">
        <v>795</v>
      </c>
    </row>
    <row r="157" spans="1:5" x14ac:dyDescent="0.25">
      <c r="A157" s="1222">
        <v>156</v>
      </c>
      <c r="B157" s="1222" t="s">
        <v>1500</v>
      </c>
      <c r="C157" s="1307" t="s">
        <v>1534</v>
      </c>
      <c r="D157" s="1307" t="s">
        <v>1510</v>
      </c>
      <c r="E157" s="1304" t="s">
        <v>800</v>
      </c>
    </row>
    <row r="158" spans="1:5" x14ac:dyDescent="0.25">
      <c r="A158" s="1222">
        <v>157</v>
      </c>
      <c r="B158" s="1222" t="s">
        <v>1500</v>
      </c>
      <c r="C158" s="1307" t="s">
        <v>1534</v>
      </c>
      <c r="D158" s="1307" t="s">
        <v>1510</v>
      </c>
      <c r="E158" s="1304" t="s">
        <v>801</v>
      </c>
    </row>
    <row r="159" spans="1:5" x14ac:dyDescent="0.25">
      <c r="A159" s="1222">
        <v>158</v>
      </c>
      <c r="B159" s="1222" t="s">
        <v>1500</v>
      </c>
      <c r="C159" s="1307" t="s">
        <v>1534</v>
      </c>
      <c r="D159" s="1307" t="s">
        <v>1510</v>
      </c>
      <c r="E159" s="1304" t="s">
        <v>204</v>
      </c>
    </row>
    <row r="160" spans="1:5" x14ac:dyDescent="0.25">
      <c r="A160" s="1222">
        <v>159</v>
      </c>
      <c r="B160" s="1222" t="s">
        <v>1500</v>
      </c>
      <c r="C160" s="1307" t="s">
        <v>1535</v>
      </c>
      <c r="D160" s="1307" t="s">
        <v>1510</v>
      </c>
      <c r="E160" s="1304" t="s">
        <v>1270</v>
      </c>
    </row>
    <row r="161" spans="1:5" x14ac:dyDescent="0.25">
      <c r="A161" s="1222">
        <v>160</v>
      </c>
      <c r="B161" s="1222" t="s">
        <v>917</v>
      </c>
      <c r="C161" s="1307" t="s">
        <v>1535</v>
      </c>
      <c r="D161" s="1307" t="s">
        <v>1510</v>
      </c>
      <c r="E161" s="1304" t="s">
        <v>1274</v>
      </c>
    </row>
    <row r="162" spans="1:5" x14ac:dyDescent="0.25">
      <c r="A162" s="1222">
        <v>161</v>
      </c>
      <c r="B162" s="1222" t="s">
        <v>1500</v>
      </c>
      <c r="C162" s="1307" t="s">
        <v>1535</v>
      </c>
      <c r="D162" s="1307" t="s">
        <v>1510</v>
      </c>
      <c r="E162" s="1304" t="s">
        <v>794</v>
      </c>
    </row>
    <row r="163" spans="1:5" x14ac:dyDescent="0.25">
      <c r="A163" s="1222">
        <v>162</v>
      </c>
      <c r="B163" s="1222" t="s">
        <v>917</v>
      </c>
      <c r="C163" s="1307" t="s">
        <v>1535</v>
      </c>
      <c r="D163" s="1307" t="s">
        <v>1510</v>
      </c>
      <c r="E163" s="1306" t="s">
        <v>1355</v>
      </c>
    </row>
    <row r="164" spans="1:5" ht="30" x14ac:dyDescent="0.25">
      <c r="A164" s="1222">
        <v>163</v>
      </c>
      <c r="B164" s="1222" t="s">
        <v>917</v>
      </c>
      <c r="C164" s="1307" t="s">
        <v>1535</v>
      </c>
      <c r="D164" s="1307" t="s">
        <v>1510</v>
      </c>
      <c r="E164" s="1306" t="s">
        <v>1356</v>
      </c>
    </row>
    <row r="165" spans="1:5" x14ac:dyDescent="0.25">
      <c r="A165" s="1222">
        <v>164</v>
      </c>
      <c r="B165" s="1222" t="s">
        <v>917</v>
      </c>
      <c r="C165" s="1307" t="s">
        <v>1535</v>
      </c>
      <c r="D165" s="1307" t="s">
        <v>1510</v>
      </c>
      <c r="E165" s="1306" t="s">
        <v>1277</v>
      </c>
    </row>
    <row r="166" spans="1:5" x14ac:dyDescent="0.25">
      <c r="A166" s="1222">
        <v>165</v>
      </c>
      <c r="B166" s="1222" t="s">
        <v>917</v>
      </c>
      <c r="C166" s="1307" t="s">
        <v>1535</v>
      </c>
      <c r="D166" s="1307" t="s">
        <v>1510</v>
      </c>
      <c r="E166" s="1306" t="s">
        <v>1278</v>
      </c>
    </row>
    <row r="167" spans="1:5" x14ac:dyDescent="0.25">
      <c r="A167" s="1222">
        <v>166</v>
      </c>
      <c r="B167" s="1222" t="s">
        <v>917</v>
      </c>
      <c r="C167" s="1307" t="s">
        <v>1535</v>
      </c>
      <c r="D167" s="1307" t="s">
        <v>1510</v>
      </c>
      <c r="E167" s="1306" t="s">
        <v>1279</v>
      </c>
    </row>
    <row r="168" spans="1:5" x14ac:dyDescent="0.25">
      <c r="A168" s="1222">
        <v>167</v>
      </c>
      <c r="B168" s="1222" t="s">
        <v>917</v>
      </c>
      <c r="C168" s="1307" t="s">
        <v>1535</v>
      </c>
      <c r="D168" s="1307" t="s">
        <v>1510</v>
      </c>
      <c r="E168" s="1306" t="s">
        <v>1280</v>
      </c>
    </row>
    <row r="169" spans="1:5" x14ac:dyDescent="0.25">
      <c r="A169" s="1222">
        <v>168</v>
      </c>
      <c r="B169" s="1222" t="s">
        <v>917</v>
      </c>
      <c r="C169" s="1307" t="s">
        <v>1535</v>
      </c>
      <c r="D169" s="1307" t="s">
        <v>1510</v>
      </c>
      <c r="E169" s="1306" t="s">
        <v>1281</v>
      </c>
    </row>
    <row r="170" spans="1:5" x14ac:dyDescent="0.25">
      <c r="A170" s="1222">
        <v>169</v>
      </c>
      <c r="B170" s="1222" t="s">
        <v>917</v>
      </c>
      <c r="C170" s="1307" t="s">
        <v>1535</v>
      </c>
      <c r="D170" s="1307" t="s">
        <v>1510</v>
      </c>
      <c r="E170" s="1306" t="s">
        <v>1528</v>
      </c>
    </row>
    <row r="171" spans="1:5" x14ac:dyDescent="0.25">
      <c r="A171" s="1222">
        <v>170</v>
      </c>
      <c r="B171" s="1222" t="s">
        <v>917</v>
      </c>
      <c r="C171" s="1307" t="s">
        <v>1535</v>
      </c>
      <c r="D171" s="1307" t="s">
        <v>1510</v>
      </c>
      <c r="E171" s="1306" t="s">
        <v>1735</v>
      </c>
    </row>
    <row r="172" spans="1:5" x14ac:dyDescent="0.25">
      <c r="A172" s="1222">
        <v>171</v>
      </c>
      <c r="B172" s="1222" t="s">
        <v>1500</v>
      </c>
      <c r="C172" s="1307" t="s">
        <v>1535</v>
      </c>
      <c r="D172" s="1307" t="s">
        <v>1529</v>
      </c>
      <c r="E172" s="1304" t="s">
        <v>793</v>
      </c>
    </row>
    <row r="173" spans="1:5" x14ac:dyDescent="0.25">
      <c r="A173" s="1222">
        <v>172</v>
      </c>
      <c r="B173" s="1222" t="s">
        <v>1500</v>
      </c>
      <c r="C173" s="1307" t="s">
        <v>1535</v>
      </c>
      <c r="D173" s="1307" t="s">
        <v>1529</v>
      </c>
      <c r="E173" s="1304" t="s">
        <v>1271</v>
      </c>
    </row>
    <row r="174" spans="1:5" x14ac:dyDescent="0.25">
      <c r="A174" s="1222">
        <v>173</v>
      </c>
      <c r="B174" s="1222" t="s">
        <v>1500</v>
      </c>
      <c r="C174" s="1307" t="s">
        <v>1535</v>
      </c>
      <c r="D174" s="1307" t="s">
        <v>1510</v>
      </c>
      <c r="E174" s="1304" t="s">
        <v>1272</v>
      </c>
    </row>
    <row r="175" spans="1:5" x14ac:dyDescent="0.25">
      <c r="A175" s="1222">
        <v>174</v>
      </c>
      <c r="B175" s="1222" t="s">
        <v>1500</v>
      </c>
      <c r="C175" s="1307" t="s">
        <v>1535</v>
      </c>
      <c r="D175" s="1307" t="s">
        <v>1510</v>
      </c>
      <c r="E175" s="1304" t="s">
        <v>1465</v>
      </c>
    </row>
    <row r="176" spans="1:5" x14ac:dyDescent="0.25">
      <c r="A176" s="1222">
        <v>175</v>
      </c>
      <c r="B176" s="1222" t="s">
        <v>1500</v>
      </c>
      <c r="C176" s="1307" t="s">
        <v>1535</v>
      </c>
      <c r="D176" s="1307" t="s">
        <v>1510</v>
      </c>
      <c r="E176" s="1304" t="s">
        <v>1390</v>
      </c>
    </row>
    <row r="177" spans="1:5" x14ac:dyDescent="0.25">
      <c r="A177" s="1222">
        <v>176</v>
      </c>
      <c r="B177" s="1222" t="s">
        <v>1500</v>
      </c>
      <c r="C177" s="1307" t="s">
        <v>1535</v>
      </c>
      <c r="D177" s="1307" t="s">
        <v>1510</v>
      </c>
      <c r="E177" s="1304" t="s">
        <v>795</v>
      </c>
    </row>
    <row r="178" spans="1:5" x14ac:dyDescent="0.25">
      <c r="A178" s="1222">
        <v>177</v>
      </c>
      <c r="B178" s="1222" t="s">
        <v>1500</v>
      </c>
      <c r="C178" s="1307" t="s">
        <v>1535</v>
      </c>
      <c r="D178" s="1307" t="s">
        <v>1510</v>
      </c>
      <c r="E178" s="1304" t="s">
        <v>800</v>
      </c>
    </row>
    <row r="179" spans="1:5" x14ac:dyDescent="0.25">
      <c r="A179" s="1222">
        <v>178</v>
      </c>
      <c r="B179" s="1222" t="s">
        <v>1500</v>
      </c>
      <c r="C179" s="1307" t="s">
        <v>1535</v>
      </c>
      <c r="D179" s="1307" t="s">
        <v>1510</v>
      </c>
      <c r="E179" s="1304" t="s">
        <v>801</v>
      </c>
    </row>
    <row r="180" spans="1:5" x14ac:dyDescent="0.25">
      <c r="A180" s="1222">
        <v>179</v>
      </c>
      <c r="B180" s="1222" t="s">
        <v>1500</v>
      </c>
      <c r="C180" s="1307" t="s">
        <v>1535</v>
      </c>
      <c r="D180" s="1307" t="s">
        <v>1510</v>
      </c>
      <c r="E180" s="1304" t="s">
        <v>204</v>
      </c>
    </row>
    <row r="181" spans="1:5" x14ac:dyDescent="0.25">
      <c r="A181" s="1222">
        <v>180</v>
      </c>
      <c r="B181" s="1222" t="s">
        <v>1500</v>
      </c>
      <c r="C181" s="1307" t="s">
        <v>1536</v>
      </c>
      <c r="D181" s="1307" t="s">
        <v>1510</v>
      </c>
      <c r="E181" s="1304" t="s">
        <v>1270</v>
      </c>
    </row>
    <row r="182" spans="1:5" x14ac:dyDescent="0.25">
      <c r="A182" s="1222">
        <v>181</v>
      </c>
      <c r="B182" s="1222" t="s">
        <v>917</v>
      </c>
      <c r="C182" s="1307" t="s">
        <v>1536</v>
      </c>
      <c r="D182" s="1307" t="s">
        <v>1510</v>
      </c>
      <c r="E182" s="1304" t="s">
        <v>1274</v>
      </c>
    </row>
    <row r="183" spans="1:5" x14ac:dyDescent="0.25">
      <c r="A183" s="1222">
        <v>182</v>
      </c>
      <c r="B183" s="1222" t="s">
        <v>1500</v>
      </c>
      <c r="C183" s="1307" t="s">
        <v>1536</v>
      </c>
      <c r="D183" s="1307" t="s">
        <v>1510</v>
      </c>
      <c r="E183" s="1304" t="s">
        <v>794</v>
      </c>
    </row>
    <row r="184" spans="1:5" x14ac:dyDescent="0.25">
      <c r="A184" s="1222">
        <v>183</v>
      </c>
      <c r="B184" s="1222" t="s">
        <v>917</v>
      </c>
      <c r="C184" s="1307" t="s">
        <v>1536</v>
      </c>
      <c r="D184" s="1307" t="s">
        <v>1510</v>
      </c>
      <c r="E184" s="1306" t="s">
        <v>1355</v>
      </c>
    </row>
    <row r="185" spans="1:5" ht="30" x14ac:dyDescent="0.25">
      <c r="A185" s="1222">
        <v>184</v>
      </c>
      <c r="B185" s="1222" t="s">
        <v>917</v>
      </c>
      <c r="C185" s="1307" t="s">
        <v>1536</v>
      </c>
      <c r="D185" s="1307" t="s">
        <v>1510</v>
      </c>
      <c r="E185" s="1306" t="s">
        <v>1356</v>
      </c>
    </row>
    <row r="186" spans="1:5" x14ac:dyDescent="0.25">
      <c r="A186" s="1222">
        <v>185</v>
      </c>
      <c r="B186" s="1222" t="s">
        <v>917</v>
      </c>
      <c r="C186" s="1307" t="s">
        <v>1536</v>
      </c>
      <c r="D186" s="1307" t="s">
        <v>1510</v>
      </c>
      <c r="E186" s="1306" t="s">
        <v>1277</v>
      </c>
    </row>
    <row r="187" spans="1:5" x14ac:dyDescent="0.25">
      <c r="A187" s="1222">
        <v>186</v>
      </c>
      <c r="B187" s="1222" t="s">
        <v>917</v>
      </c>
      <c r="C187" s="1307" t="s">
        <v>1536</v>
      </c>
      <c r="D187" s="1307" t="s">
        <v>1510</v>
      </c>
      <c r="E187" s="1306" t="s">
        <v>1278</v>
      </c>
    </row>
    <row r="188" spans="1:5" x14ac:dyDescent="0.25">
      <c r="A188" s="1222">
        <v>187</v>
      </c>
      <c r="B188" s="1222" t="s">
        <v>917</v>
      </c>
      <c r="C188" s="1307" t="s">
        <v>1536</v>
      </c>
      <c r="D188" s="1307" t="s">
        <v>1510</v>
      </c>
      <c r="E188" s="1306" t="s">
        <v>1279</v>
      </c>
    </row>
    <row r="189" spans="1:5" x14ac:dyDescent="0.25">
      <c r="A189" s="1222">
        <v>188</v>
      </c>
      <c r="B189" s="1222" t="s">
        <v>917</v>
      </c>
      <c r="C189" s="1307" t="s">
        <v>1536</v>
      </c>
      <c r="D189" s="1307" t="s">
        <v>1510</v>
      </c>
      <c r="E189" s="1306" t="s">
        <v>1280</v>
      </c>
    </row>
    <row r="190" spans="1:5" x14ac:dyDescent="0.25">
      <c r="A190" s="1222">
        <v>189</v>
      </c>
      <c r="B190" s="1222" t="s">
        <v>917</v>
      </c>
      <c r="C190" s="1307" t="s">
        <v>1536</v>
      </c>
      <c r="D190" s="1307" t="s">
        <v>1510</v>
      </c>
      <c r="E190" s="1306" t="s">
        <v>1281</v>
      </c>
    </row>
    <row r="191" spans="1:5" x14ac:dyDescent="0.25">
      <c r="A191" s="1222">
        <v>190</v>
      </c>
      <c r="B191" s="1222" t="s">
        <v>917</v>
      </c>
      <c r="C191" s="1307" t="s">
        <v>1536</v>
      </c>
      <c r="D191" s="1307" t="s">
        <v>1510</v>
      </c>
      <c r="E191" s="1306" t="s">
        <v>1528</v>
      </c>
    </row>
    <row r="192" spans="1:5" x14ac:dyDescent="0.25">
      <c r="A192" s="1222">
        <v>191</v>
      </c>
      <c r="B192" s="1222" t="s">
        <v>917</v>
      </c>
      <c r="C192" s="1307" t="s">
        <v>1536</v>
      </c>
      <c r="D192" s="1307" t="s">
        <v>1510</v>
      </c>
      <c r="E192" s="1306" t="s">
        <v>1735</v>
      </c>
    </row>
    <row r="193" spans="1:5" x14ac:dyDescent="0.25">
      <c r="A193" s="1222">
        <v>192</v>
      </c>
      <c r="B193" s="1222" t="s">
        <v>1500</v>
      </c>
      <c r="C193" s="1307" t="s">
        <v>1536</v>
      </c>
      <c r="D193" s="1307" t="s">
        <v>1529</v>
      </c>
      <c r="E193" s="1304" t="s">
        <v>793</v>
      </c>
    </row>
    <row r="194" spans="1:5" x14ac:dyDescent="0.25">
      <c r="A194" s="1222">
        <v>193</v>
      </c>
      <c r="B194" s="1222" t="s">
        <v>1500</v>
      </c>
      <c r="C194" s="1307" t="s">
        <v>1536</v>
      </c>
      <c r="D194" s="1307" t="s">
        <v>1529</v>
      </c>
      <c r="E194" s="1304" t="s">
        <v>1271</v>
      </c>
    </row>
    <row r="195" spans="1:5" x14ac:dyDescent="0.25">
      <c r="A195" s="1222">
        <v>194</v>
      </c>
      <c r="B195" s="1222" t="s">
        <v>1500</v>
      </c>
      <c r="C195" s="1307" t="s">
        <v>1536</v>
      </c>
      <c r="D195" s="1307" t="s">
        <v>1510</v>
      </c>
      <c r="E195" s="1304" t="s">
        <v>1272</v>
      </c>
    </row>
    <row r="196" spans="1:5" x14ac:dyDescent="0.25">
      <c r="A196" s="1222">
        <v>195</v>
      </c>
      <c r="B196" s="1222" t="s">
        <v>1500</v>
      </c>
      <c r="C196" s="1307" t="s">
        <v>1536</v>
      </c>
      <c r="D196" s="1307" t="s">
        <v>1510</v>
      </c>
      <c r="E196" s="1304" t="s">
        <v>1465</v>
      </c>
    </row>
    <row r="197" spans="1:5" x14ac:dyDescent="0.25">
      <c r="A197" s="1222">
        <v>196</v>
      </c>
      <c r="B197" s="1222" t="s">
        <v>1500</v>
      </c>
      <c r="C197" s="1307" t="s">
        <v>1536</v>
      </c>
      <c r="D197" s="1307" t="s">
        <v>1510</v>
      </c>
      <c r="E197" s="1304" t="s">
        <v>1390</v>
      </c>
    </row>
    <row r="198" spans="1:5" x14ac:dyDescent="0.25">
      <c r="A198" s="1222">
        <v>197</v>
      </c>
      <c r="B198" s="1222" t="s">
        <v>1500</v>
      </c>
      <c r="C198" s="1307" t="s">
        <v>1536</v>
      </c>
      <c r="D198" s="1307" t="s">
        <v>1510</v>
      </c>
      <c r="E198" s="1304" t="s">
        <v>795</v>
      </c>
    </row>
    <row r="199" spans="1:5" x14ac:dyDescent="0.25">
      <c r="A199" s="1222">
        <v>198</v>
      </c>
      <c r="B199" s="1222" t="s">
        <v>1500</v>
      </c>
      <c r="C199" s="1307" t="s">
        <v>1536</v>
      </c>
      <c r="D199" s="1307" t="s">
        <v>1510</v>
      </c>
      <c r="E199" s="1304" t="s">
        <v>800</v>
      </c>
    </row>
    <row r="200" spans="1:5" x14ac:dyDescent="0.25">
      <c r="A200" s="1222">
        <v>199</v>
      </c>
      <c r="B200" s="1222" t="s">
        <v>1500</v>
      </c>
      <c r="C200" s="1307" t="s">
        <v>1536</v>
      </c>
      <c r="D200" s="1307" t="s">
        <v>1510</v>
      </c>
      <c r="E200" s="1304" t="s">
        <v>801</v>
      </c>
    </row>
    <row r="201" spans="1:5" x14ac:dyDescent="0.25">
      <c r="A201" s="1222">
        <v>200</v>
      </c>
      <c r="B201" s="1222" t="s">
        <v>1500</v>
      </c>
      <c r="C201" s="1307" t="s">
        <v>1536</v>
      </c>
      <c r="D201" s="1307" t="s">
        <v>1510</v>
      </c>
      <c r="E201" s="1304" t="s">
        <v>204</v>
      </c>
    </row>
    <row r="202" spans="1:5" x14ac:dyDescent="0.25">
      <c r="A202" s="1222">
        <v>201</v>
      </c>
      <c r="B202" s="1222" t="s">
        <v>1500</v>
      </c>
      <c r="C202" s="1307" t="s">
        <v>1537</v>
      </c>
      <c r="D202" s="1307" t="s">
        <v>1510</v>
      </c>
      <c r="E202" s="1304" t="s">
        <v>1270</v>
      </c>
    </row>
    <row r="203" spans="1:5" x14ac:dyDescent="0.25">
      <c r="A203" s="1222">
        <v>202</v>
      </c>
      <c r="B203" s="1222" t="s">
        <v>917</v>
      </c>
      <c r="C203" s="1307" t="s">
        <v>1537</v>
      </c>
      <c r="D203" s="1307" t="s">
        <v>1510</v>
      </c>
      <c r="E203" s="1304" t="s">
        <v>1274</v>
      </c>
    </row>
    <row r="204" spans="1:5" x14ac:dyDescent="0.25">
      <c r="A204" s="1222">
        <v>203</v>
      </c>
      <c r="B204" s="1222" t="s">
        <v>1500</v>
      </c>
      <c r="C204" s="1307" t="s">
        <v>1537</v>
      </c>
      <c r="D204" s="1307" t="s">
        <v>1510</v>
      </c>
      <c r="E204" s="1304" t="s">
        <v>794</v>
      </c>
    </row>
    <row r="205" spans="1:5" x14ac:dyDescent="0.25">
      <c r="A205" s="1222">
        <v>204</v>
      </c>
      <c r="B205" s="1222" t="s">
        <v>917</v>
      </c>
      <c r="C205" s="1307" t="s">
        <v>1537</v>
      </c>
      <c r="D205" s="1307" t="s">
        <v>1510</v>
      </c>
      <c r="E205" s="1306" t="s">
        <v>1355</v>
      </c>
    </row>
    <row r="206" spans="1:5" ht="30" x14ac:dyDescent="0.25">
      <c r="A206" s="1222">
        <v>205</v>
      </c>
      <c r="B206" s="1222" t="s">
        <v>917</v>
      </c>
      <c r="C206" s="1307" t="s">
        <v>1537</v>
      </c>
      <c r="D206" s="1307" t="s">
        <v>1510</v>
      </c>
      <c r="E206" s="1306" t="s">
        <v>1356</v>
      </c>
    </row>
    <row r="207" spans="1:5" x14ac:dyDescent="0.25">
      <c r="A207" s="1222">
        <v>206</v>
      </c>
      <c r="B207" s="1222" t="s">
        <v>917</v>
      </c>
      <c r="C207" s="1307" t="s">
        <v>1537</v>
      </c>
      <c r="D207" s="1307" t="s">
        <v>1510</v>
      </c>
      <c r="E207" s="1306" t="s">
        <v>1277</v>
      </c>
    </row>
    <row r="208" spans="1:5" x14ac:dyDescent="0.25">
      <c r="A208" s="1222">
        <v>207</v>
      </c>
      <c r="B208" s="1222" t="s">
        <v>917</v>
      </c>
      <c r="C208" s="1307" t="s">
        <v>1537</v>
      </c>
      <c r="D208" s="1307" t="s">
        <v>1510</v>
      </c>
      <c r="E208" s="1306" t="s">
        <v>1278</v>
      </c>
    </row>
    <row r="209" spans="1:5" x14ac:dyDescent="0.25">
      <c r="A209" s="1222">
        <v>208</v>
      </c>
      <c r="B209" s="1222" t="s">
        <v>917</v>
      </c>
      <c r="C209" s="1307" t="s">
        <v>1537</v>
      </c>
      <c r="D209" s="1307" t="s">
        <v>1510</v>
      </c>
      <c r="E209" s="1306" t="s">
        <v>1279</v>
      </c>
    </row>
    <row r="210" spans="1:5" x14ac:dyDescent="0.25">
      <c r="A210" s="1222">
        <v>209</v>
      </c>
      <c r="B210" s="1222" t="s">
        <v>917</v>
      </c>
      <c r="C210" s="1307" t="s">
        <v>1537</v>
      </c>
      <c r="D210" s="1307" t="s">
        <v>1510</v>
      </c>
      <c r="E210" s="1306" t="s">
        <v>1280</v>
      </c>
    </row>
    <row r="211" spans="1:5" x14ac:dyDescent="0.25">
      <c r="A211" s="1222">
        <v>210</v>
      </c>
      <c r="B211" s="1222" t="s">
        <v>917</v>
      </c>
      <c r="C211" s="1307" t="s">
        <v>1537</v>
      </c>
      <c r="D211" s="1307" t="s">
        <v>1510</v>
      </c>
      <c r="E211" s="1306" t="s">
        <v>1281</v>
      </c>
    </row>
    <row r="212" spans="1:5" x14ac:dyDescent="0.25">
      <c r="A212" s="1222">
        <v>211</v>
      </c>
      <c r="B212" s="1222" t="s">
        <v>917</v>
      </c>
      <c r="C212" s="1307" t="s">
        <v>1537</v>
      </c>
      <c r="D212" s="1307" t="s">
        <v>1510</v>
      </c>
      <c r="E212" s="1306" t="s">
        <v>1528</v>
      </c>
    </row>
    <row r="213" spans="1:5" x14ac:dyDescent="0.25">
      <c r="A213" s="1222">
        <v>212</v>
      </c>
      <c r="B213" s="1222" t="s">
        <v>917</v>
      </c>
      <c r="C213" s="1307" t="s">
        <v>1537</v>
      </c>
      <c r="D213" s="1307" t="s">
        <v>1510</v>
      </c>
      <c r="E213" s="1306" t="s">
        <v>1735</v>
      </c>
    </row>
    <row r="214" spans="1:5" x14ac:dyDescent="0.25">
      <c r="A214" s="1222">
        <v>213</v>
      </c>
      <c r="B214" s="1222" t="s">
        <v>1500</v>
      </c>
      <c r="C214" s="1307" t="s">
        <v>1537</v>
      </c>
      <c r="D214" s="1307" t="s">
        <v>1529</v>
      </c>
      <c r="E214" s="1304" t="s">
        <v>793</v>
      </c>
    </row>
    <row r="215" spans="1:5" x14ac:dyDescent="0.25">
      <c r="A215" s="1222">
        <v>214</v>
      </c>
      <c r="B215" s="1222" t="s">
        <v>1500</v>
      </c>
      <c r="C215" s="1307" t="s">
        <v>1537</v>
      </c>
      <c r="D215" s="1307" t="s">
        <v>1529</v>
      </c>
      <c r="E215" s="1304" t="s">
        <v>1271</v>
      </c>
    </row>
    <row r="216" spans="1:5" x14ac:dyDescent="0.25">
      <c r="A216" s="1222">
        <v>215</v>
      </c>
      <c r="B216" s="1222" t="s">
        <v>1500</v>
      </c>
      <c r="C216" s="1307" t="s">
        <v>1537</v>
      </c>
      <c r="D216" s="1307" t="s">
        <v>1510</v>
      </c>
      <c r="E216" s="1304" t="s">
        <v>1272</v>
      </c>
    </row>
    <row r="217" spans="1:5" x14ac:dyDescent="0.25">
      <c r="A217" s="1222">
        <v>216</v>
      </c>
      <c r="B217" s="1222" t="s">
        <v>1500</v>
      </c>
      <c r="C217" s="1307" t="s">
        <v>1537</v>
      </c>
      <c r="D217" s="1307" t="s">
        <v>1510</v>
      </c>
      <c r="E217" s="1304" t="s">
        <v>1465</v>
      </c>
    </row>
    <row r="218" spans="1:5" x14ac:dyDescent="0.25">
      <c r="A218" s="1222">
        <v>217</v>
      </c>
      <c r="B218" s="1222" t="s">
        <v>1500</v>
      </c>
      <c r="C218" s="1307" t="s">
        <v>1537</v>
      </c>
      <c r="D218" s="1307" t="s">
        <v>1510</v>
      </c>
      <c r="E218" s="1304" t="s">
        <v>1390</v>
      </c>
    </row>
    <row r="219" spans="1:5" x14ac:dyDescent="0.25">
      <c r="A219" s="1222">
        <v>218</v>
      </c>
      <c r="B219" s="1222" t="s">
        <v>1500</v>
      </c>
      <c r="C219" s="1307" t="s">
        <v>1537</v>
      </c>
      <c r="D219" s="1307" t="s">
        <v>1510</v>
      </c>
      <c r="E219" s="1304" t="s">
        <v>795</v>
      </c>
    </row>
    <row r="220" spans="1:5" x14ac:dyDescent="0.25">
      <c r="A220" s="1222">
        <v>219</v>
      </c>
      <c r="B220" s="1222" t="s">
        <v>1500</v>
      </c>
      <c r="C220" s="1307" t="s">
        <v>1537</v>
      </c>
      <c r="D220" s="1307" t="s">
        <v>1510</v>
      </c>
      <c r="E220" s="1304" t="s">
        <v>800</v>
      </c>
    </row>
    <row r="221" spans="1:5" x14ac:dyDescent="0.25">
      <c r="A221" s="1222">
        <v>220</v>
      </c>
      <c r="B221" s="1222" t="s">
        <v>1500</v>
      </c>
      <c r="C221" s="1307" t="s">
        <v>1537</v>
      </c>
      <c r="D221" s="1307" t="s">
        <v>1510</v>
      </c>
      <c r="E221" s="1304" t="s">
        <v>801</v>
      </c>
    </row>
    <row r="222" spans="1:5" x14ac:dyDescent="0.25">
      <c r="A222" s="1222">
        <v>221</v>
      </c>
      <c r="B222" s="1222" t="s">
        <v>1500</v>
      </c>
      <c r="C222" s="1307" t="s">
        <v>1537</v>
      </c>
      <c r="D222" s="1307" t="s">
        <v>1510</v>
      </c>
      <c r="E222" s="1304" t="s">
        <v>204</v>
      </c>
    </row>
    <row r="223" spans="1:5" x14ac:dyDescent="0.25">
      <c r="A223" s="1222">
        <v>222</v>
      </c>
      <c r="B223" s="1222" t="s">
        <v>1500</v>
      </c>
      <c r="C223" s="1307" t="s">
        <v>1538</v>
      </c>
      <c r="D223" s="1307" t="s">
        <v>1510</v>
      </c>
      <c r="E223" s="1304" t="s">
        <v>1270</v>
      </c>
    </row>
    <row r="224" spans="1:5" x14ac:dyDescent="0.25">
      <c r="A224" s="1222">
        <v>223</v>
      </c>
      <c r="B224" s="1222" t="s">
        <v>917</v>
      </c>
      <c r="C224" s="1307" t="s">
        <v>1538</v>
      </c>
      <c r="D224" s="1307" t="s">
        <v>1510</v>
      </c>
      <c r="E224" s="1304" t="s">
        <v>1274</v>
      </c>
    </row>
    <row r="225" spans="1:5" x14ac:dyDescent="0.25">
      <c r="A225" s="1222">
        <v>224</v>
      </c>
      <c r="B225" s="1222" t="s">
        <v>1500</v>
      </c>
      <c r="C225" s="1307" t="s">
        <v>1538</v>
      </c>
      <c r="D225" s="1307" t="s">
        <v>1510</v>
      </c>
      <c r="E225" s="1304" t="s">
        <v>794</v>
      </c>
    </row>
    <row r="226" spans="1:5" x14ac:dyDescent="0.25">
      <c r="A226" s="1222">
        <v>225</v>
      </c>
      <c r="B226" s="1222" t="s">
        <v>917</v>
      </c>
      <c r="C226" s="1307" t="s">
        <v>1538</v>
      </c>
      <c r="D226" s="1307" t="s">
        <v>1510</v>
      </c>
      <c r="E226" s="1306" t="s">
        <v>1355</v>
      </c>
    </row>
    <row r="227" spans="1:5" ht="30" x14ac:dyDescent="0.25">
      <c r="A227" s="1222">
        <v>226</v>
      </c>
      <c r="B227" s="1222" t="s">
        <v>917</v>
      </c>
      <c r="C227" s="1307" t="s">
        <v>1538</v>
      </c>
      <c r="D227" s="1307" t="s">
        <v>1510</v>
      </c>
      <c r="E227" s="1306" t="s">
        <v>1356</v>
      </c>
    </row>
    <row r="228" spans="1:5" x14ac:dyDescent="0.25">
      <c r="A228" s="1222">
        <v>227</v>
      </c>
      <c r="B228" s="1222" t="s">
        <v>917</v>
      </c>
      <c r="C228" s="1307" t="s">
        <v>1538</v>
      </c>
      <c r="D228" s="1307" t="s">
        <v>1510</v>
      </c>
      <c r="E228" s="1306" t="s">
        <v>1277</v>
      </c>
    </row>
    <row r="229" spans="1:5" x14ac:dyDescent="0.25">
      <c r="A229" s="1222">
        <v>228</v>
      </c>
      <c r="B229" s="1222" t="s">
        <v>917</v>
      </c>
      <c r="C229" s="1307" t="s">
        <v>1538</v>
      </c>
      <c r="D229" s="1307" t="s">
        <v>1510</v>
      </c>
      <c r="E229" s="1306" t="s">
        <v>1278</v>
      </c>
    </row>
    <row r="230" spans="1:5" x14ac:dyDescent="0.25">
      <c r="A230" s="1222">
        <v>229</v>
      </c>
      <c r="B230" s="1222" t="s">
        <v>917</v>
      </c>
      <c r="C230" s="1307" t="s">
        <v>1538</v>
      </c>
      <c r="D230" s="1307" t="s">
        <v>1510</v>
      </c>
      <c r="E230" s="1306" t="s">
        <v>1279</v>
      </c>
    </row>
    <row r="231" spans="1:5" x14ac:dyDescent="0.25">
      <c r="A231" s="1222">
        <v>230</v>
      </c>
      <c r="B231" s="1222" t="s">
        <v>917</v>
      </c>
      <c r="C231" s="1307" t="s">
        <v>1538</v>
      </c>
      <c r="D231" s="1307" t="s">
        <v>1510</v>
      </c>
      <c r="E231" s="1306" t="s">
        <v>1280</v>
      </c>
    </row>
    <row r="232" spans="1:5" x14ac:dyDescent="0.25">
      <c r="A232" s="1222">
        <v>231</v>
      </c>
      <c r="B232" s="1222" t="s">
        <v>917</v>
      </c>
      <c r="C232" s="1307" t="s">
        <v>1538</v>
      </c>
      <c r="D232" s="1307" t="s">
        <v>1510</v>
      </c>
      <c r="E232" s="1306" t="s">
        <v>1281</v>
      </c>
    </row>
    <row r="233" spans="1:5" x14ac:dyDescent="0.25">
      <c r="A233" s="1222">
        <v>232</v>
      </c>
      <c r="B233" s="1222" t="s">
        <v>917</v>
      </c>
      <c r="C233" s="1307" t="s">
        <v>1538</v>
      </c>
      <c r="D233" s="1307" t="s">
        <v>1510</v>
      </c>
      <c r="E233" s="1306" t="s">
        <v>1528</v>
      </c>
    </row>
    <row r="234" spans="1:5" x14ac:dyDescent="0.25">
      <c r="A234" s="1222">
        <v>233</v>
      </c>
      <c r="B234" s="1222" t="s">
        <v>917</v>
      </c>
      <c r="C234" s="1307" t="s">
        <v>1538</v>
      </c>
      <c r="D234" s="1307" t="s">
        <v>1510</v>
      </c>
      <c r="E234" s="1306" t="s">
        <v>1735</v>
      </c>
    </row>
    <row r="235" spans="1:5" x14ac:dyDescent="0.25">
      <c r="A235" s="1222">
        <v>234</v>
      </c>
      <c r="B235" s="1222" t="s">
        <v>1500</v>
      </c>
      <c r="C235" s="1307" t="s">
        <v>1538</v>
      </c>
      <c r="D235" s="1307" t="s">
        <v>1529</v>
      </c>
      <c r="E235" s="1304" t="s">
        <v>793</v>
      </c>
    </row>
    <row r="236" spans="1:5" x14ac:dyDescent="0.25">
      <c r="A236" s="1222">
        <v>235</v>
      </c>
      <c r="B236" s="1222" t="s">
        <v>1500</v>
      </c>
      <c r="C236" s="1307" t="s">
        <v>1538</v>
      </c>
      <c r="D236" s="1307" t="s">
        <v>1529</v>
      </c>
      <c r="E236" s="1304" t="s">
        <v>1271</v>
      </c>
    </row>
    <row r="237" spans="1:5" x14ac:dyDescent="0.25">
      <c r="A237" s="1222">
        <v>236</v>
      </c>
      <c r="B237" s="1222" t="s">
        <v>1500</v>
      </c>
      <c r="C237" s="1307" t="s">
        <v>1538</v>
      </c>
      <c r="D237" s="1307" t="s">
        <v>1510</v>
      </c>
      <c r="E237" s="1304" t="s">
        <v>1272</v>
      </c>
    </row>
    <row r="238" spans="1:5" x14ac:dyDescent="0.25">
      <c r="A238" s="1222">
        <v>237</v>
      </c>
      <c r="B238" s="1222" t="s">
        <v>1500</v>
      </c>
      <c r="C238" s="1307" t="s">
        <v>1538</v>
      </c>
      <c r="D238" s="1307" t="s">
        <v>1510</v>
      </c>
      <c r="E238" s="1304" t="s">
        <v>1465</v>
      </c>
    </row>
    <row r="239" spans="1:5" x14ac:dyDescent="0.25">
      <c r="A239" s="1222">
        <v>238</v>
      </c>
      <c r="B239" s="1222" t="s">
        <v>1500</v>
      </c>
      <c r="C239" s="1307" t="s">
        <v>1538</v>
      </c>
      <c r="D239" s="1307" t="s">
        <v>1510</v>
      </c>
      <c r="E239" s="1304" t="s">
        <v>1390</v>
      </c>
    </row>
    <row r="240" spans="1:5" x14ac:dyDescent="0.25">
      <c r="A240" s="1222">
        <v>239</v>
      </c>
      <c r="B240" s="1222" t="s">
        <v>1500</v>
      </c>
      <c r="C240" s="1307" t="s">
        <v>1538</v>
      </c>
      <c r="D240" s="1307" t="s">
        <v>1510</v>
      </c>
      <c r="E240" s="1304" t="s">
        <v>795</v>
      </c>
    </row>
    <row r="241" spans="1:5" x14ac:dyDescent="0.25">
      <c r="A241" s="1222">
        <v>240</v>
      </c>
      <c r="B241" s="1222" t="s">
        <v>1500</v>
      </c>
      <c r="C241" s="1307" t="s">
        <v>1538</v>
      </c>
      <c r="D241" s="1307" t="s">
        <v>1510</v>
      </c>
      <c r="E241" s="1304" t="s">
        <v>800</v>
      </c>
    </row>
    <row r="242" spans="1:5" x14ac:dyDescent="0.25">
      <c r="A242" s="1222">
        <v>241</v>
      </c>
      <c r="B242" s="1222" t="s">
        <v>1500</v>
      </c>
      <c r="C242" s="1307" t="s">
        <v>1538</v>
      </c>
      <c r="D242" s="1307" t="s">
        <v>1510</v>
      </c>
      <c r="E242" s="1304" t="s">
        <v>801</v>
      </c>
    </row>
    <row r="243" spans="1:5" x14ac:dyDescent="0.25">
      <c r="A243" s="1222">
        <v>242</v>
      </c>
      <c r="B243" s="1222" t="s">
        <v>1500</v>
      </c>
      <c r="C243" s="1307" t="s">
        <v>1538</v>
      </c>
      <c r="D243" s="1307" t="s">
        <v>1510</v>
      </c>
      <c r="E243" s="1304" t="s">
        <v>204</v>
      </c>
    </row>
    <row r="244" spans="1:5" ht="45" x14ac:dyDescent="0.25">
      <c r="A244" s="1222">
        <v>243</v>
      </c>
      <c r="B244" s="1222" t="s">
        <v>1372</v>
      </c>
      <c r="C244" s="1307" t="s">
        <v>1539</v>
      </c>
      <c r="D244" s="1307" t="s">
        <v>1540</v>
      </c>
      <c r="E244" s="1304" t="s">
        <v>1541</v>
      </c>
    </row>
    <row r="245" spans="1:5" ht="30" x14ac:dyDescent="0.25">
      <c r="A245" s="1222">
        <v>244</v>
      </c>
      <c r="B245" s="1222" t="s">
        <v>1372</v>
      </c>
      <c r="C245" s="1307" t="s">
        <v>1539</v>
      </c>
      <c r="D245" s="1307" t="s">
        <v>1542</v>
      </c>
      <c r="E245" s="1304" t="s">
        <v>1476</v>
      </c>
    </row>
    <row r="246" spans="1:5" x14ac:dyDescent="0.25">
      <c r="A246" s="1222">
        <v>245</v>
      </c>
      <c r="B246" s="1222" t="s">
        <v>1372</v>
      </c>
      <c r="C246" s="1307" t="s">
        <v>1539</v>
      </c>
      <c r="D246" s="1307" t="s">
        <v>1543</v>
      </c>
      <c r="E246" s="1304" t="s">
        <v>1360</v>
      </c>
    </row>
    <row r="247" spans="1:5" ht="30" x14ac:dyDescent="0.25">
      <c r="A247" s="1222">
        <v>246</v>
      </c>
      <c r="B247" s="1222" t="s">
        <v>1372</v>
      </c>
      <c r="C247" s="1307" t="s">
        <v>99</v>
      </c>
      <c r="D247" s="1307" t="s">
        <v>1544</v>
      </c>
      <c r="E247" s="1304" t="s">
        <v>1382</v>
      </c>
    </row>
    <row r="248" spans="1:5" ht="30" x14ac:dyDescent="0.25">
      <c r="A248" s="1222">
        <v>247</v>
      </c>
      <c r="B248" s="1222" t="s">
        <v>1372</v>
      </c>
      <c r="C248" s="1307" t="s">
        <v>99</v>
      </c>
      <c r="D248" s="1307" t="s">
        <v>1510</v>
      </c>
      <c r="E248" s="1307" t="s">
        <v>254</v>
      </c>
    </row>
    <row r="249" spans="1:5" ht="30" x14ac:dyDescent="0.25">
      <c r="A249" s="1222">
        <v>248</v>
      </c>
      <c r="B249" s="1222" t="s">
        <v>1372</v>
      </c>
      <c r="C249" s="1307" t="s">
        <v>99</v>
      </c>
      <c r="D249" s="1307" t="s">
        <v>1372</v>
      </c>
      <c r="E249" s="1307" t="s">
        <v>1338</v>
      </c>
    </row>
    <row r="250" spans="1:5" ht="30" x14ac:dyDescent="0.25">
      <c r="A250" s="1222">
        <v>249</v>
      </c>
      <c r="B250" s="1222" t="s">
        <v>1372</v>
      </c>
      <c r="C250" s="1307" t="s">
        <v>99</v>
      </c>
      <c r="D250" s="1307" t="s">
        <v>1372</v>
      </c>
      <c r="E250" s="1307" t="s">
        <v>225</v>
      </c>
    </row>
    <row r="251" spans="1:5" ht="30" x14ac:dyDescent="0.25">
      <c r="A251" s="1222">
        <v>250</v>
      </c>
      <c r="B251" s="1222" t="s">
        <v>208</v>
      </c>
      <c r="C251" s="1307" t="s">
        <v>99</v>
      </c>
      <c r="D251" s="1307" t="s">
        <v>1510</v>
      </c>
      <c r="E251" s="1306" t="s">
        <v>466</v>
      </c>
    </row>
    <row r="252" spans="1:5" ht="30" x14ac:dyDescent="0.25">
      <c r="A252" s="1222">
        <v>251</v>
      </c>
      <c r="B252" s="1222" t="s">
        <v>1372</v>
      </c>
      <c r="C252" s="1307" t="s">
        <v>99</v>
      </c>
      <c r="D252" s="1307" t="s">
        <v>1372</v>
      </c>
      <c r="E252" s="1306" t="s">
        <v>1375</v>
      </c>
    </row>
    <row r="253" spans="1:5" ht="30" x14ac:dyDescent="0.25">
      <c r="A253" s="1222">
        <v>252</v>
      </c>
      <c r="B253" s="1222" t="s">
        <v>1372</v>
      </c>
      <c r="C253" s="1307" t="s">
        <v>99</v>
      </c>
      <c r="D253" s="1307" t="s">
        <v>1510</v>
      </c>
      <c r="E253" s="1306" t="s">
        <v>1377</v>
      </c>
    </row>
    <row r="254" spans="1:5" ht="30" x14ac:dyDescent="0.25">
      <c r="A254" s="1222">
        <v>253</v>
      </c>
      <c r="B254" s="1222" t="s">
        <v>1372</v>
      </c>
      <c r="C254" s="1307" t="s">
        <v>99</v>
      </c>
      <c r="D254" s="1307" t="s">
        <v>1510</v>
      </c>
      <c r="E254" s="1306" t="s">
        <v>1378</v>
      </c>
    </row>
    <row r="255" spans="1:5" ht="30" x14ac:dyDescent="0.25">
      <c r="A255" s="1222">
        <v>254</v>
      </c>
      <c r="B255" s="1222" t="s">
        <v>1372</v>
      </c>
      <c r="C255" s="1307" t="s">
        <v>99</v>
      </c>
      <c r="D255" s="1307" t="s">
        <v>1545</v>
      </c>
      <c r="E255" s="1306" t="s">
        <v>1379</v>
      </c>
    </row>
    <row r="256" spans="1:5" ht="30" x14ac:dyDescent="0.25">
      <c r="A256" s="1222">
        <v>255</v>
      </c>
      <c r="B256" s="1222" t="s">
        <v>1372</v>
      </c>
      <c r="C256" s="1307" t="s">
        <v>99</v>
      </c>
      <c r="D256" s="1307" t="s">
        <v>1510</v>
      </c>
      <c r="E256" s="1306" t="s">
        <v>1380</v>
      </c>
    </row>
    <row r="257" spans="1:5" ht="30" x14ac:dyDescent="0.25">
      <c r="A257" s="1222">
        <v>256</v>
      </c>
      <c r="B257" s="1222" t="s">
        <v>1372</v>
      </c>
      <c r="C257" s="1307" t="s">
        <v>99</v>
      </c>
      <c r="D257" s="1307" t="s">
        <v>1545</v>
      </c>
      <c r="E257" s="1306" t="s">
        <v>1381</v>
      </c>
    </row>
    <row r="258" spans="1:5" ht="30" x14ac:dyDescent="0.25">
      <c r="A258" s="1222">
        <v>257</v>
      </c>
      <c r="B258" s="1222" t="s">
        <v>1372</v>
      </c>
      <c r="C258" s="1307" t="s">
        <v>99</v>
      </c>
      <c r="D258" s="1307" t="s">
        <v>1545</v>
      </c>
      <c r="E258" s="1306" t="s">
        <v>1320</v>
      </c>
    </row>
    <row r="259" spans="1:5" x14ac:dyDescent="0.25">
      <c r="A259" s="1222">
        <v>258</v>
      </c>
      <c r="B259" s="1222" t="s">
        <v>1372</v>
      </c>
      <c r="C259" s="1307" t="s">
        <v>103</v>
      </c>
      <c r="D259" s="1307" t="s">
        <v>1544</v>
      </c>
      <c r="E259" s="1304" t="s">
        <v>1382</v>
      </c>
    </row>
    <row r="260" spans="1:5" x14ac:dyDescent="0.25">
      <c r="A260" s="1222">
        <v>259</v>
      </c>
      <c r="B260" s="1222" t="s">
        <v>1372</v>
      </c>
      <c r="C260" s="1307" t="s">
        <v>103</v>
      </c>
      <c r="D260" s="1307" t="s">
        <v>1510</v>
      </c>
      <c r="E260" s="1304" t="s">
        <v>254</v>
      </c>
    </row>
    <row r="261" spans="1:5" x14ac:dyDescent="0.25">
      <c r="A261" s="1222">
        <v>260</v>
      </c>
      <c r="B261" s="1222" t="s">
        <v>1372</v>
      </c>
      <c r="C261" s="1307" t="s">
        <v>103</v>
      </c>
      <c r="D261" s="1307" t="s">
        <v>1372</v>
      </c>
      <c r="E261" s="1307" t="s">
        <v>1338</v>
      </c>
    </row>
    <row r="262" spans="1:5" x14ac:dyDescent="0.25">
      <c r="A262" s="1222">
        <v>261</v>
      </c>
      <c r="B262" s="1222" t="s">
        <v>1372</v>
      </c>
      <c r="C262" s="1307" t="s">
        <v>103</v>
      </c>
      <c r="D262" s="1307" t="s">
        <v>1372</v>
      </c>
      <c r="E262" s="1307" t="s">
        <v>225</v>
      </c>
    </row>
    <row r="263" spans="1:5" x14ac:dyDescent="0.25">
      <c r="A263" s="1222">
        <v>262</v>
      </c>
      <c r="B263" s="1222" t="s">
        <v>208</v>
      </c>
      <c r="C263" s="1307" t="s">
        <v>103</v>
      </c>
      <c r="D263" s="1307" t="s">
        <v>1510</v>
      </c>
      <c r="E263" s="1306" t="s">
        <v>466</v>
      </c>
    </row>
    <row r="264" spans="1:5" x14ac:dyDescent="0.25">
      <c r="A264" s="1222">
        <v>263</v>
      </c>
      <c r="B264" s="1222" t="s">
        <v>1372</v>
      </c>
      <c r="C264" s="1307" t="s">
        <v>103</v>
      </c>
      <c r="D264" s="1307" t="s">
        <v>1372</v>
      </c>
      <c r="E264" s="1306" t="s">
        <v>1375</v>
      </c>
    </row>
    <row r="265" spans="1:5" x14ac:dyDescent="0.25">
      <c r="A265" s="1222">
        <v>264</v>
      </c>
      <c r="B265" s="1222" t="s">
        <v>1372</v>
      </c>
      <c r="C265" s="1307" t="s">
        <v>103</v>
      </c>
      <c r="D265" s="1307" t="s">
        <v>1510</v>
      </c>
      <c r="E265" s="1306" t="s">
        <v>1377</v>
      </c>
    </row>
    <row r="266" spans="1:5" x14ac:dyDescent="0.25">
      <c r="A266" s="1222">
        <v>265</v>
      </c>
      <c r="B266" s="1222" t="s">
        <v>1372</v>
      </c>
      <c r="C266" s="1307" t="s">
        <v>103</v>
      </c>
      <c r="D266" s="1307" t="s">
        <v>1510</v>
      </c>
      <c r="E266" s="1306" t="s">
        <v>1378</v>
      </c>
    </row>
    <row r="267" spans="1:5" x14ac:dyDescent="0.25">
      <c r="A267" s="1222">
        <v>266</v>
      </c>
      <c r="B267" s="1222" t="s">
        <v>1372</v>
      </c>
      <c r="C267" s="1307" t="s">
        <v>103</v>
      </c>
      <c r="D267" s="1307" t="s">
        <v>1545</v>
      </c>
      <c r="E267" s="1306" t="s">
        <v>1379</v>
      </c>
    </row>
    <row r="268" spans="1:5" x14ac:dyDescent="0.25">
      <c r="A268" s="1222">
        <v>267</v>
      </c>
      <c r="B268" s="1222" t="s">
        <v>1372</v>
      </c>
      <c r="C268" s="1307" t="s">
        <v>103</v>
      </c>
      <c r="D268" s="1307" t="s">
        <v>1545</v>
      </c>
      <c r="E268" s="1306" t="s">
        <v>1380</v>
      </c>
    </row>
    <row r="269" spans="1:5" x14ac:dyDescent="0.25">
      <c r="A269" s="1222">
        <v>268</v>
      </c>
      <c r="B269" s="1222" t="s">
        <v>1372</v>
      </c>
      <c r="C269" s="1307" t="s">
        <v>103</v>
      </c>
      <c r="D269" s="1307" t="s">
        <v>1545</v>
      </c>
      <c r="E269" s="1306" t="s">
        <v>1381</v>
      </c>
    </row>
    <row r="270" spans="1:5" x14ac:dyDescent="0.25">
      <c r="A270" s="1222">
        <v>269</v>
      </c>
      <c r="B270" s="1222" t="s">
        <v>1372</v>
      </c>
      <c r="C270" s="1307" t="s">
        <v>103</v>
      </c>
      <c r="D270" s="1307" t="s">
        <v>1545</v>
      </c>
      <c r="E270" s="1306" t="s">
        <v>1320</v>
      </c>
    </row>
    <row r="271" spans="1:5" x14ac:dyDescent="0.25">
      <c r="A271" s="1222">
        <v>270</v>
      </c>
      <c r="B271" s="1222" t="s">
        <v>1372</v>
      </c>
      <c r="C271" s="1307" t="s">
        <v>1389</v>
      </c>
      <c r="D271" s="1307" t="s">
        <v>1384</v>
      </c>
      <c r="E271" s="1304" t="s">
        <v>1382</v>
      </c>
    </row>
    <row r="272" spans="1:5" x14ac:dyDescent="0.25">
      <c r="A272" s="1222">
        <v>271</v>
      </c>
      <c r="B272" s="1222" t="s">
        <v>1372</v>
      </c>
      <c r="C272" s="1307" t="s">
        <v>1389</v>
      </c>
      <c r="D272" s="1307" t="s">
        <v>1510</v>
      </c>
      <c r="E272" s="1304" t="s">
        <v>254</v>
      </c>
    </row>
    <row r="273" spans="1:5" x14ac:dyDescent="0.25">
      <c r="A273" s="1222">
        <v>272</v>
      </c>
      <c r="B273" s="1222" t="s">
        <v>1372</v>
      </c>
      <c r="C273" s="1307" t="s">
        <v>1389</v>
      </c>
      <c r="D273" s="1307" t="s">
        <v>1372</v>
      </c>
      <c r="E273" s="1307" t="s">
        <v>1338</v>
      </c>
    </row>
    <row r="274" spans="1:5" x14ac:dyDescent="0.25">
      <c r="A274" s="1222">
        <v>273</v>
      </c>
      <c r="B274" s="1222" t="s">
        <v>1372</v>
      </c>
      <c r="C274" s="1307" t="s">
        <v>1389</v>
      </c>
      <c r="D274" s="1307" t="s">
        <v>1372</v>
      </c>
      <c r="E274" s="1307" t="s">
        <v>225</v>
      </c>
    </row>
    <row r="275" spans="1:5" x14ac:dyDescent="0.25">
      <c r="A275" s="1222">
        <v>274</v>
      </c>
      <c r="B275" s="1222" t="s">
        <v>208</v>
      </c>
      <c r="C275" s="1307" t="s">
        <v>1389</v>
      </c>
      <c r="D275" s="1307" t="s">
        <v>1510</v>
      </c>
      <c r="E275" s="1306" t="s">
        <v>466</v>
      </c>
    </row>
    <row r="276" spans="1:5" x14ac:dyDescent="0.25">
      <c r="A276" s="1222">
        <v>275</v>
      </c>
      <c r="B276" s="1222" t="s">
        <v>1372</v>
      </c>
      <c r="C276" s="1307" t="s">
        <v>1389</v>
      </c>
      <c r="D276" s="1307" t="s">
        <v>1372</v>
      </c>
      <c r="E276" s="1306" t="s">
        <v>1375</v>
      </c>
    </row>
    <row r="277" spans="1:5" x14ac:dyDescent="0.25">
      <c r="A277" s="1222">
        <v>276</v>
      </c>
      <c r="B277" s="1222" t="s">
        <v>1372</v>
      </c>
      <c r="C277" s="1307" t="s">
        <v>1389</v>
      </c>
      <c r="D277" s="1307" t="s">
        <v>1510</v>
      </c>
      <c r="E277" s="1306" t="s">
        <v>1377</v>
      </c>
    </row>
    <row r="278" spans="1:5" x14ac:dyDescent="0.25">
      <c r="A278" s="1222">
        <v>277</v>
      </c>
      <c r="B278" s="1222" t="s">
        <v>1372</v>
      </c>
      <c r="C278" s="1307" t="s">
        <v>1389</v>
      </c>
      <c r="D278" s="1307" t="s">
        <v>1510</v>
      </c>
      <c r="E278" s="1306" t="s">
        <v>1378</v>
      </c>
    </row>
    <row r="279" spans="1:5" x14ac:dyDescent="0.25">
      <c r="A279" s="1222">
        <v>278</v>
      </c>
      <c r="B279" s="1222" t="s">
        <v>1372</v>
      </c>
      <c r="C279" s="1307" t="s">
        <v>1389</v>
      </c>
      <c r="D279" s="1307" t="s">
        <v>1545</v>
      </c>
      <c r="E279" s="1306" t="s">
        <v>1379</v>
      </c>
    </row>
    <row r="280" spans="1:5" x14ac:dyDescent="0.25">
      <c r="A280" s="1222">
        <v>279</v>
      </c>
      <c r="B280" s="1222" t="s">
        <v>1372</v>
      </c>
      <c r="C280" s="1307" t="s">
        <v>1389</v>
      </c>
      <c r="D280" s="1307" t="s">
        <v>1510</v>
      </c>
      <c r="E280" s="1306" t="s">
        <v>1380</v>
      </c>
    </row>
    <row r="281" spans="1:5" x14ac:dyDescent="0.25">
      <c r="A281" s="1222">
        <v>280</v>
      </c>
      <c r="B281" s="1222" t="s">
        <v>1372</v>
      </c>
      <c r="C281" s="1307" t="s">
        <v>1389</v>
      </c>
      <c r="D281" s="1307" t="s">
        <v>1545</v>
      </c>
      <c r="E281" s="1306" t="s">
        <v>1381</v>
      </c>
    </row>
    <row r="282" spans="1:5" x14ac:dyDescent="0.25">
      <c r="A282" s="1222">
        <v>281</v>
      </c>
      <c r="B282" s="1222" t="s">
        <v>1372</v>
      </c>
      <c r="C282" s="1307" t="s">
        <v>1389</v>
      </c>
      <c r="D282" s="1307" t="s">
        <v>1545</v>
      </c>
      <c r="E282" s="1306" t="s">
        <v>1320</v>
      </c>
    </row>
    <row r="283" spans="1:5" x14ac:dyDescent="0.25">
      <c r="A283" s="1222">
        <v>282</v>
      </c>
      <c r="B283" s="1222" t="s">
        <v>1372</v>
      </c>
      <c r="C283" s="1307" t="s">
        <v>102</v>
      </c>
      <c r="D283" s="1307" t="s">
        <v>1544</v>
      </c>
      <c r="E283" s="1304" t="s">
        <v>1382</v>
      </c>
    </row>
    <row r="284" spans="1:5" x14ac:dyDescent="0.25">
      <c r="A284" s="1222">
        <v>283</v>
      </c>
      <c r="B284" s="1222" t="s">
        <v>1372</v>
      </c>
      <c r="C284" s="1307" t="s">
        <v>102</v>
      </c>
      <c r="D284" s="1307" t="s">
        <v>1510</v>
      </c>
      <c r="E284" s="1304" t="s">
        <v>254</v>
      </c>
    </row>
    <row r="285" spans="1:5" x14ac:dyDescent="0.25">
      <c r="A285" s="1222">
        <v>284</v>
      </c>
      <c r="B285" s="1222" t="s">
        <v>1372</v>
      </c>
      <c r="C285" s="1307" t="s">
        <v>102</v>
      </c>
      <c r="D285" s="1307" t="s">
        <v>1372</v>
      </c>
      <c r="E285" s="1307" t="s">
        <v>1338</v>
      </c>
    </row>
    <row r="286" spans="1:5" x14ac:dyDescent="0.25">
      <c r="A286" s="1222">
        <v>285</v>
      </c>
      <c r="B286" s="1222" t="s">
        <v>1372</v>
      </c>
      <c r="C286" s="1307" t="s">
        <v>102</v>
      </c>
      <c r="D286" s="1307" t="s">
        <v>1372</v>
      </c>
      <c r="E286" s="1307" t="s">
        <v>225</v>
      </c>
    </row>
    <row r="287" spans="1:5" x14ac:dyDescent="0.25">
      <c r="A287" s="1222">
        <v>286</v>
      </c>
      <c r="B287" s="1222" t="s">
        <v>208</v>
      </c>
      <c r="C287" s="1307" t="s">
        <v>102</v>
      </c>
      <c r="D287" s="1307" t="s">
        <v>1510</v>
      </c>
      <c r="E287" s="1306" t="s">
        <v>466</v>
      </c>
    </row>
    <row r="288" spans="1:5" x14ac:dyDescent="0.25">
      <c r="A288" s="1222">
        <v>287</v>
      </c>
      <c r="B288" s="1222" t="s">
        <v>1372</v>
      </c>
      <c r="C288" s="1307" t="s">
        <v>102</v>
      </c>
      <c r="D288" s="1307" t="s">
        <v>1372</v>
      </c>
      <c r="E288" s="1306" t="s">
        <v>1375</v>
      </c>
    </row>
    <row r="289" spans="1:5" x14ac:dyDescent="0.25">
      <c r="A289" s="1222">
        <v>288</v>
      </c>
      <c r="B289" s="1222" t="s">
        <v>1372</v>
      </c>
      <c r="C289" s="1307" t="s">
        <v>102</v>
      </c>
      <c r="D289" s="1307" t="s">
        <v>1510</v>
      </c>
      <c r="E289" s="1306" t="s">
        <v>1377</v>
      </c>
    </row>
    <row r="290" spans="1:5" x14ac:dyDescent="0.25">
      <c r="A290" s="1222">
        <v>289</v>
      </c>
      <c r="B290" s="1222" t="s">
        <v>1372</v>
      </c>
      <c r="C290" s="1307" t="s">
        <v>102</v>
      </c>
      <c r="D290" s="1307" t="s">
        <v>1510</v>
      </c>
      <c r="E290" s="1306" t="s">
        <v>1378</v>
      </c>
    </row>
    <row r="291" spans="1:5" x14ac:dyDescent="0.25">
      <c r="A291" s="1222">
        <v>290</v>
      </c>
      <c r="B291" s="1222" t="s">
        <v>1372</v>
      </c>
      <c r="C291" s="1307" t="s">
        <v>102</v>
      </c>
      <c r="D291" s="1307" t="s">
        <v>1545</v>
      </c>
      <c r="E291" s="1306" t="s">
        <v>1379</v>
      </c>
    </row>
    <row r="292" spans="1:5" x14ac:dyDescent="0.25">
      <c r="A292" s="1222">
        <v>291</v>
      </c>
      <c r="B292" s="1222" t="s">
        <v>1372</v>
      </c>
      <c r="C292" s="1307" t="s">
        <v>102</v>
      </c>
      <c r="D292" s="1307" t="s">
        <v>1510</v>
      </c>
      <c r="E292" s="1306" t="s">
        <v>1380</v>
      </c>
    </row>
    <row r="293" spans="1:5" x14ac:dyDescent="0.25">
      <c r="A293" s="1222">
        <v>292</v>
      </c>
      <c r="B293" s="1222" t="s">
        <v>1372</v>
      </c>
      <c r="C293" s="1307" t="s">
        <v>102</v>
      </c>
      <c r="D293" s="1307" t="s">
        <v>1545</v>
      </c>
      <c r="E293" s="1306" t="s">
        <v>1381</v>
      </c>
    </row>
    <row r="294" spans="1:5" x14ac:dyDescent="0.25">
      <c r="A294" s="1222">
        <v>293</v>
      </c>
      <c r="B294" s="1222" t="s">
        <v>1372</v>
      </c>
      <c r="C294" s="1307" t="s">
        <v>102</v>
      </c>
      <c r="D294" s="1307" t="s">
        <v>1545</v>
      </c>
      <c r="E294" s="1306" t="s">
        <v>1320</v>
      </c>
    </row>
    <row r="295" spans="1:5" x14ac:dyDescent="0.25">
      <c r="A295" s="1222">
        <v>294</v>
      </c>
      <c r="B295" s="1222" t="s">
        <v>1372</v>
      </c>
      <c r="C295" s="1307" t="s">
        <v>100</v>
      </c>
      <c r="D295" s="1307" t="s">
        <v>1544</v>
      </c>
      <c r="E295" s="1304" t="s">
        <v>1382</v>
      </c>
    </row>
    <row r="296" spans="1:5" x14ac:dyDescent="0.25">
      <c r="A296" s="1222">
        <v>295</v>
      </c>
      <c r="B296" s="1222" t="s">
        <v>1372</v>
      </c>
      <c r="C296" s="1307" t="s">
        <v>100</v>
      </c>
      <c r="D296" s="1307" t="s">
        <v>1510</v>
      </c>
      <c r="E296" s="1304" t="s">
        <v>254</v>
      </c>
    </row>
    <row r="297" spans="1:5" x14ac:dyDescent="0.25">
      <c r="A297" s="1222">
        <v>296</v>
      </c>
      <c r="B297" s="1222" t="s">
        <v>1372</v>
      </c>
      <c r="C297" s="1307" t="s">
        <v>100</v>
      </c>
      <c r="D297" s="1307" t="s">
        <v>1372</v>
      </c>
      <c r="E297" s="1307" t="s">
        <v>1338</v>
      </c>
    </row>
    <row r="298" spans="1:5" x14ac:dyDescent="0.25">
      <c r="A298" s="1222">
        <v>297</v>
      </c>
      <c r="B298" s="1222" t="s">
        <v>1372</v>
      </c>
      <c r="C298" s="1307" t="s">
        <v>100</v>
      </c>
      <c r="D298" s="1307" t="s">
        <v>1372</v>
      </c>
      <c r="E298" s="1307" t="s">
        <v>225</v>
      </c>
    </row>
    <row r="299" spans="1:5" x14ac:dyDescent="0.25">
      <c r="A299" s="1222">
        <v>298</v>
      </c>
      <c r="B299" s="1222" t="s">
        <v>208</v>
      </c>
      <c r="C299" s="1307" t="s">
        <v>100</v>
      </c>
      <c r="D299" s="1307" t="s">
        <v>1510</v>
      </c>
      <c r="E299" s="1306" t="s">
        <v>466</v>
      </c>
    </row>
    <row r="300" spans="1:5" x14ac:dyDescent="0.25">
      <c r="A300" s="1222">
        <v>299</v>
      </c>
      <c r="B300" s="1222" t="s">
        <v>1372</v>
      </c>
      <c r="C300" s="1307" t="s">
        <v>100</v>
      </c>
      <c r="D300" s="1307" t="s">
        <v>1372</v>
      </c>
      <c r="E300" s="1306" t="s">
        <v>1375</v>
      </c>
    </row>
    <row r="301" spans="1:5" x14ac:dyDescent="0.25">
      <c r="A301" s="1222">
        <v>300</v>
      </c>
      <c r="B301" s="1222" t="s">
        <v>1372</v>
      </c>
      <c r="C301" s="1307" t="s">
        <v>100</v>
      </c>
      <c r="D301" s="1307" t="s">
        <v>1510</v>
      </c>
      <c r="E301" s="1306" t="s">
        <v>1377</v>
      </c>
    </row>
    <row r="302" spans="1:5" x14ac:dyDescent="0.25">
      <c r="A302" s="1222">
        <v>301</v>
      </c>
      <c r="B302" s="1222" t="s">
        <v>1372</v>
      </c>
      <c r="C302" s="1307" t="s">
        <v>100</v>
      </c>
      <c r="D302" s="1307" t="s">
        <v>1510</v>
      </c>
      <c r="E302" s="1306" t="s">
        <v>1378</v>
      </c>
    </row>
    <row r="303" spans="1:5" x14ac:dyDescent="0.25">
      <c r="A303" s="1222">
        <v>302</v>
      </c>
      <c r="B303" s="1222" t="s">
        <v>1372</v>
      </c>
      <c r="C303" s="1307" t="s">
        <v>100</v>
      </c>
      <c r="D303" s="1307" t="s">
        <v>1545</v>
      </c>
      <c r="E303" s="1306" t="s">
        <v>1379</v>
      </c>
    </row>
    <row r="304" spans="1:5" x14ac:dyDescent="0.25">
      <c r="A304" s="1222">
        <v>303</v>
      </c>
      <c r="B304" s="1222" t="s">
        <v>1372</v>
      </c>
      <c r="C304" s="1307" t="s">
        <v>100</v>
      </c>
      <c r="D304" s="1307" t="s">
        <v>1510</v>
      </c>
      <c r="E304" s="1306" t="s">
        <v>1380</v>
      </c>
    </row>
    <row r="305" spans="1:5" x14ac:dyDescent="0.25">
      <c r="A305" s="1222">
        <v>304</v>
      </c>
      <c r="B305" s="1222" t="s">
        <v>1372</v>
      </c>
      <c r="C305" s="1307" t="s">
        <v>100</v>
      </c>
      <c r="D305" s="1307" t="s">
        <v>1545</v>
      </c>
      <c r="E305" s="1306" t="s">
        <v>1381</v>
      </c>
    </row>
    <row r="306" spans="1:5" x14ac:dyDescent="0.25">
      <c r="A306" s="1222">
        <v>305</v>
      </c>
      <c r="B306" s="1222" t="s">
        <v>1372</v>
      </c>
      <c r="C306" s="1307" t="s">
        <v>100</v>
      </c>
      <c r="D306" s="1307" t="s">
        <v>1545</v>
      </c>
      <c r="E306" s="1306" t="s">
        <v>1320</v>
      </c>
    </row>
    <row r="307" spans="1:5" x14ac:dyDescent="0.25">
      <c r="A307" s="1222">
        <v>306</v>
      </c>
      <c r="B307" s="1222" t="s">
        <v>1372</v>
      </c>
      <c r="C307" s="1307" t="s">
        <v>104</v>
      </c>
      <c r="D307" s="1307" t="s">
        <v>1544</v>
      </c>
      <c r="E307" s="1304" t="s">
        <v>1382</v>
      </c>
    </row>
    <row r="308" spans="1:5" x14ac:dyDescent="0.25">
      <c r="A308" s="1222">
        <v>307</v>
      </c>
      <c r="B308" s="1222" t="s">
        <v>1372</v>
      </c>
      <c r="C308" s="1307" t="s">
        <v>104</v>
      </c>
      <c r="D308" s="1307" t="s">
        <v>1510</v>
      </c>
      <c r="E308" s="1304" t="s">
        <v>254</v>
      </c>
    </row>
    <row r="309" spans="1:5" x14ac:dyDescent="0.25">
      <c r="A309" s="1222">
        <v>308</v>
      </c>
      <c r="B309" s="1222" t="s">
        <v>1372</v>
      </c>
      <c r="C309" s="1307" t="s">
        <v>104</v>
      </c>
      <c r="D309" s="1307" t="s">
        <v>1372</v>
      </c>
      <c r="E309" s="1307" t="s">
        <v>1338</v>
      </c>
    </row>
    <row r="310" spans="1:5" x14ac:dyDescent="0.25">
      <c r="A310" s="1222">
        <v>309</v>
      </c>
      <c r="B310" s="1222" t="s">
        <v>1372</v>
      </c>
      <c r="C310" s="1307" t="s">
        <v>104</v>
      </c>
      <c r="D310" s="1307" t="s">
        <v>1372</v>
      </c>
      <c r="E310" s="1307" t="s">
        <v>225</v>
      </c>
    </row>
    <row r="311" spans="1:5" x14ac:dyDescent="0.25">
      <c r="A311" s="1222">
        <v>310</v>
      </c>
      <c r="B311" s="1222" t="s">
        <v>208</v>
      </c>
      <c r="C311" s="1307" t="s">
        <v>104</v>
      </c>
      <c r="D311" s="1307" t="s">
        <v>1510</v>
      </c>
      <c r="E311" s="1306" t="s">
        <v>466</v>
      </c>
    </row>
    <row r="312" spans="1:5" x14ac:dyDescent="0.25">
      <c r="A312" s="1222">
        <v>311</v>
      </c>
      <c r="B312" s="1222" t="s">
        <v>1372</v>
      </c>
      <c r="C312" s="1307" t="s">
        <v>104</v>
      </c>
      <c r="D312" s="1307" t="s">
        <v>1372</v>
      </c>
      <c r="E312" s="1306" t="s">
        <v>1375</v>
      </c>
    </row>
    <row r="313" spans="1:5" x14ac:dyDescent="0.25">
      <c r="A313" s="1222">
        <v>312</v>
      </c>
      <c r="B313" s="1222" t="s">
        <v>1372</v>
      </c>
      <c r="C313" s="1307" t="s">
        <v>104</v>
      </c>
      <c r="D313" s="1307" t="s">
        <v>1510</v>
      </c>
      <c r="E313" s="1306" t="s">
        <v>1377</v>
      </c>
    </row>
    <row r="314" spans="1:5" x14ac:dyDescent="0.25">
      <c r="A314" s="1222">
        <v>313</v>
      </c>
      <c r="B314" s="1222" t="s">
        <v>1372</v>
      </c>
      <c r="C314" s="1307" t="s">
        <v>104</v>
      </c>
      <c r="D314" s="1307" t="s">
        <v>1510</v>
      </c>
      <c r="E314" s="1306" t="s">
        <v>1378</v>
      </c>
    </row>
    <row r="315" spans="1:5" x14ac:dyDescent="0.25">
      <c r="A315" s="1222">
        <v>314</v>
      </c>
      <c r="B315" s="1222" t="s">
        <v>1372</v>
      </c>
      <c r="C315" s="1307" t="s">
        <v>104</v>
      </c>
      <c r="D315" s="1307" t="s">
        <v>1545</v>
      </c>
      <c r="E315" s="1306" t="s">
        <v>1379</v>
      </c>
    </row>
    <row r="316" spans="1:5" x14ac:dyDescent="0.25">
      <c r="A316" s="1222">
        <v>315</v>
      </c>
      <c r="B316" s="1222" t="s">
        <v>1372</v>
      </c>
      <c r="C316" s="1307" t="s">
        <v>104</v>
      </c>
      <c r="D316" s="1307" t="s">
        <v>1510</v>
      </c>
      <c r="E316" s="1306" t="s">
        <v>1380</v>
      </c>
    </row>
    <row r="317" spans="1:5" x14ac:dyDescent="0.25">
      <c r="A317" s="1222">
        <v>316</v>
      </c>
      <c r="B317" s="1222" t="s">
        <v>1372</v>
      </c>
      <c r="C317" s="1307" t="s">
        <v>104</v>
      </c>
      <c r="D317" s="1307" t="s">
        <v>1545</v>
      </c>
      <c r="E317" s="1306" t="s">
        <v>1381</v>
      </c>
    </row>
    <row r="318" spans="1:5" x14ac:dyDescent="0.25">
      <c r="A318" s="1222">
        <v>317</v>
      </c>
      <c r="B318" s="1222" t="s">
        <v>1372</v>
      </c>
      <c r="C318" s="1307" t="s">
        <v>104</v>
      </c>
      <c r="D318" s="1307" t="s">
        <v>1545</v>
      </c>
      <c r="E318" s="1306" t="s">
        <v>1320</v>
      </c>
    </row>
    <row r="319" spans="1:5" x14ac:dyDescent="0.25">
      <c r="A319" s="1222">
        <v>318</v>
      </c>
      <c r="B319" s="1222" t="s">
        <v>1372</v>
      </c>
      <c r="C319" s="1307" t="s">
        <v>98</v>
      </c>
      <c r="D319" s="1307" t="s">
        <v>1544</v>
      </c>
      <c r="E319" s="1304" t="s">
        <v>1382</v>
      </c>
    </row>
    <row r="320" spans="1:5" x14ac:dyDescent="0.25">
      <c r="A320" s="1222">
        <v>319</v>
      </c>
      <c r="B320" s="1222" t="s">
        <v>1372</v>
      </c>
      <c r="C320" s="1307" t="s">
        <v>98</v>
      </c>
      <c r="D320" s="1307" t="s">
        <v>1510</v>
      </c>
      <c r="E320" s="1304" t="s">
        <v>254</v>
      </c>
    </row>
    <row r="321" spans="1:5" x14ac:dyDescent="0.25">
      <c r="A321" s="1222">
        <v>320</v>
      </c>
      <c r="B321" s="1222" t="s">
        <v>1372</v>
      </c>
      <c r="C321" s="1307" t="s">
        <v>98</v>
      </c>
      <c r="D321" s="1307" t="s">
        <v>1372</v>
      </c>
      <c r="E321" s="1307" t="s">
        <v>1338</v>
      </c>
    </row>
    <row r="322" spans="1:5" x14ac:dyDescent="0.25">
      <c r="A322" s="1222">
        <v>321</v>
      </c>
      <c r="B322" s="1222" t="s">
        <v>1372</v>
      </c>
      <c r="C322" s="1307" t="s">
        <v>98</v>
      </c>
      <c r="D322" s="1307" t="s">
        <v>1372</v>
      </c>
      <c r="E322" s="1307" t="s">
        <v>225</v>
      </c>
    </row>
    <row r="323" spans="1:5" x14ac:dyDescent="0.25">
      <c r="A323" s="1222">
        <v>322</v>
      </c>
      <c r="B323" s="1222" t="s">
        <v>208</v>
      </c>
      <c r="C323" s="1307" t="s">
        <v>98</v>
      </c>
      <c r="D323" s="1307" t="s">
        <v>1510</v>
      </c>
      <c r="E323" s="1306" t="s">
        <v>466</v>
      </c>
    </row>
    <row r="324" spans="1:5" x14ac:dyDescent="0.25">
      <c r="A324" s="1222">
        <v>323</v>
      </c>
      <c r="B324" s="1222" t="s">
        <v>1372</v>
      </c>
      <c r="C324" s="1307" t="s">
        <v>98</v>
      </c>
      <c r="D324" s="1307" t="s">
        <v>1372</v>
      </c>
      <c r="E324" s="1306" t="s">
        <v>1375</v>
      </c>
    </row>
    <row r="325" spans="1:5" x14ac:dyDescent="0.25">
      <c r="A325" s="1222">
        <v>324</v>
      </c>
      <c r="B325" s="1222" t="s">
        <v>1372</v>
      </c>
      <c r="C325" s="1307" t="s">
        <v>98</v>
      </c>
      <c r="D325" s="1307" t="s">
        <v>1510</v>
      </c>
      <c r="E325" s="1306" t="s">
        <v>1377</v>
      </c>
    </row>
    <row r="326" spans="1:5" x14ac:dyDescent="0.25">
      <c r="A326" s="1222">
        <v>325</v>
      </c>
      <c r="B326" s="1222" t="s">
        <v>1372</v>
      </c>
      <c r="C326" s="1307" t="s">
        <v>98</v>
      </c>
      <c r="D326" s="1307" t="s">
        <v>1510</v>
      </c>
      <c r="E326" s="1306" t="s">
        <v>1378</v>
      </c>
    </row>
    <row r="327" spans="1:5" x14ac:dyDescent="0.25">
      <c r="A327" s="1222">
        <v>326</v>
      </c>
      <c r="B327" s="1222" t="s">
        <v>1372</v>
      </c>
      <c r="C327" s="1307" t="s">
        <v>98</v>
      </c>
      <c r="D327" s="1307" t="s">
        <v>1545</v>
      </c>
      <c r="E327" s="1306" t="s">
        <v>1379</v>
      </c>
    </row>
    <row r="328" spans="1:5" x14ac:dyDescent="0.25">
      <c r="A328" s="1222">
        <v>327</v>
      </c>
      <c r="B328" s="1222" t="s">
        <v>1372</v>
      </c>
      <c r="C328" s="1307" t="s">
        <v>98</v>
      </c>
      <c r="D328" s="1307" t="s">
        <v>1510</v>
      </c>
      <c r="E328" s="1306" t="s">
        <v>1380</v>
      </c>
    </row>
    <row r="329" spans="1:5" x14ac:dyDescent="0.25">
      <c r="A329" s="1222">
        <v>328</v>
      </c>
      <c r="B329" s="1222" t="s">
        <v>1372</v>
      </c>
      <c r="C329" s="1307" t="s">
        <v>98</v>
      </c>
      <c r="D329" s="1307" t="s">
        <v>1545</v>
      </c>
      <c r="E329" s="1306" t="s">
        <v>1381</v>
      </c>
    </row>
    <row r="330" spans="1:5" x14ac:dyDescent="0.25">
      <c r="A330" s="1222">
        <v>329</v>
      </c>
      <c r="B330" s="1222" t="s">
        <v>1372</v>
      </c>
      <c r="C330" s="1307" t="s">
        <v>98</v>
      </c>
      <c r="D330" s="1307" t="s">
        <v>1545</v>
      </c>
      <c r="E330" s="1306" t="s">
        <v>1320</v>
      </c>
    </row>
    <row r="331" spans="1:5" x14ac:dyDescent="0.25">
      <c r="A331" s="1222">
        <v>330</v>
      </c>
      <c r="B331" s="1222" t="s">
        <v>1372</v>
      </c>
      <c r="C331" s="1307" t="s">
        <v>95</v>
      </c>
      <c r="D331" s="1307" t="s">
        <v>1544</v>
      </c>
      <c r="E331" s="1304" t="s">
        <v>1382</v>
      </c>
    </row>
    <row r="332" spans="1:5" x14ac:dyDescent="0.25">
      <c r="A332" s="1222">
        <v>331</v>
      </c>
      <c r="B332" s="1222" t="s">
        <v>1372</v>
      </c>
      <c r="C332" s="1307" t="s">
        <v>95</v>
      </c>
      <c r="D332" s="1307" t="s">
        <v>1510</v>
      </c>
      <c r="E332" s="1304" t="s">
        <v>254</v>
      </c>
    </row>
    <row r="333" spans="1:5" x14ac:dyDescent="0.25">
      <c r="A333" s="1222">
        <v>332</v>
      </c>
      <c r="B333" s="1222" t="s">
        <v>1372</v>
      </c>
      <c r="C333" s="1307" t="s">
        <v>95</v>
      </c>
      <c r="D333" s="1307" t="s">
        <v>1372</v>
      </c>
      <c r="E333" s="1307" t="s">
        <v>1338</v>
      </c>
    </row>
    <row r="334" spans="1:5" x14ac:dyDescent="0.25">
      <c r="A334" s="1222">
        <v>333</v>
      </c>
      <c r="B334" s="1222" t="s">
        <v>1372</v>
      </c>
      <c r="C334" s="1307" t="s">
        <v>95</v>
      </c>
      <c r="D334" s="1307" t="s">
        <v>1372</v>
      </c>
      <c r="E334" s="1307" t="s">
        <v>225</v>
      </c>
    </row>
    <row r="335" spans="1:5" x14ac:dyDescent="0.25">
      <c r="A335" s="1222">
        <v>334</v>
      </c>
      <c r="B335" s="1222" t="s">
        <v>208</v>
      </c>
      <c r="C335" s="1307" t="s">
        <v>95</v>
      </c>
      <c r="D335" s="1307" t="s">
        <v>1510</v>
      </c>
      <c r="E335" s="1306" t="s">
        <v>466</v>
      </c>
    </row>
    <row r="336" spans="1:5" x14ac:dyDescent="0.25">
      <c r="A336" s="1222">
        <v>335</v>
      </c>
      <c r="B336" s="1222" t="s">
        <v>1372</v>
      </c>
      <c r="C336" s="1307" t="s">
        <v>95</v>
      </c>
      <c r="D336" s="1307" t="s">
        <v>1372</v>
      </c>
      <c r="E336" s="1306" t="s">
        <v>1375</v>
      </c>
    </row>
    <row r="337" spans="1:5" x14ac:dyDescent="0.25">
      <c r="A337" s="1222">
        <v>336</v>
      </c>
      <c r="B337" s="1222" t="s">
        <v>1372</v>
      </c>
      <c r="C337" s="1307" t="s">
        <v>95</v>
      </c>
      <c r="D337" s="1307" t="s">
        <v>1510</v>
      </c>
      <c r="E337" s="1306" t="s">
        <v>1377</v>
      </c>
    </row>
    <row r="338" spans="1:5" x14ac:dyDescent="0.25">
      <c r="A338" s="1222">
        <v>337</v>
      </c>
      <c r="B338" s="1222" t="s">
        <v>1372</v>
      </c>
      <c r="C338" s="1307" t="s">
        <v>95</v>
      </c>
      <c r="D338" s="1307" t="s">
        <v>1510</v>
      </c>
      <c r="E338" s="1306" t="s">
        <v>1378</v>
      </c>
    </row>
    <row r="339" spans="1:5" x14ac:dyDescent="0.25">
      <c r="A339" s="1222">
        <v>338</v>
      </c>
      <c r="B339" s="1222" t="s">
        <v>1372</v>
      </c>
      <c r="C339" s="1307" t="s">
        <v>95</v>
      </c>
      <c r="D339" s="1307" t="s">
        <v>1545</v>
      </c>
      <c r="E339" s="1306" t="s">
        <v>1379</v>
      </c>
    </row>
    <row r="340" spans="1:5" x14ac:dyDescent="0.25">
      <c r="A340" s="1222">
        <v>339</v>
      </c>
      <c r="B340" s="1222" t="s">
        <v>1372</v>
      </c>
      <c r="C340" s="1307" t="s">
        <v>95</v>
      </c>
      <c r="D340" s="1307" t="s">
        <v>1510</v>
      </c>
      <c r="E340" s="1306" t="s">
        <v>1380</v>
      </c>
    </row>
    <row r="341" spans="1:5" x14ac:dyDescent="0.25">
      <c r="A341" s="1222">
        <v>340</v>
      </c>
      <c r="B341" s="1222" t="s">
        <v>1372</v>
      </c>
      <c r="C341" s="1307" t="s">
        <v>95</v>
      </c>
      <c r="D341" s="1307" t="s">
        <v>1545</v>
      </c>
      <c r="E341" s="1306" t="s">
        <v>1381</v>
      </c>
    </row>
    <row r="342" spans="1:5" x14ac:dyDescent="0.25">
      <c r="A342" s="1222">
        <v>341</v>
      </c>
      <c r="B342" s="1222" t="s">
        <v>1372</v>
      </c>
      <c r="C342" s="1307" t="s">
        <v>95</v>
      </c>
      <c r="D342" s="1307" t="s">
        <v>1545</v>
      </c>
      <c r="E342" s="1306" t="s">
        <v>1320</v>
      </c>
    </row>
    <row r="343" spans="1:5" x14ac:dyDescent="0.25">
      <c r="A343" s="1222">
        <v>342</v>
      </c>
      <c r="B343" s="1222" t="s">
        <v>1372</v>
      </c>
      <c r="C343" s="1307" t="s">
        <v>96</v>
      </c>
      <c r="D343" s="1307" t="s">
        <v>1544</v>
      </c>
      <c r="E343" s="1304" t="s">
        <v>1382</v>
      </c>
    </row>
    <row r="344" spans="1:5" x14ac:dyDescent="0.25">
      <c r="A344" s="1222">
        <v>343</v>
      </c>
      <c r="B344" s="1222" t="s">
        <v>1372</v>
      </c>
      <c r="C344" s="1307" t="s">
        <v>96</v>
      </c>
      <c r="D344" s="1307" t="s">
        <v>1510</v>
      </c>
      <c r="E344" s="1304" t="s">
        <v>254</v>
      </c>
    </row>
    <row r="345" spans="1:5" x14ac:dyDescent="0.25">
      <c r="A345" s="1222">
        <v>344</v>
      </c>
      <c r="B345" s="1222" t="s">
        <v>1372</v>
      </c>
      <c r="C345" s="1307" t="s">
        <v>96</v>
      </c>
      <c r="D345" s="1307" t="s">
        <v>1372</v>
      </c>
      <c r="E345" s="1307" t="s">
        <v>1338</v>
      </c>
    </row>
    <row r="346" spans="1:5" x14ac:dyDescent="0.25">
      <c r="A346" s="1222">
        <v>345</v>
      </c>
      <c r="B346" s="1222" t="s">
        <v>1372</v>
      </c>
      <c r="C346" s="1307" t="s">
        <v>96</v>
      </c>
      <c r="D346" s="1307" t="s">
        <v>1372</v>
      </c>
      <c r="E346" s="1307" t="s">
        <v>225</v>
      </c>
    </row>
    <row r="347" spans="1:5" x14ac:dyDescent="0.25">
      <c r="A347" s="1222">
        <v>346</v>
      </c>
      <c r="B347" s="1222" t="s">
        <v>208</v>
      </c>
      <c r="C347" s="1307" t="s">
        <v>96</v>
      </c>
      <c r="D347" s="1307" t="s">
        <v>1510</v>
      </c>
      <c r="E347" s="1306" t="s">
        <v>466</v>
      </c>
    </row>
    <row r="348" spans="1:5" x14ac:dyDescent="0.25">
      <c r="A348" s="1222">
        <v>347</v>
      </c>
      <c r="B348" s="1222" t="s">
        <v>1372</v>
      </c>
      <c r="C348" s="1307" t="s">
        <v>96</v>
      </c>
      <c r="D348" s="1307" t="s">
        <v>1372</v>
      </c>
      <c r="E348" s="1306" t="s">
        <v>1375</v>
      </c>
    </row>
    <row r="349" spans="1:5" x14ac:dyDescent="0.25">
      <c r="A349" s="1222">
        <v>348</v>
      </c>
      <c r="B349" s="1222" t="s">
        <v>1372</v>
      </c>
      <c r="C349" s="1307" t="s">
        <v>96</v>
      </c>
      <c r="D349" s="1307" t="s">
        <v>1510</v>
      </c>
      <c r="E349" s="1306" t="s">
        <v>1377</v>
      </c>
    </row>
    <row r="350" spans="1:5" x14ac:dyDescent="0.25">
      <c r="A350" s="1222">
        <v>349</v>
      </c>
      <c r="B350" s="1222" t="s">
        <v>1372</v>
      </c>
      <c r="C350" s="1307" t="s">
        <v>96</v>
      </c>
      <c r="D350" s="1307" t="s">
        <v>1510</v>
      </c>
      <c r="E350" s="1306" t="s">
        <v>1378</v>
      </c>
    </row>
    <row r="351" spans="1:5" x14ac:dyDescent="0.25">
      <c r="A351" s="1222">
        <v>350</v>
      </c>
      <c r="B351" s="1222" t="s">
        <v>1372</v>
      </c>
      <c r="C351" s="1307" t="s">
        <v>96</v>
      </c>
      <c r="D351" s="1307" t="s">
        <v>1545</v>
      </c>
      <c r="E351" s="1306" t="s">
        <v>1379</v>
      </c>
    </row>
    <row r="352" spans="1:5" x14ac:dyDescent="0.25">
      <c r="A352" s="1222">
        <v>351</v>
      </c>
      <c r="B352" s="1222" t="s">
        <v>1372</v>
      </c>
      <c r="C352" s="1307" t="s">
        <v>96</v>
      </c>
      <c r="D352" s="1307" t="s">
        <v>1510</v>
      </c>
      <c r="E352" s="1306" t="s">
        <v>1380</v>
      </c>
    </row>
    <row r="353" spans="1:5" x14ac:dyDescent="0.25">
      <c r="A353" s="1222">
        <v>352</v>
      </c>
      <c r="B353" s="1222" t="s">
        <v>1372</v>
      </c>
      <c r="C353" s="1307" t="s">
        <v>96</v>
      </c>
      <c r="D353" s="1307" t="s">
        <v>1545</v>
      </c>
      <c r="E353" s="1306" t="s">
        <v>1381</v>
      </c>
    </row>
    <row r="354" spans="1:5" x14ac:dyDescent="0.25">
      <c r="A354" s="1222">
        <v>353</v>
      </c>
      <c r="B354" s="1222" t="s">
        <v>1372</v>
      </c>
      <c r="C354" s="1307" t="s">
        <v>96</v>
      </c>
      <c r="D354" s="1307" t="s">
        <v>1545</v>
      </c>
      <c r="E354" s="1306" t="s">
        <v>1320</v>
      </c>
    </row>
    <row r="355" spans="1:5" x14ac:dyDescent="0.25">
      <c r="A355" s="1222">
        <v>354</v>
      </c>
      <c r="B355" s="1222" t="s">
        <v>1372</v>
      </c>
      <c r="C355" s="1307" t="s">
        <v>101</v>
      </c>
      <c r="D355" s="1307" t="s">
        <v>1544</v>
      </c>
      <c r="E355" s="1304" t="s">
        <v>1382</v>
      </c>
    </row>
    <row r="356" spans="1:5" x14ac:dyDescent="0.25">
      <c r="A356" s="1222">
        <v>355</v>
      </c>
      <c r="B356" s="1222" t="s">
        <v>1372</v>
      </c>
      <c r="C356" s="1307" t="s">
        <v>101</v>
      </c>
      <c r="D356" s="1307" t="s">
        <v>1510</v>
      </c>
      <c r="E356" s="1304" t="s">
        <v>254</v>
      </c>
    </row>
    <row r="357" spans="1:5" x14ac:dyDescent="0.25">
      <c r="A357" s="1222">
        <v>356</v>
      </c>
      <c r="B357" s="1222" t="s">
        <v>1372</v>
      </c>
      <c r="C357" s="1307" t="s">
        <v>101</v>
      </c>
      <c r="D357" s="1307" t="s">
        <v>1372</v>
      </c>
      <c r="E357" s="1307" t="s">
        <v>1338</v>
      </c>
    </row>
    <row r="358" spans="1:5" x14ac:dyDescent="0.25">
      <c r="A358" s="1222">
        <v>357</v>
      </c>
      <c r="B358" s="1222" t="s">
        <v>1372</v>
      </c>
      <c r="C358" s="1307" t="s">
        <v>101</v>
      </c>
      <c r="D358" s="1307" t="s">
        <v>1372</v>
      </c>
      <c r="E358" s="1307" t="s">
        <v>225</v>
      </c>
    </row>
    <row r="359" spans="1:5" x14ac:dyDescent="0.25">
      <c r="A359" s="1222">
        <v>358</v>
      </c>
      <c r="B359" s="1222" t="s">
        <v>208</v>
      </c>
      <c r="C359" s="1307" t="s">
        <v>101</v>
      </c>
      <c r="D359" s="1307" t="s">
        <v>1510</v>
      </c>
      <c r="E359" s="1306" t="s">
        <v>466</v>
      </c>
    </row>
    <row r="360" spans="1:5" x14ac:dyDescent="0.25">
      <c r="A360" s="1222">
        <v>359</v>
      </c>
      <c r="B360" s="1222" t="s">
        <v>1372</v>
      </c>
      <c r="C360" s="1307" t="s">
        <v>101</v>
      </c>
      <c r="D360" s="1307" t="s">
        <v>1372</v>
      </c>
      <c r="E360" s="1306" t="s">
        <v>1375</v>
      </c>
    </row>
    <row r="361" spans="1:5" x14ac:dyDescent="0.25">
      <c r="A361" s="1222">
        <v>360</v>
      </c>
      <c r="B361" s="1222" t="s">
        <v>1372</v>
      </c>
      <c r="C361" s="1307" t="s">
        <v>101</v>
      </c>
      <c r="D361" s="1307" t="s">
        <v>1510</v>
      </c>
      <c r="E361" s="1306" t="s">
        <v>1377</v>
      </c>
    </row>
    <row r="362" spans="1:5" x14ac:dyDescent="0.25">
      <c r="A362" s="1222">
        <v>361</v>
      </c>
      <c r="B362" s="1222" t="s">
        <v>1372</v>
      </c>
      <c r="C362" s="1307" t="s">
        <v>101</v>
      </c>
      <c r="D362" s="1307" t="s">
        <v>1510</v>
      </c>
      <c r="E362" s="1306" t="s">
        <v>1378</v>
      </c>
    </row>
    <row r="363" spans="1:5" x14ac:dyDescent="0.25">
      <c r="A363" s="1222">
        <v>362</v>
      </c>
      <c r="B363" s="1222" t="s">
        <v>1372</v>
      </c>
      <c r="C363" s="1307" t="s">
        <v>101</v>
      </c>
      <c r="D363" s="1307" t="s">
        <v>1545</v>
      </c>
      <c r="E363" s="1306" t="s">
        <v>1379</v>
      </c>
    </row>
    <row r="364" spans="1:5" x14ac:dyDescent="0.25">
      <c r="A364" s="1222">
        <v>363</v>
      </c>
      <c r="B364" s="1222" t="s">
        <v>1372</v>
      </c>
      <c r="C364" s="1307" t="s">
        <v>101</v>
      </c>
      <c r="D364" s="1307" t="s">
        <v>1510</v>
      </c>
      <c r="E364" s="1306" t="s">
        <v>1380</v>
      </c>
    </row>
    <row r="365" spans="1:5" x14ac:dyDescent="0.25">
      <c r="A365" s="1222">
        <v>364</v>
      </c>
      <c r="B365" s="1222" t="s">
        <v>1372</v>
      </c>
      <c r="C365" s="1307" t="s">
        <v>101</v>
      </c>
      <c r="D365" s="1307" t="s">
        <v>1545</v>
      </c>
      <c r="E365" s="1306" t="s">
        <v>1381</v>
      </c>
    </row>
    <row r="366" spans="1:5" x14ac:dyDescent="0.25">
      <c r="A366" s="1222">
        <v>365</v>
      </c>
      <c r="B366" s="1222" t="s">
        <v>1372</v>
      </c>
      <c r="C366" s="1307" t="s">
        <v>101</v>
      </c>
      <c r="D366" s="1307" t="s">
        <v>1545</v>
      </c>
      <c r="E366" s="1306" t="s">
        <v>1320</v>
      </c>
    </row>
    <row r="367" spans="1:5" x14ac:dyDescent="0.25">
      <c r="A367" s="1222">
        <v>366</v>
      </c>
      <c r="B367" s="1222" t="s">
        <v>1372</v>
      </c>
      <c r="C367" s="1307" t="s">
        <v>97</v>
      </c>
      <c r="D367" s="1307" t="s">
        <v>1544</v>
      </c>
      <c r="E367" s="1304" t="s">
        <v>1382</v>
      </c>
    </row>
    <row r="368" spans="1:5" x14ac:dyDescent="0.25">
      <c r="A368" s="1222">
        <v>367</v>
      </c>
      <c r="B368" s="1222" t="s">
        <v>1372</v>
      </c>
      <c r="C368" s="1307" t="s">
        <v>97</v>
      </c>
      <c r="D368" s="1307" t="s">
        <v>1510</v>
      </c>
      <c r="E368" s="1304" t="s">
        <v>254</v>
      </c>
    </row>
    <row r="369" spans="1:5" x14ac:dyDescent="0.25">
      <c r="A369" s="1222">
        <v>368</v>
      </c>
      <c r="B369" s="1222" t="s">
        <v>1372</v>
      </c>
      <c r="C369" s="1307" t="s">
        <v>97</v>
      </c>
      <c r="D369" s="1307" t="s">
        <v>1372</v>
      </c>
      <c r="E369" s="1307" t="s">
        <v>1338</v>
      </c>
    </row>
    <row r="370" spans="1:5" x14ac:dyDescent="0.25">
      <c r="A370" s="1222">
        <v>369</v>
      </c>
      <c r="B370" s="1222" t="s">
        <v>1372</v>
      </c>
      <c r="C370" s="1307" t="s">
        <v>97</v>
      </c>
      <c r="D370" s="1307" t="s">
        <v>1372</v>
      </c>
      <c r="E370" s="1307" t="s">
        <v>225</v>
      </c>
    </row>
    <row r="371" spans="1:5" x14ac:dyDescent="0.25">
      <c r="A371" s="1222">
        <v>370</v>
      </c>
      <c r="B371" s="1222" t="s">
        <v>208</v>
      </c>
      <c r="C371" s="1307" t="s">
        <v>97</v>
      </c>
      <c r="D371" s="1307" t="s">
        <v>1510</v>
      </c>
      <c r="E371" s="1306" t="s">
        <v>466</v>
      </c>
    </row>
    <row r="372" spans="1:5" x14ac:dyDescent="0.25">
      <c r="A372" s="1222">
        <v>371</v>
      </c>
      <c r="B372" s="1222" t="s">
        <v>1372</v>
      </c>
      <c r="C372" s="1307" t="s">
        <v>97</v>
      </c>
      <c r="D372" s="1307" t="s">
        <v>1372</v>
      </c>
      <c r="E372" s="1306" t="s">
        <v>1375</v>
      </c>
    </row>
    <row r="373" spans="1:5" x14ac:dyDescent="0.25">
      <c r="A373" s="1222">
        <v>372</v>
      </c>
      <c r="B373" s="1222" t="s">
        <v>1372</v>
      </c>
      <c r="C373" s="1307" t="s">
        <v>97</v>
      </c>
      <c r="D373" s="1307" t="s">
        <v>1510</v>
      </c>
      <c r="E373" s="1306" t="s">
        <v>1377</v>
      </c>
    </row>
    <row r="374" spans="1:5" x14ac:dyDescent="0.25">
      <c r="A374" s="1222">
        <v>373</v>
      </c>
      <c r="B374" s="1222" t="s">
        <v>1372</v>
      </c>
      <c r="C374" s="1307" t="s">
        <v>97</v>
      </c>
      <c r="D374" s="1307" t="s">
        <v>1510</v>
      </c>
      <c r="E374" s="1306" t="s">
        <v>1378</v>
      </c>
    </row>
    <row r="375" spans="1:5" x14ac:dyDescent="0.25">
      <c r="A375" s="1222">
        <v>374</v>
      </c>
      <c r="B375" s="1222" t="s">
        <v>1372</v>
      </c>
      <c r="C375" s="1307" t="s">
        <v>97</v>
      </c>
      <c r="D375" s="1307" t="s">
        <v>1545</v>
      </c>
      <c r="E375" s="1306" t="s">
        <v>1379</v>
      </c>
    </row>
    <row r="376" spans="1:5" x14ac:dyDescent="0.25">
      <c r="A376" s="1222">
        <v>375</v>
      </c>
      <c r="B376" s="1222" t="s">
        <v>1372</v>
      </c>
      <c r="C376" s="1307" t="s">
        <v>97</v>
      </c>
      <c r="D376" s="1307" t="s">
        <v>1510</v>
      </c>
      <c r="E376" s="1306" t="s">
        <v>1380</v>
      </c>
    </row>
    <row r="377" spans="1:5" x14ac:dyDescent="0.25">
      <c r="A377" s="1222">
        <v>376</v>
      </c>
      <c r="B377" s="1222" t="s">
        <v>1372</v>
      </c>
      <c r="C377" s="1307" t="s">
        <v>97</v>
      </c>
      <c r="D377" s="1307" t="s">
        <v>1545</v>
      </c>
      <c r="E377" s="1306" t="s">
        <v>1381</v>
      </c>
    </row>
    <row r="378" spans="1:5" x14ac:dyDescent="0.25">
      <c r="A378" s="1222">
        <v>377</v>
      </c>
      <c r="B378" s="1222" t="s">
        <v>1372</v>
      </c>
      <c r="C378" s="1307" t="s">
        <v>97</v>
      </c>
      <c r="D378" s="1307" t="s">
        <v>1545</v>
      </c>
      <c r="E378" s="1306" t="s">
        <v>1320</v>
      </c>
    </row>
    <row r="379" spans="1:5" x14ac:dyDescent="0.25">
      <c r="A379" s="1222">
        <v>378</v>
      </c>
      <c r="B379" s="1222" t="s">
        <v>1372</v>
      </c>
      <c r="C379" s="1307" t="s">
        <v>93</v>
      </c>
      <c r="D379" s="1307" t="s">
        <v>1544</v>
      </c>
      <c r="E379" s="1304" t="s">
        <v>1382</v>
      </c>
    </row>
    <row r="380" spans="1:5" x14ac:dyDescent="0.25">
      <c r="A380" s="1222">
        <v>379</v>
      </c>
      <c r="B380" s="1222" t="s">
        <v>1372</v>
      </c>
      <c r="C380" s="1307" t="s">
        <v>93</v>
      </c>
      <c r="D380" s="1307" t="s">
        <v>1510</v>
      </c>
      <c r="E380" s="1304" t="s">
        <v>254</v>
      </c>
    </row>
    <row r="381" spans="1:5" x14ac:dyDescent="0.25">
      <c r="A381" s="1222">
        <v>380</v>
      </c>
      <c r="B381" s="1222" t="s">
        <v>1372</v>
      </c>
      <c r="C381" s="1307" t="s">
        <v>93</v>
      </c>
      <c r="D381" s="1307" t="s">
        <v>1372</v>
      </c>
      <c r="E381" s="1307" t="s">
        <v>1338</v>
      </c>
    </row>
    <row r="382" spans="1:5" x14ac:dyDescent="0.25">
      <c r="A382" s="1222">
        <v>381</v>
      </c>
      <c r="B382" s="1222" t="s">
        <v>1372</v>
      </c>
      <c r="C382" s="1307" t="s">
        <v>93</v>
      </c>
      <c r="D382" s="1307" t="s">
        <v>1372</v>
      </c>
      <c r="E382" s="1307" t="s">
        <v>225</v>
      </c>
    </row>
    <row r="383" spans="1:5" x14ac:dyDescent="0.25">
      <c r="A383" s="1222">
        <v>382</v>
      </c>
      <c r="B383" s="1222" t="s">
        <v>208</v>
      </c>
      <c r="C383" s="1307" t="s">
        <v>93</v>
      </c>
      <c r="D383" s="1307" t="s">
        <v>1510</v>
      </c>
      <c r="E383" s="1306" t="s">
        <v>466</v>
      </c>
    </row>
    <row r="384" spans="1:5" x14ac:dyDescent="0.25">
      <c r="A384" s="1222">
        <v>383</v>
      </c>
      <c r="B384" s="1222" t="s">
        <v>1372</v>
      </c>
      <c r="C384" s="1307" t="s">
        <v>93</v>
      </c>
      <c r="D384" s="1307" t="s">
        <v>1372</v>
      </c>
      <c r="E384" s="1306" t="s">
        <v>1375</v>
      </c>
    </row>
    <row r="385" spans="1:5" x14ac:dyDescent="0.25">
      <c r="A385" s="1222">
        <v>384</v>
      </c>
      <c r="B385" s="1222" t="s">
        <v>1372</v>
      </c>
      <c r="C385" s="1307" t="s">
        <v>93</v>
      </c>
      <c r="D385" s="1307" t="s">
        <v>1510</v>
      </c>
      <c r="E385" s="1306" t="s">
        <v>1377</v>
      </c>
    </row>
    <row r="386" spans="1:5" x14ac:dyDescent="0.25">
      <c r="A386" s="1222">
        <v>385</v>
      </c>
      <c r="B386" s="1222" t="s">
        <v>1372</v>
      </c>
      <c r="C386" s="1307" t="s">
        <v>93</v>
      </c>
      <c r="D386" s="1307" t="s">
        <v>1510</v>
      </c>
      <c r="E386" s="1306" t="s">
        <v>1378</v>
      </c>
    </row>
    <row r="387" spans="1:5" x14ac:dyDescent="0.25">
      <c r="A387" s="1222">
        <v>386</v>
      </c>
      <c r="B387" s="1222" t="s">
        <v>1372</v>
      </c>
      <c r="C387" s="1307" t="s">
        <v>93</v>
      </c>
      <c r="D387" s="1307" t="s">
        <v>1545</v>
      </c>
      <c r="E387" s="1306" t="s">
        <v>1379</v>
      </c>
    </row>
    <row r="388" spans="1:5" x14ac:dyDescent="0.25">
      <c r="A388" s="1222">
        <v>387</v>
      </c>
      <c r="B388" s="1222" t="s">
        <v>1372</v>
      </c>
      <c r="C388" s="1307" t="s">
        <v>93</v>
      </c>
      <c r="D388" s="1307" t="s">
        <v>1510</v>
      </c>
      <c r="E388" s="1306" t="s">
        <v>1380</v>
      </c>
    </row>
    <row r="389" spans="1:5" x14ac:dyDescent="0.25">
      <c r="A389" s="1222">
        <v>388</v>
      </c>
      <c r="B389" s="1222" t="s">
        <v>1372</v>
      </c>
      <c r="C389" s="1307" t="s">
        <v>93</v>
      </c>
      <c r="D389" s="1307" t="s">
        <v>1545</v>
      </c>
      <c r="E389" s="1306" t="s">
        <v>1381</v>
      </c>
    </row>
    <row r="390" spans="1:5" x14ac:dyDescent="0.25">
      <c r="A390" s="1222">
        <v>389</v>
      </c>
      <c r="B390" s="1222" t="s">
        <v>1372</v>
      </c>
      <c r="C390" s="1307" t="s">
        <v>93</v>
      </c>
      <c r="D390" s="1307" t="s">
        <v>1545</v>
      </c>
      <c r="E390" s="1306" t="s">
        <v>1320</v>
      </c>
    </row>
    <row r="391" spans="1:5" x14ac:dyDescent="0.25">
      <c r="A391" s="1222">
        <v>390</v>
      </c>
      <c r="B391" s="1222" t="s">
        <v>1372</v>
      </c>
      <c r="C391" s="1307" t="s">
        <v>105</v>
      </c>
      <c r="D391" s="1307" t="s">
        <v>1544</v>
      </c>
      <c r="E391" s="1304" t="s">
        <v>1382</v>
      </c>
    </row>
    <row r="392" spans="1:5" x14ac:dyDescent="0.25">
      <c r="A392" s="1222">
        <v>391</v>
      </c>
      <c r="B392" s="1222" t="s">
        <v>1372</v>
      </c>
      <c r="C392" s="1307" t="s">
        <v>105</v>
      </c>
      <c r="D392" s="1307" t="s">
        <v>1510</v>
      </c>
      <c r="E392" s="1304" t="s">
        <v>254</v>
      </c>
    </row>
    <row r="393" spans="1:5" x14ac:dyDescent="0.25">
      <c r="A393" s="1222">
        <v>392</v>
      </c>
      <c r="B393" s="1222" t="s">
        <v>1372</v>
      </c>
      <c r="C393" s="1307" t="s">
        <v>105</v>
      </c>
      <c r="D393" s="1307" t="s">
        <v>1372</v>
      </c>
      <c r="E393" s="1307" t="s">
        <v>1338</v>
      </c>
    </row>
    <row r="394" spans="1:5" x14ac:dyDescent="0.25">
      <c r="A394" s="1222">
        <v>393</v>
      </c>
      <c r="B394" s="1222" t="s">
        <v>1372</v>
      </c>
      <c r="C394" s="1307" t="s">
        <v>105</v>
      </c>
      <c r="D394" s="1307" t="s">
        <v>1372</v>
      </c>
      <c r="E394" s="1307" t="s">
        <v>225</v>
      </c>
    </row>
    <row r="395" spans="1:5" x14ac:dyDescent="0.25">
      <c r="A395" s="1222">
        <v>394</v>
      </c>
      <c r="B395" s="1222" t="s">
        <v>208</v>
      </c>
      <c r="C395" s="1307" t="s">
        <v>105</v>
      </c>
      <c r="D395" s="1307" t="s">
        <v>1510</v>
      </c>
      <c r="E395" s="1306" t="s">
        <v>466</v>
      </c>
    </row>
    <row r="396" spans="1:5" x14ac:dyDescent="0.25">
      <c r="A396" s="1222">
        <v>395</v>
      </c>
      <c r="B396" s="1222" t="s">
        <v>1372</v>
      </c>
      <c r="C396" s="1307" t="s">
        <v>105</v>
      </c>
      <c r="D396" s="1307" t="s">
        <v>1372</v>
      </c>
      <c r="E396" s="1306" t="s">
        <v>1375</v>
      </c>
    </row>
    <row r="397" spans="1:5" x14ac:dyDescent="0.25">
      <c r="A397" s="1222">
        <v>396</v>
      </c>
      <c r="B397" s="1222" t="s">
        <v>1372</v>
      </c>
      <c r="C397" s="1307" t="s">
        <v>105</v>
      </c>
      <c r="D397" s="1307" t="s">
        <v>1510</v>
      </c>
      <c r="E397" s="1306" t="s">
        <v>1377</v>
      </c>
    </row>
    <row r="398" spans="1:5" x14ac:dyDescent="0.25">
      <c r="A398" s="1222">
        <v>397</v>
      </c>
      <c r="B398" s="1222" t="s">
        <v>1372</v>
      </c>
      <c r="C398" s="1307" t="s">
        <v>105</v>
      </c>
      <c r="D398" s="1307" t="s">
        <v>1510</v>
      </c>
      <c r="E398" s="1306" t="s">
        <v>1378</v>
      </c>
    </row>
    <row r="399" spans="1:5" x14ac:dyDescent="0.25">
      <c r="A399" s="1222">
        <v>398</v>
      </c>
      <c r="B399" s="1222" t="s">
        <v>1372</v>
      </c>
      <c r="C399" s="1307" t="s">
        <v>105</v>
      </c>
      <c r="D399" s="1307" t="s">
        <v>1545</v>
      </c>
      <c r="E399" s="1306" t="s">
        <v>1379</v>
      </c>
    </row>
    <row r="400" spans="1:5" x14ac:dyDescent="0.25">
      <c r="A400" s="1222">
        <v>399</v>
      </c>
      <c r="B400" s="1222" t="s">
        <v>1372</v>
      </c>
      <c r="C400" s="1307" t="s">
        <v>105</v>
      </c>
      <c r="D400" s="1307" t="s">
        <v>1510</v>
      </c>
      <c r="E400" s="1306" t="s">
        <v>1380</v>
      </c>
    </row>
    <row r="401" spans="1:5" x14ac:dyDescent="0.25">
      <c r="A401" s="1222">
        <v>400</v>
      </c>
      <c r="B401" s="1222" t="s">
        <v>1372</v>
      </c>
      <c r="C401" s="1307" t="s">
        <v>105</v>
      </c>
      <c r="D401" s="1307" t="s">
        <v>1545</v>
      </c>
      <c r="E401" s="1306" t="s">
        <v>1381</v>
      </c>
    </row>
    <row r="402" spans="1:5" x14ac:dyDescent="0.25">
      <c r="A402" s="1222">
        <v>401</v>
      </c>
      <c r="B402" s="1222" t="s">
        <v>1372</v>
      </c>
      <c r="C402" s="1307" t="s">
        <v>105</v>
      </c>
      <c r="D402" s="1307" t="s">
        <v>1545</v>
      </c>
      <c r="E402" s="1306" t="s">
        <v>1320</v>
      </c>
    </row>
    <row r="403" spans="1:5" x14ac:dyDescent="0.25">
      <c r="A403" s="1222">
        <v>402</v>
      </c>
      <c r="B403" s="1222" t="s">
        <v>1372</v>
      </c>
      <c r="C403" s="1307" t="s">
        <v>92</v>
      </c>
      <c r="D403" s="1307" t="s">
        <v>1544</v>
      </c>
      <c r="E403" s="1304" t="s">
        <v>1382</v>
      </c>
    </row>
    <row r="404" spans="1:5" x14ac:dyDescent="0.25">
      <c r="A404" s="1222">
        <v>403</v>
      </c>
      <c r="B404" s="1222" t="s">
        <v>1372</v>
      </c>
      <c r="C404" s="1307" t="s">
        <v>92</v>
      </c>
      <c r="D404" s="1307" t="s">
        <v>1510</v>
      </c>
      <c r="E404" s="1304" t="s">
        <v>254</v>
      </c>
    </row>
    <row r="405" spans="1:5" x14ac:dyDescent="0.25">
      <c r="A405" s="1222">
        <v>404</v>
      </c>
      <c r="B405" s="1222" t="s">
        <v>1372</v>
      </c>
      <c r="C405" s="1307" t="s">
        <v>92</v>
      </c>
      <c r="D405" s="1307" t="s">
        <v>1372</v>
      </c>
      <c r="E405" s="1307" t="s">
        <v>1338</v>
      </c>
    </row>
    <row r="406" spans="1:5" x14ac:dyDescent="0.25">
      <c r="A406" s="1222">
        <v>405</v>
      </c>
      <c r="B406" s="1222" t="s">
        <v>1372</v>
      </c>
      <c r="C406" s="1307" t="s">
        <v>92</v>
      </c>
      <c r="D406" s="1307" t="s">
        <v>1372</v>
      </c>
      <c r="E406" s="1307" t="s">
        <v>225</v>
      </c>
    </row>
    <row r="407" spans="1:5" x14ac:dyDescent="0.25">
      <c r="A407" s="1222">
        <v>406</v>
      </c>
      <c r="B407" s="1222" t="s">
        <v>208</v>
      </c>
      <c r="C407" s="1307" t="s">
        <v>92</v>
      </c>
      <c r="D407" s="1307" t="s">
        <v>1510</v>
      </c>
      <c r="E407" s="1306" t="s">
        <v>466</v>
      </c>
    </row>
    <row r="408" spans="1:5" x14ac:dyDescent="0.25">
      <c r="A408" s="1222">
        <v>407</v>
      </c>
      <c r="B408" s="1222" t="s">
        <v>1372</v>
      </c>
      <c r="C408" s="1307" t="s">
        <v>92</v>
      </c>
      <c r="D408" s="1307" t="s">
        <v>1372</v>
      </c>
      <c r="E408" s="1306" t="s">
        <v>1375</v>
      </c>
    </row>
    <row r="409" spans="1:5" x14ac:dyDescent="0.25">
      <c r="A409" s="1222">
        <v>408</v>
      </c>
      <c r="B409" s="1222" t="s">
        <v>1372</v>
      </c>
      <c r="C409" s="1307" t="s">
        <v>92</v>
      </c>
      <c r="D409" s="1307" t="s">
        <v>1510</v>
      </c>
      <c r="E409" s="1306" t="s">
        <v>1377</v>
      </c>
    </row>
    <row r="410" spans="1:5" x14ac:dyDescent="0.25">
      <c r="A410" s="1222">
        <v>409</v>
      </c>
      <c r="B410" s="1222" t="s">
        <v>1372</v>
      </c>
      <c r="C410" s="1307" t="s">
        <v>92</v>
      </c>
      <c r="D410" s="1307" t="s">
        <v>1510</v>
      </c>
      <c r="E410" s="1306" t="s">
        <v>1378</v>
      </c>
    </row>
    <row r="411" spans="1:5" x14ac:dyDescent="0.25">
      <c r="A411" s="1222">
        <v>410</v>
      </c>
      <c r="B411" s="1222" t="s">
        <v>1372</v>
      </c>
      <c r="C411" s="1307" t="s">
        <v>92</v>
      </c>
      <c r="D411" s="1307" t="s">
        <v>1545</v>
      </c>
      <c r="E411" s="1306" t="s">
        <v>1379</v>
      </c>
    </row>
    <row r="412" spans="1:5" x14ac:dyDescent="0.25">
      <c r="A412" s="1222">
        <v>411</v>
      </c>
      <c r="B412" s="1222" t="s">
        <v>1372</v>
      </c>
      <c r="C412" s="1307" t="s">
        <v>92</v>
      </c>
      <c r="D412" s="1307" t="s">
        <v>1510</v>
      </c>
      <c r="E412" s="1306" t="s">
        <v>1380</v>
      </c>
    </row>
    <row r="413" spans="1:5" x14ac:dyDescent="0.25">
      <c r="A413" s="1222">
        <v>412</v>
      </c>
      <c r="B413" s="1222" t="s">
        <v>1372</v>
      </c>
      <c r="C413" s="1307" t="s">
        <v>92</v>
      </c>
      <c r="D413" s="1307" t="s">
        <v>1545</v>
      </c>
      <c r="E413" s="1306" t="s">
        <v>1381</v>
      </c>
    </row>
    <row r="414" spans="1:5" x14ac:dyDescent="0.25">
      <c r="A414" s="1222">
        <v>413</v>
      </c>
      <c r="B414" s="1222" t="s">
        <v>1372</v>
      </c>
      <c r="C414" s="1307" t="s">
        <v>92</v>
      </c>
      <c r="D414" s="1307" t="s">
        <v>1545</v>
      </c>
      <c r="E414" s="1306" t="s">
        <v>1320</v>
      </c>
    </row>
    <row r="415" spans="1:5" x14ac:dyDescent="0.25">
      <c r="A415" s="1222">
        <v>414</v>
      </c>
      <c r="B415" s="1222" t="s">
        <v>1372</v>
      </c>
      <c r="C415" s="1307" t="s">
        <v>91</v>
      </c>
      <c r="D415" s="1307" t="s">
        <v>1544</v>
      </c>
      <c r="E415" s="1304" t="s">
        <v>1382</v>
      </c>
    </row>
    <row r="416" spans="1:5" x14ac:dyDescent="0.25">
      <c r="A416" s="1222">
        <v>415</v>
      </c>
      <c r="B416" s="1222" t="s">
        <v>1372</v>
      </c>
      <c r="C416" s="1307" t="s">
        <v>91</v>
      </c>
      <c r="D416" s="1307" t="s">
        <v>1510</v>
      </c>
      <c r="E416" s="1304" t="s">
        <v>254</v>
      </c>
    </row>
    <row r="417" spans="1:5" x14ac:dyDescent="0.25">
      <c r="A417" s="1222">
        <v>416</v>
      </c>
      <c r="B417" s="1222" t="s">
        <v>1372</v>
      </c>
      <c r="C417" s="1307" t="s">
        <v>91</v>
      </c>
      <c r="D417" s="1307" t="s">
        <v>1372</v>
      </c>
      <c r="E417" s="1307" t="s">
        <v>1338</v>
      </c>
    </row>
    <row r="418" spans="1:5" x14ac:dyDescent="0.25">
      <c r="A418" s="1222">
        <v>417</v>
      </c>
      <c r="B418" s="1222" t="s">
        <v>1372</v>
      </c>
      <c r="C418" s="1307" t="s">
        <v>91</v>
      </c>
      <c r="D418" s="1307" t="s">
        <v>1372</v>
      </c>
      <c r="E418" s="1307" t="s">
        <v>225</v>
      </c>
    </row>
    <row r="419" spans="1:5" x14ac:dyDescent="0.25">
      <c r="A419" s="1222">
        <v>418</v>
      </c>
      <c r="B419" s="1222" t="s">
        <v>208</v>
      </c>
      <c r="C419" s="1307" t="s">
        <v>91</v>
      </c>
      <c r="D419" s="1307" t="s">
        <v>1510</v>
      </c>
      <c r="E419" s="1306" t="s">
        <v>466</v>
      </c>
    </row>
    <row r="420" spans="1:5" x14ac:dyDescent="0.25">
      <c r="A420" s="1222">
        <v>419</v>
      </c>
      <c r="B420" s="1222" t="s">
        <v>1372</v>
      </c>
      <c r="C420" s="1307" t="s">
        <v>91</v>
      </c>
      <c r="D420" s="1307" t="s">
        <v>1372</v>
      </c>
      <c r="E420" s="1306" t="s">
        <v>1375</v>
      </c>
    </row>
    <row r="421" spans="1:5" x14ac:dyDescent="0.25">
      <c r="A421" s="1222">
        <v>420</v>
      </c>
      <c r="B421" s="1222" t="s">
        <v>1372</v>
      </c>
      <c r="C421" s="1307" t="s">
        <v>91</v>
      </c>
      <c r="D421" s="1307" t="s">
        <v>1510</v>
      </c>
      <c r="E421" s="1306" t="s">
        <v>1377</v>
      </c>
    </row>
    <row r="422" spans="1:5" x14ac:dyDescent="0.25">
      <c r="A422" s="1222">
        <v>421</v>
      </c>
      <c r="B422" s="1222" t="s">
        <v>1372</v>
      </c>
      <c r="C422" s="1307" t="s">
        <v>91</v>
      </c>
      <c r="D422" s="1307" t="s">
        <v>1510</v>
      </c>
      <c r="E422" s="1306" t="s">
        <v>1378</v>
      </c>
    </row>
    <row r="423" spans="1:5" x14ac:dyDescent="0.25">
      <c r="A423" s="1222">
        <v>422</v>
      </c>
      <c r="B423" s="1222" t="s">
        <v>1372</v>
      </c>
      <c r="C423" s="1307" t="s">
        <v>91</v>
      </c>
      <c r="D423" s="1307" t="s">
        <v>1545</v>
      </c>
      <c r="E423" s="1306" t="s">
        <v>1379</v>
      </c>
    </row>
    <row r="424" spans="1:5" x14ac:dyDescent="0.25">
      <c r="A424" s="1222">
        <v>423</v>
      </c>
      <c r="B424" s="1222" t="s">
        <v>1372</v>
      </c>
      <c r="C424" s="1307" t="s">
        <v>91</v>
      </c>
      <c r="D424" s="1307" t="s">
        <v>1510</v>
      </c>
      <c r="E424" s="1306" t="s">
        <v>1380</v>
      </c>
    </row>
    <row r="425" spans="1:5" x14ac:dyDescent="0.25">
      <c r="A425" s="1222">
        <v>424</v>
      </c>
      <c r="B425" s="1222" t="s">
        <v>1372</v>
      </c>
      <c r="C425" s="1307" t="s">
        <v>91</v>
      </c>
      <c r="D425" s="1307" t="s">
        <v>1545</v>
      </c>
      <c r="E425" s="1306" t="s">
        <v>1381</v>
      </c>
    </row>
    <row r="426" spans="1:5" x14ac:dyDescent="0.25">
      <c r="A426" s="1222">
        <v>425</v>
      </c>
      <c r="B426" s="1222" t="s">
        <v>1372</v>
      </c>
      <c r="C426" s="1307" t="s">
        <v>91</v>
      </c>
      <c r="D426" s="1307" t="s">
        <v>1545</v>
      </c>
      <c r="E426" s="1306" t="s">
        <v>1320</v>
      </c>
    </row>
    <row r="427" spans="1:5" x14ac:dyDescent="0.25">
      <c r="A427" s="1222">
        <v>426</v>
      </c>
      <c r="B427" s="1222" t="s">
        <v>1372</v>
      </c>
      <c r="C427" s="1307" t="s">
        <v>90</v>
      </c>
      <c r="D427" s="1307" t="s">
        <v>1544</v>
      </c>
      <c r="E427" s="1304" t="s">
        <v>1382</v>
      </c>
    </row>
    <row r="428" spans="1:5" x14ac:dyDescent="0.25">
      <c r="A428" s="1222">
        <v>427</v>
      </c>
      <c r="B428" s="1222" t="s">
        <v>1372</v>
      </c>
      <c r="C428" s="1307" t="s">
        <v>90</v>
      </c>
      <c r="D428" s="1307" t="s">
        <v>1510</v>
      </c>
      <c r="E428" s="1304" t="s">
        <v>254</v>
      </c>
    </row>
    <row r="429" spans="1:5" x14ac:dyDescent="0.25">
      <c r="A429" s="1222">
        <v>428</v>
      </c>
      <c r="B429" s="1222" t="s">
        <v>1372</v>
      </c>
      <c r="C429" s="1307" t="s">
        <v>90</v>
      </c>
      <c r="D429" s="1307" t="s">
        <v>1372</v>
      </c>
      <c r="E429" s="1307" t="s">
        <v>1338</v>
      </c>
    </row>
    <row r="430" spans="1:5" x14ac:dyDescent="0.25">
      <c r="A430" s="1222">
        <v>429</v>
      </c>
      <c r="B430" s="1222" t="s">
        <v>1372</v>
      </c>
      <c r="C430" s="1307" t="s">
        <v>90</v>
      </c>
      <c r="D430" s="1307" t="s">
        <v>1372</v>
      </c>
      <c r="E430" s="1307" t="s">
        <v>225</v>
      </c>
    </row>
    <row r="431" spans="1:5" x14ac:dyDescent="0.25">
      <c r="A431" s="1222">
        <v>430</v>
      </c>
      <c r="B431" s="1222" t="s">
        <v>208</v>
      </c>
      <c r="C431" s="1307" t="s">
        <v>90</v>
      </c>
      <c r="D431" s="1307" t="s">
        <v>1510</v>
      </c>
      <c r="E431" s="1306" t="s">
        <v>466</v>
      </c>
    </row>
    <row r="432" spans="1:5" x14ac:dyDescent="0.25">
      <c r="A432" s="1222">
        <v>431</v>
      </c>
      <c r="B432" s="1222" t="s">
        <v>1372</v>
      </c>
      <c r="C432" s="1307" t="s">
        <v>90</v>
      </c>
      <c r="D432" s="1307" t="s">
        <v>1372</v>
      </c>
      <c r="E432" s="1306" t="s">
        <v>1375</v>
      </c>
    </row>
    <row r="433" spans="1:5" x14ac:dyDescent="0.25">
      <c r="A433" s="1222">
        <v>432</v>
      </c>
      <c r="B433" s="1222" t="s">
        <v>1372</v>
      </c>
      <c r="C433" s="1307" t="s">
        <v>90</v>
      </c>
      <c r="D433" s="1307" t="s">
        <v>1510</v>
      </c>
      <c r="E433" s="1306" t="s">
        <v>1377</v>
      </c>
    </row>
    <row r="434" spans="1:5" x14ac:dyDescent="0.25">
      <c r="A434" s="1222">
        <v>433</v>
      </c>
      <c r="B434" s="1222" t="s">
        <v>1372</v>
      </c>
      <c r="C434" s="1307" t="s">
        <v>90</v>
      </c>
      <c r="D434" s="1307" t="s">
        <v>1510</v>
      </c>
      <c r="E434" s="1306" t="s">
        <v>1378</v>
      </c>
    </row>
    <row r="435" spans="1:5" x14ac:dyDescent="0.25">
      <c r="A435" s="1222">
        <v>434</v>
      </c>
      <c r="B435" s="1222" t="s">
        <v>1372</v>
      </c>
      <c r="C435" s="1307" t="s">
        <v>90</v>
      </c>
      <c r="D435" s="1307" t="s">
        <v>1545</v>
      </c>
      <c r="E435" s="1306" t="s">
        <v>1379</v>
      </c>
    </row>
    <row r="436" spans="1:5" x14ac:dyDescent="0.25">
      <c r="A436" s="1222">
        <v>435</v>
      </c>
      <c r="B436" s="1222" t="s">
        <v>1372</v>
      </c>
      <c r="C436" s="1307" t="s">
        <v>90</v>
      </c>
      <c r="D436" s="1307" t="s">
        <v>1510</v>
      </c>
      <c r="E436" s="1306" t="s">
        <v>1380</v>
      </c>
    </row>
    <row r="437" spans="1:5" x14ac:dyDescent="0.25">
      <c r="A437" s="1222">
        <v>436</v>
      </c>
      <c r="B437" s="1222" t="s">
        <v>1372</v>
      </c>
      <c r="C437" s="1307" t="s">
        <v>90</v>
      </c>
      <c r="D437" s="1307" t="s">
        <v>1545</v>
      </c>
      <c r="E437" s="1306" t="s">
        <v>1381</v>
      </c>
    </row>
    <row r="438" spans="1:5" x14ac:dyDescent="0.25">
      <c r="A438" s="1222">
        <v>437</v>
      </c>
      <c r="B438" s="1222" t="s">
        <v>1372</v>
      </c>
      <c r="C438" s="1307" t="s">
        <v>90</v>
      </c>
      <c r="D438" s="1307" t="s">
        <v>1545</v>
      </c>
      <c r="E438" s="1306" t="s">
        <v>1320</v>
      </c>
    </row>
    <row r="439" spans="1:5" x14ac:dyDescent="0.25">
      <c r="A439" s="1222">
        <v>438</v>
      </c>
      <c r="B439" s="1222" t="s">
        <v>1372</v>
      </c>
      <c r="C439" s="1307" t="s">
        <v>89</v>
      </c>
      <c r="D439" s="1307" t="s">
        <v>1544</v>
      </c>
      <c r="E439" s="1304" t="s">
        <v>1382</v>
      </c>
    </row>
    <row r="440" spans="1:5" x14ac:dyDescent="0.25">
      <c r="A440" s="1222">
        <v>439</v>
      </c>
      <c r="B440" s="1222" t="s">
        <v>1372</v>
      </c>
      <c r="C440" s="1307" t="s">
        <v>89</v>
      </c>
      <c r="D440" s="1307" t="s">
        <v>1510</v>
      </c>
      <c r="E440" s="1304" t="s">
        <v>254</v>
      </c>
    </row>
    <row r="441" spans="1:5" x14ac:dyDescent="0.25">
      <c r="A441" s="1222">
        <v>440</v>
      </c>
      <c r="B441" s="1222" t="s">
        <v>1372</v>
      </c>
      <c r="C441" s="1307" t="s">
        <v>89</v>
      </c>
      <c r="D441" s="1307" t="s">
        <v>1372</v>
      </c>
      <c r="E441" s="1307" t="s">
        <v>1338</v>
      </c>
    </row>
    <row r="442" spans="1:5" x14ac:dyDescent="0.25">
      <c r="A442" s="1222">
        <v>441</v>
      </c>
      <c r="B442" s="1222" t="s">
        <v>1372</v>
      </c>
      <c r="C442" s="1307" t="s">
        <v>89</v>
      </c>
      <c r="D442" s="1307" t="s">
        <v>1372</v>
      </c>
      <c r="E442" s="1307" t="s">
        <v>225</v>
      </c>
    </row>
    <row r="443" spans="1:5" x14ac:dyDescent="0.25">
      <c r="A443" s="1222">
        <v>442</v>
      </c>
      <c r="B443" s="1222" t="s">
        <v>208</v>
      </c>
      <c r="C443" s="1307" t="s">
        <v>89</v>
      </c>
      <c r="D443" s="1307" t="s">
        <v>1510</v>
      </c>
      <c r="E443" s="1306" t="s">
        <v>466</v>
      </c>
    </row>
    <row r="444" spans="1:5" x14ac:dyDescent="0.25">
      <c r="A444" s="1222">
        <v>443</v>
      </c>
      <c r="B444" s="1222" t="s">
        <v>1372</v>
      </c>
      <c r="C444" s="1307" t="s">
        <v>89</v>
      </c>
      <c r="D444" s="1307" t="s">
        <v>1372</v>
      </c>
      <c r="E444" s="1306" t="s">
        <v>1375</v>
      </c>
    </row>
    <row r="445" spans="1:5" x14ac:dyDescent="0.25">
      <c r="A445" s="1222">
        <v>444</v>
      </c>
      <c r="B445" s="1222" t="s">
        <v>1372</v>
      </c>
      <c r="C445" s="1307" t="s">
        <v>89</v>
      </c>
      <c r="D445" s="1307" t="s">
        <v>1510</v>
      </c>
      <c r="E445" s="1306" t="s">
        <v>1377</v>
      </c>
    </row>
    <row r="446" spans="1:5" x14ac:dyDescent="0.25">
      <c r="A446" s="1222">
        <v>445</v>
      </c>
      <c r="B446" s="1222" t="s">
        <v>1372</v>
      </c>
      <c r="C446" s="1307" t="s">
        <v>89</v>
      </c>
      <c r="D446" s="1307" t="s">
        <v>1510</v>
      </c>
      <c r="E446" s="1306" t="s">
        <v>1378</v>
      </c>
    </row>
    <row r="447" spans="1:5" x14ac:dyDescent="0.25">
      <c r="A447" s="1222">
        <v>446</v>
      </c>
      <c r="B447" s="1222" t="s">
        <v>1372</v>
      </c>
      <c r="C447" s="1307" t="s">
        <v>89</v>
      </c>
      <c r="D447" s="1307" t="s">
        <v>1545</v>
      </c>
      <c r="E447" s="1306" t="s">
        <v>1379</v>
      </c>
    </row>
    <row r="448" spans="1:5" x14ac:dyDescent="0.25">
      <c r="A448" s="1222">
        <v>447</v>
      </c>
      <c r="B448" s="1222" t="s">
        <v>1372</v>
      </c>
      <c r="C448" s="1307" t="s">
        <v>89</v>
      </c>
      <c r="D448" s="1307" t="s">
        <v>1510</v>
      </c>
      <c r="E448" s="1306" t="s">
        <v>1380</v>
      </c>
    </row>
    <row r="449" spans="1:5" x14ac:dyDescent="0.25">
      <c r="A449" s="1222">
        <v>448</v>
      </c>
      <c r="B449" s="1222" t="s">
        <v>1372</v>
      </c>
      <c r="C449" s="1307" t="s">
        <v>89</v>
      </c>
      <c r="D449" s="1307" t="s">
        <v>1545</v>
      </c>
      <c r="E449" s="1306" t="s">
        <v>1381</v>
      </c>
    </row>
    <row r="450" spans="1:5" x14ac:dyDescent="0.25">
      <c r="A450" s="1222">
        <v>449</v>
      </c>
      <c r="B450" s="1222" t="s">
        <v>1372</v>
      </c>
      <c r="C450" s="1307" t="s">
        <v>89</v>
      </c>
      <c r="D450" s="1307" t="s">
        <v>1545</v>
      </c>
      <c r="E450" s="1306" t="s">
        <v>1320</v>
      </c>
    </row>
    <row r="451" spans="1:5" x14ac:dyDescent="0.25">
      <c r="A451" s="1222">
        <v>450</v>
      </c>
      <c r="B451" s="1222" t="s">
        <v>1372</v>
      </c>
      <c r="C451" s="1307" t="s">
        <v>94</v>
      </c>
      <c r="D451" s="1307" t="s">
        <v>1544</v>
      </c>
      <c r="E451" s="1304" t="s">
        <v>1382</v>
      </c>
    </row>
    <row r="452" spans="1:5" x14ac:dyDescent="0.25">
      <c r="A452" s="1222">
        <v>451</v>
      </c>
      <c r="B452" s="1222" t="s">
        <v>1372</v>
      </c>
      <c r="C452" s="1307" t="s">
        <v>94</v>
      </c>
      <c r="D452" s="1307" t="s">
        <v>1510</v>
      </c>
      <c r="E452" s="1304" t="s">
        <v>254</v>
      </c>
    </row>
    <row r="453" spans="1:5" x14ac:dyDescent="0.25">
      <c r="A453" s="1222">
        <v>452</v>
      </c>
      <c r="B453" s="1222" t="s">
        <v>1372</v>
      </c>
      <c r="C453" s="1307" t="s">
        <v>94</v>
      </c>
      <c r="D453" s="1307" t="s">
        <v>1372</v>
      </c>
      <c r="E453" s="1307" t="s">
        <v>1338</v>
      </c>
    </row>
    <row r="454" spans="1:5" x14ac:dyDescent="0.25">
      <c r="A454" s="1222">
        <v>453</v>
      </c>
      <c r="B454" s="1222" t="s">
        <v>1372</v>
      </c>
      <c r="C454" s="1307" t="s">
        <v>94</v>
      </c>
      <c r="D454" s="1307" t="s">
        <v>1372</v>
      </c>
      <c r="E454" s="1307" t="s">
        <v>225</v>
      </c>
    </row>
    <row r="455" spans="1:5" x14ac:dyDescent="0.25">
      <c r="A455" s="1222">
        <v>454</v>
      </c>
      <c r="B455" s="1222" t="s">
        <v>208</v>
      </c>
      <c r="C455" s="1307" t="s">
        <v>94</v>
      </c>
      <c r="D455" s="1307" t="s">
        <v>1510</v>
      </c>
      <c r="E455" s="1306" t="s">
        <v>466</v>
      </c>
    </row>
    <row r="456" spans="1:5" x14ac:dyDescent="0.25">
      <c r="A456" s="1222">
        <v>455</v>
      </c>
      <c r="B456" s="1222" t="s">
        <v>1372</v>
      </c>
      <c r="C456" s="1307" t="s">
        <v>94</v>
      </c>
      <c r="D456" s="1307" t="s">
        <v>1372</v>
      </c>
      <c r="E456" s="1306" t="s">
        <v>1375</v>
      </c>
    </row>
    <row r="457" spans="1:5" x14ac:dyDescent="0.25">
      <c r="A457" s="1222">
        <v>456</v>
      </c>
      <c r="B457" s="1222" t="s">
        <v>1372</v>
      </c>
      <c r="C457" s="1307" t="s">
        <v>94</v>
      </c>
      <c r="D457" s="1307" t="s">
        <v>1510</v>
      </c>
      <c r="E457" s="1306" t="s">
        <v>1377</v>
      </c>
    </row>
    <row r="458" spans="1:5" x14ac:dyDescent="0.25">
      <c r="A458" s="1222">
        <v>457</v>
      </c>
      <c r="B458" s="1222" t="s">
        <v>1372</v>
      </c>
      <c r="C458" s="1307" t="s">
        <v>94</v>
      </c>
      <c r="D458" s="1307" t="s">
        <v>1510</v>
      </c>
      <c r="E458" s="1306" t="s">
        <v>1378</v>
      </c>
    </row>
    <row r="459" spans="1:5" x14ac:dyDescent="0.25">
      <c r="A459" s="1222">
        <v>458</v>
      </c>
      <c r="B459" s="1222" t="s">
        <v>1372</v>
      </c>
      <c r="C459" s="1307" t="s">
        <v>94</v>
      </c>
      <c r="D459" s="1307" t="s">
        <v>1545</v>
      </c>
      <c r="E459" s="1306" t="s">
        <v>1379</v>
      </c>
    </row>
    <row r="460" spans="1:5" x14ac:dyDescent="0.25">
      <c r="A460" s="1222">
        <v>459</v>
      </c>
      <c r="B460" s="1222" t="s">
        <v>1372</v>
      </c>
      <c r="C460" s="1307" t="s">
        <v>94</v>
      </c>
      <c r="D460" s="1307" t="s">
        <v>1510</v>
      </c>
      <c r="E460" s="1306" t="s">
        <v>1380</v>
      </c>
    </row>
    <row r="461" spans="1:5" x14ac:dyDescent="0.25">
      <c r="A461" s="1222">
        <v>460</v>
      </c>
      <c r="B461" s="1222" t="s">
        <v>1372</v>
      </c>
      <c r="C461" s="1307" t="s">
        <v>94</v>
      </c>
      <c r="D461" s="1307" t="s">
        <v>1545</v>
      </c>
      <c r="E461" s="1306" t="s">
        <v>1381</v>
      </c>
    </row>
    <row r="462" spans="1:5" x14ac:dyDescent="0.25">
      <c r="A462" s="1222">
        <v>461</v>
      </c>
      <c r="B462" s="1222" t="s">
        <v>1372</v>
      </c>
      <c r="C462" s="1307" t="s">
        <v>94</v>
      </c>
      <c r="D462" s="1307" t="s">
        <v>1545</v>
      </c>
      <c r="E462" s="1306" t="s">
        <v>1320</v>
      </c>
    </row>
    <row r="463" spans="1:5" x14ac:dyDescent="0.25">
      <c r="A463" s="1222">
        <v>462</v>
      </c>
      <c r="B463" s="1222" t="s">
        <v>1372</v>
      </c>
      <c r="C463" s="1307" t="s">
        <v>86</v>
      </c>
      <c r="D463" s="1307" t="s">
        <v>1544</v>
      </c>
      <c r="E463" s="1304" t="s">
        <v>1382</v>
      </c>
    </row>
    <row r="464" spans="1:5" x14ac:dyDescent="0.25">
      <c r="A464" s="1222">
        <v>463</v>
      </c>
      <c r="B464" s="1222" t="s">
        <v>1372</v>
      </c>
      <c r="C464" s="1307" t="s">
        <v>86</v>
      </c>
      <c r="D464" s="1307" t="s">
        <v>1510</v>
      </c>
      <c r="E464" s="1304" t="s">
        <v>254</v>
      </c>
    </row>
    <row r="465" spans="1:5" x14ac:dyDescent="0.25">
      <c r="A465" s="1222">
        <v>464</v>
      </c>
      <c r="B465" s="1222" t="s">
        <v>1372</v>
      </c>
      <c r="C465" s="1307" t="s">
        <v>86</v>
      </c>
      <c r="D465" s="1307" t="s">
        <v>1372</v>
      </c>
      <c r="E465" s="1307" t="s">
        <v>1338</v>
      </c>
    </row>
    <row r="466" spans="1:5" x14ac:dyDescent="0.25">
      <c r="A466" s="1222">
        <v>465</v>
      </c>
      <c r="B466" s="1222" t="s">
        <v>1372</v>
      </c>
      <c r="C466" s="1307" t="s">
        <v>86</v>
      </c>
      <c r="D466" s="1307" t="s">
        <v>1372</v>
      </c>
      <c r="E466" s="1307" t="s">
        <v>225</v>
      </c>
    </row>
    <row r="467" spans="1:5" x14ac:dyDescent="0.25">
      <c r="A467" s="1222">
        <v>466</v>
      </c>
      <c r="B467" s="1222" t="s">
        <v>208</v>
      </c>
      <c r="C467" s="1307" t="s">
        <v>86</v>
      </c>
      <c r="D467" s="1307" t="s">
        <v>1510</v>
      </c>
      <c r="E467" s="1306" t="s">
        <v>466</v>
      </c>
    </row>
    <row r="468" spans="1:5" x14ac:dyDescent="0.25">
      <c r="A468" s="1222">
        <v>467</v>
      </c>
      <c r="B468" s="1222" t="s">
        <v>1372</v>
      </c>
      <c r="C468" s="1307" t="s">
        <v>86</v>
      </c>
      <c r="D468" s="1307" t="s">
        <v>1372</v>
      </c>
      <c r="E468" s="1306" t="s">
        <v>1375</v>
      </c>
    </row>
    <row r="469" spans="1:5" x14ac:dyDescent="0.25">
      <c r="A469" s="1222">
        <v>468</v>
      </c>
      <c r="B469" s="1222" t="s">
        <v>1372</v>
      </c>
      <c r="C469" s="1307" t="s">
        <v>86</v>
      </c>
      <c r="D469" s="1307" t="s">
        <v>1510</v>
      </c>
      <c r="E469" s="1306" t="s">
        <v>1377</v>
      </c>
    </row>
    <row r="470" spans="1:5" x14ac:dyDescent="0.25">
      <c r="A470" s="1222">
        <v>469</v>
      </c>
      <c r="B470" s="1222" t="s">
        <v>1372</v>
      </c>
      <c r="C470" s="1307" t="s">
        <v>86</v>
      </c>
      <c r="D470" s="1307" t="s">
        <v>1510</v>
      </c>
      <c r="E470" s="1306" t="s">
        <v>1378</v>
      </c>
    </row>
    <row r="471" spans="1:5" x14ac:dyDescent="0.25">
      <c r="A471" s="1222">
        <v>470</v>
      </c>
      <c r="B471" s="1222" t="s">
        <v>1372</v>
      </c>
      <c r="C471" s="1307" t="s">
        <v>86</v>
      </c>
      <c r="D471" s="1307" t="s">
        <v>1545</v>
      </c>
      <c r="E471" s="1306" t="s">
        <v>1379</v>
      </c>
    </row>
    <row r="472" spans="1:5" x14ac:dyDescent="0.25">
      <c r="A472" s="1222">
        <v>471</v>
      </c>
      <c r="B472" s="1222" t="s">
        <v>1372</v>
      </c>
      <c r="C472" s="1307" t="s">
        <v>86</v>
      </c>
      <c r="D472" s="1307" t="s">
        <v>1510</v>
      </c>
      <c r="E472" s="1306" t="s">
        <v>1380</v>
      </c>
    </row>
    <row r="473" spans="1:5" x14ac:dyDescent="0.25">
      <c r="A473" s="1222">
        <v>472</v>
      </c>
      <c r="B473" s="1222" t="s">
        <v>1372</v>
      </c>
      <c r="C473" s="1307" t="s">
        <v>86</v>
      </c>
      <c r="D473" s="1307" t="s">
        <v>1545</v>
      </c>
      <c r="E473" s="1306" t="s">
        <v>1381</v>
      </c>
    </row>
    <row r="474" spans="1:5" x14ac:dyDescent="0.25">
      <c r="A474" s="1222">
        <v>473</v>
      </c>
      <c r="B474" s="1222" t="s">
        <v>1372</v>
      </c>
      <c r="C474" s="1307" t="s">
        <v>86</v>
      </c>
      <c r="D474" s="1307" t="s">
        <v>1545</v>
      </c>
      <c r="E474" s="1306" t="s">
        <v>1320</v>
      </c>
    </row>
    <row r="475" spans="1:5" x14ac:dyDescent="0.25">
      <c r="A475" s="1222">
        <v>474</v>
      </c>
      <c r="B475" s="1222" t="s">
        <v>1372</v>
      </c>
      <c r="C475" s="1307" t="s">
        <v>88</v>
      </c>
      <c r="D475" s="1307" t="s">
        <v>1544</v>
      </c>
      <c r="E475" s="1304" t="s">
        <v>1382</v>
      </c>
    </row>
    <row r="476" spans="1:5" x14ac:dyDescent="0.25">
      <c r="A476" s="1222">
        <v>475</v>
      </c>
      <c r="B476" s="1222" t="s">
        <v>1372</v>
      </c>
      <c r="C476" s="1307" t="s">
        <v>88</v>
      </c>
      <c r="D476" s="1307" t="s">
        <v>1510</v>
      </c>
      <c r="E476" s="1304" t="s">
        <v>254</v>
      </c>
    </row>
    <row r="477" spans="1:5" x14ac:dyDescent="0.25">
      <c r="A477" s="1222">
        <v>476</v>
      </c>
      <c r="B477" s="1222" t="s">
        <v>1372</v>
      </c>
      <c r="C477" s="1307" t="s">
        <v>88</v>
      </c>
      <c r="D477" s="1307" t="s">
        <v>1372</v>
      </c>
      <c r="E477" s="1307" t="s">
        <v>1338</v>
      </c>
    </row>
    <row r="478" spans="1:5" x14ac:dyDescent="0.25">
      <c r="A478" s="1222">
        <v>477</v>
      </c>
      <c r="B478" s="1222" t="s">
        <v>1372</v>
      </c>
      <c r="C478" s="1307" t="s">
        <v>88</v>
      </c>
      <c r="D478" s="1307" t="s">
        <v>1372</v>
      </c>
      <c r="E478" s="1307" t="s">
        <v>225</v>
      </c>
    </row>
    <row r="479" spans="1:5" x14ac:dyDescent="0.25">
      <c r="A479" s="1222">
        <v>478</v>
      </c>
      <c r="B479" s="1222" t="s">
        <v>208</v>
      </c>
      <c r="C479" s="1307" t="s">
        <v>88</v>
      </c>
      <c r="D479" s="1307" t="s">
        <v>1510</v>
      </c>
      <c r="E479" s="1306" t="s">
        <v>466</v>
      </c>
    </row>
    <row r="480" spans="1:5" x14ac:dyDescent="0.25">
      <c r="A480" s="1222">
        <v>479</v>
      </c>
      <c r="B480" s="1222" t="s">
        <v>1372</v>
      </c>
      <c r="C480" s="1307" t="s">
        <v>88</v>
      </c>
      <c r="D480" s="1307" t="s">
        <v>1372</v>
      </c>
      <c r="E480" s="1306" t="s">
        <v>1375</v>
      </c>
    </row>
    <row r="481" spans="1:5" x14ac:dyDescent="0.25">
      <c r="A481" s="1222">
        <v>480</v>
      </c>
      <c r="B481" s="1222" t="s">
        <v>1372</v>
      </c>
      <c r="C481" s="1307" t="s">
        <v>88</v>
      </c>
      <c r="D481" s="1307" t="s">
        <v>1510</v>
      </c>
      <c r="E481" s="1306" t="s">
        <v>1377</v>
      </c>
    </row>
    <row r="482" spans="1:5" x14ac:dyDescent="0.25">
      <c r="A482" s="1222">
        <v>481</v>
      </c>
      <c r="B482" s="1222" t="s">
        <v>1372</v>
      </c>
      <c r="C482" s="1307" t="s">
        <v>88</v>
      </c>
      <c r="D482" s="1307" t="s">
        <v>1510</v>
      </c>
      <c r="E482" s="1306" t="s">
        <v>1378</v>
      </c>
    </row>
    <row r="483" spans="1:5" x14ac:dyDescent="0.25">
      <c r="A483" s="1222">
        <v>482</v>
      </c>
      <c r="B483" s="1222" t="s">
        <v>1372</v>
      </c>
      <c r="C483" s="1307" t="s">
        <v>88</v>
      </c>
      <c r="D483" s="1307" t="s">
        <v>1545</v>
      </c>
      <c r="E483" s="1306" t="s">
        <v>1379</v>
      </c>
    </row>
    <row r="484" spans="1:5" x14ac:dyDescent="0.25">
      <c r="A484" s="1222">
        <v>483</v>
      </c>
      <c r="B484" s="1222" t="s">
        <v>1372</v>
      </c>
      <c r="C484" s="1307" t="s">
        <v>88</v>
      </c>
      <c r="D484" s="1307" t="s">
        <v>1510</v>
      </c>
      <c r="E484" s="1306" t="s">
        <v>1380</v>
      </c>
    </row>
    <row r="485" spans="1:5" x14ac:dyDescent="0.25">
      <c r="A485" s="1222">
        <v>484</v>
      </c>
      <c r="B485" s="1222" t="s">
        <v>1372</v>
      </c>
      <c r="C485" s="1307" t="s">
        <v>88</v>
      </c>
      <c r="D485" s="1307" t="s">
        <v>1545</v>
      </c>
      <c r="E485" s="1306" t="s">
        <v>1381</v>
      </c>
    </row>
    <row r="486" spans="1:5" x14ac:dyDescent="0.25">
      <c r="A486" s="1222">
        <v>485</v>
      </c>
      <c r="B486" s="1222" t="s">
        <v>1372</v>
      </c>
      <c r="C486" s="1307" t="s">
        <v>88</v>
      </c>
      <c r="D486" s="1307" t="s">
        <v>1545</v>
      </c>
      <c r="E486" s="1306" t="s">
        <v>1320</v>
      </c>
    </row>
    <row r="487" spans="1:5" x14ac:dyDescent="0.25">
      <c r="A487" s="1222">
        <v>486</v>
      </c>
      <c r="B487" s="1222" t="s">
        <v>1372</v>
      </c>
      <c r="C487" s="1307" t="s">
        <v>87</v>
      </c>
      <c r="D487" s="1307" t="s">
        <v>1544</v>
      </c>
      <c r="E487" s="1304" t="s">
        <v>1382</v>
      </c>
    </row>
    <row r="488" spans="1:5" x14ac:dyDescent="0.25">
      <c r="A488" s="1222">
        <v>487</v>
      </c>
      <c r="B488" s="1222" t="s">
        <v>1372</v>
      </c>
      <c r="C488" s="1307" t="s">
        <v>87</v>
      </c>
      <c r="D488" s="1307" t="s">
        <v>1510</v>
      </c>
      <c r="E488" s="1304" t="s">
        <v>254</v>
      </c>
    </row>
    <row r="489" spans="1:5" x14ac:dyDescent="0.25">
      <c r="A489" s="1222">
        <v>488</v>
      </c>
      <c r="B489" s="1222" t="s">
        <v>1372</v>
      </c>
      <c r="C489" s="1307" t="s">
        <v>87</v>
      </c>
      <c r="D489" s="1307" t="s">
        <v>1372</v>
      </c>
      <c r="E489" s="1307" t="s">
        <v>1338</v>
      </c>
    </row>
    <row r="490" spans="1:5" x14ac:dyDescent="0.25">
      <c r="A490" s="1222">
        <v>489</v>
      </c>
      <c r="B490" s="1222" t="s">
        <v>1372</v>
      </c>
      <c r="C490" s="1307" t="s">
        <v>87</v>
      </c>
      <c r="D490" s="1307" t="s">
        <v>1372</v>
      </c>
      <c r="E490" s="1307" t="s">
        <v>225</v>
      </c>
    </row>
    <row r="491" spans="1:5" x14ac:dyDescent="0.25">
      <c r="A491" s="1222">
        <v>490</v>
      </c>
      <c r="B491" s="1222" t="s">
        <v>208</v>
      </c>
      <c r="C491" s="1307" t="s">
        <v>87</v>
      </c>
      <c r="D491" s="1307" t="s">
        <v>1510</v>
      </c>
      <c r="E491" s="1306" t="s">
        <v>466</v>
      </c>
    </row>
    <row r="492" spans="1:5" x14ac:dyDescent="0.25">
      <c r="A492" s="1222">
        <v>491</v>
      </c>
      <c r="B492" s="1222" t="s">
        <v>1372</v>
      </c>
      <c r="C492" s="1307" t="s">
        <v>87</v>
      </c>
      <c r="D492" s="1307" t="s">
        <v>1372</v>
      </c>
      <c r="E492" s="1306" t="s">
        <v>1375</v>
      </c>
    </row>
    <row r="493" spans="1:5" x14ac:dyDescent="0.25">
      <c r="A493" s="1222">
        <v>492</v>
      </c>
      <c r="B493" s="1222" t="s">
        <v>1372</v>
      </c>
      <c r="C493" s="1307" t="s">
        <v>87</v>
      </c>
      <c r="D493" s="1307" t="s">
        <v>1510</v>
      </c>
      <c r="E493" s="1306" t="s">
        <v>1377</v>
      </c>
    </row>
    <row r="494" spans="1:5" x14ac:dyDescent="0.25">
      <c r="A494" s="1222">
        <v>493</v>
      </c>
      <c r="B494" s="1222" t="s">
        <v>1372</v>
      </c>
      <c r="C494" s="1307" t="s">
        <v>87</v>
      </c>
      <c r="D494" s="1307" t="s">
        <v>1510</v>
      </c>
      <c r="E494" s="1306" t="s">
        <v>1378</v>
      </c>
    </row>
    <row r="495" spans="1:5" x14ac:dyDescent="0.25">
      <c r="A495" s="1222">
        <v>494</v>
      </c>
      <c r="B495" s="1222" t="s">
        <v>1372</v>
      </c>
      <c r="C495" s="1307" t="s">
        <v>87</v>
      </c>
      <c r="D495" s="1307" t="s">
        <v>1545</v>
      </c>
      <c r="E495" s="1306" t="s">
        <v>1379</v>
      </c>
    </row>
    <row r="496" spans="1:5" x14ac:dyDescent="0.25">
      <c r="A496" s="1222">
        <v>495</v>
      </c>
      <c r="B496" s="1222" t="s">
        <v>1372</v>
      </c>
      <c r="C496" s="1307" t="s">
        <v>87</v>
      </c>
      <c r="D496" s="1307" t="s">
        <v>1510</v>
      </c>
      <c r="E496" s="1306" t="s">
        <v>1380</v>
      </c>
    </row>
    <row r="497" spans="1:5" x14ac:dyDescent="0.25">
      <c r="A497" s="1222">
        <v>496</v>
      </c>
      <c r="B497" s="1222" t="s">
        <v>1372</v>
      </c>
      <c r="C497" s="1307" t="s">
        <v>87</v>
      </c>
      <c r="D497" s="1307" t="s">
        <v>1545</v>
      </c>
      <c r="E497" s="1306" t="s">
        <v>1381</v>
      </c>
    </row>
    <row r="498" spans="1:5" x14ac:dyDescent="0.25">
      <c r="A498" s="1222">
        <v>497</v>
      </c>
      <c r="B498" s="1222" t="s">
        <v>1372</v>
      </c>
      <c r="C498" s="1307" t="s">
        <v>87</v>
      </c>
      <c r="D498" s="1307" t="s">
        <v>1545</v>
      </c>
      <c r="E498" s="1306" t="s">
        <v>1320</v>
      </c>
    </row>
    <row r="499" spans="1:5" x14ac:dyDescent="0.25">
      <c r="A499" s="1222">
        <v>498</v>
      </c>
      <c r="B499" s="1222" t="s">
        <v>1372</v>
      </c>
      <c r="C499" s="1307" t="s">
        <v>1357</v>
      </c>
      <c r="D499" s="1307" t="s">
        <v>1510</v>
      </c>
      <c r="E499" s="1304" t="s">
        <v>1368</v>
      </c>
    </row>
    <row r="500" spans="1:5" x14ac:dyDescent="0.25">
      <c r="A500" s="1222">
        <v>499</v>
      </c>
      <c r="B500" s="1222" t="s">
        <v>1372</v>
      </c>
      <c r="C500" s="1307" t="s">
        <v>1357</v>
      </c>
      <c r="D500" s="1307" t="s">
        <v>1510</v>
      </c>
      <c r="E500" s="1304" t="s">
        <v>1369</v>
      </c>
    </row>
    <row r="501" spans="1:5" x14ac:dyDescent="0.25">
      <c r="A501" s="1222">
        <v>500</v>
      </c>
      <c r="B501" s="1222" t="s">
        <v>1372</v>
      </c>
      <c r="C501" s="1307" t="s">
        <v>1357</v>
      </c>
      <c r="D501" s="1307" t="s">
        <v>1510</v>
      </c>
      <c r="E501" s="1304" t="s">
        <v>1363</v>
      </c>
    </row>
    <row r="502" spans="1:5" x14ac:dyDescent="0.25">
      <c r="A502" s="1222">
        <v>501</v>
      </c>
      <c r="B502" s="1222" t="s">
        <v>1500</v>
      </c>
      <c r="C502" s="1307" t="s">
        <v>1546</v>
      </c>
      <c r="D502" s="1307" t="s">
        <v>1510</v>
      </c>
      <c r="E502" s="1304" t="s">
        <v>1547</v>
      </c>
    </row>
    <row r="503" spans="1:5" x14ac:dyDescent="0.25">
      <c r="A503" s="1222">
        <v>502</v>
      </c>
      <c r="B503" s="1222" t="s">
        <v>1500</v>
      </c>
      <c r="C503" s="1307" t="s">
        <v>1548</v>
      </c>
      <c r="D503" s="1307" t="s">
        <v>1549</v>
      </c>
      <c r="E503" s="1304" t="s">
        <v>1548</v>
      </c>
    </row>
    <row r="504" spans="1:5" x14ac:dyDescent="0.25">
      <c r="A504" s="1222">
        <v>503</v>
      </c>
      <c r="B504" s="1222" t="s">
        <v>1500</v>
      </c>
      <c r="C504" s="1307" t="s">
        <v>1548</v>
      </c>
      <c r="D504" s="1307" t="s">
        <v>1549</v>
      </c>
      <c r="E504" s="1304" t="s">
        <v>1550</v>
      </c>
    </row>
    <row r="505" spans="1:5" x14ac:dyDescent="0.25">
      <c r="A505" s="1222">
        <v>504</v>
      </c>
      <c r="B505" s="1222" t="s">
        <v>1500</v>
      </c>
      <c r="C505" s="1307" t="s">
        <v>1548</v>
      </c>
      <c r="D505" s="1307" t="s">
        <v>1549</v>
      </c>
      <c r="E505" s="1304" t="s">
        <v>1551</v>
      </c>
    </row>
    <row r="506" spans="1:5" x14ac:dyDescent="0.25">
      <c r="A506" s="1222">
        <v>505</v>
      </c>
      <c r="B506" s="1222" t="s">
        <v>1500</v>
      </c>
      <c r="C506" s="1307" t="s">
        <v>1548</v>
      </c>
      <c r="D506" s="1307" t="s">
        <v>1549</v>
      </c>
      <c r="E506" s="1304" t="s">
        <v>1552</v>
      </c>
    </row>
    <row r="507" spans="1:5" x14ac:dyDescent="0.25">
      <c r="A507" s="1222">
        <v>506</v>
      </c>
      <c r="B507" s="1222" t="s">
        <v>1500</v>
      </c>
      <c r="C507" s="1307" t="s">
        <v>1548</v>
      </c>
      <c r="D507" s="1307" t="s">
        <v>1549</v>
      </c>
      <c r="E507" s="1304" t="s">
        <v>1553</v>
      </c>
    </row>
    <row r="508" spans="1:5" x14ac:dyDescent="0.25">
      <c r="A508" s="1222">
        <v>507</v>
      </c>
      <c r="B508" s="1222" t="s">
        <v>1500</v>
      </c>
      <c r="C508" s="1307" t="s">
        <v>1548</v>
      </c>
      <c r="D508" s="1307" t="s">
        <v>1549</v>
      </c>
      <c r="E508" s="1304" t="s">
        <v>1554</v>
      </c>
    </row>
    <row r="509" spans="1:5" x14ac:dyDescent="0.25">
      <c r="A509" s="1222">
        <v>508</v>
      </c>
      <c r="B509" s="1222" t="s">
        <v>1449</v>
      </c>
      <c r="C509" s="1307" t="s">
        <v>1539</v>
      </c>
      <c r="D509" s="1307" t="s">
        <v>1555</v>
      </c>
      <c r="E509" s="1304" t="s">
        <v>1556</v>
      </c>
    </row>
    <row r="510" spans="1:5" x14ac:dyDescent="0.25">
      <c r="A510" s="1222">
        <v>509</v>
      </c>
      <c r="B510" s="1222" t="s">
        <v>1449</v>
      </c>
      <c r="C510" s="1307" t="s">
        <v>1539</v>
      </c>
      <c r="D510" s="1307" t="s">
        <v>1555</v>
      </c>
      <c r="E510" s="1304" t="s">
        <v>1332</v>
      </c>
    </row>
    <row r="511" spans="1:5" x14ac:dyDescent="0.25">
      <c r="A511" s="1222">
        <v>510</v>
      </c>
      <c r="B511" s="1222" t="s">
        <v>1449</v>
      </c>
      <c r="C511" s="1307" t="s">
        <v>1539</v>
      </c>
      <c r="D511" s="1307" t="s">
        <v>1555</v>
      </c>
      <c r="E511" s="1304" t="s">
        <v>1333</v>
      </c>
    </row>
    <row r="512" spans="1:5" x14ac:dyDescent="0.25">
      <c r="A512" s="1222">
        <v>511</v>
      </c>
      <c r="B512" s="1222" t="s">
        <v>1449</v>
      </c>
      <c r="C512" s="1307" t="s">
        <v>1539</v>
      </c>
      <c r="D512" s="1307" t="s">
        <v>1557</v>
      </c>
      <c r="E512" s="1304" t="s">
        <v>1336</v>
      </c>
    </row>
    <row r="513" spans="1:5" x14ac:dyDescent="0.25">
      <c r="A513" s="1222">
        <v>512</v>
      </c>
      <c r="B513" s="1222" t="s">
        <v>1449</v>
      </c>
      <c r="C513" s="1307" t="s">
        <v>1539</v>
      </c>
      <c r="D513" s="1307" t="s">
        <v>1558</v>
      </c>
      <c r="E513" s="1304" t="s">
        <v>1334</v>
      </c>
    </row>
    <row r="514" spans="1:5" ht="30" x14ac:dyDescent="0.25">
      <c r="A514" s="1222">
        <v>513</v>
      </c>
      <c r="B514" s="1222" t="s">
        <v>1372</v>
      </c>
      <c r="C514" s="1307" t="s">
        <v>1539</v>
      </c>
      <c r="D514" s="1307" t="s">
        <v>1559</v>
      </c>
      <c r="E514" s="1304" t="s">
        <v>1361</v>
      </c>
    </row>
    <row r="515" spans="1:5" ht="30" x14ac:dyDescent="0.25">
      <c r="A515" s="1222">
        <v>514</v>
      </c>
      <c r="B515" s="1222" t="s">
        <v>1372</v>
      </c>
      <c r="C515" s="1307" t="s">
        <v>1539</v>
      </c>
      <c r="D515" s="1307" t="s">
        <v>1559</v>
      </c>
      <c r="E515" s="1304" t="s">
        <v>1560</v>
      </c>
    </row>
    <row r="516" spans="1:5" x14ac:dyDescent="0.25">
      <c r="A516" s="1222">
        <v>515</v>
      </c>
      <c r="B516" s="1222" t="s">
        <v>1449</v>
      </c>
      <c r="C516" s="1307" t="s">
        <v>1561</v>
      </c>
      <c r="D516" s="1307" t="s">
        <v>1516</v>
      </c>
      <c r="E516" s="1304" t="s">
        <v>1295</v>
      </c>
    </row>
    <row r="517" spans="1:5" x14ac:dyDescent="0.25">
      <c r="A517" s="1222">
        <v>516</v>
      </c>
      <c r="B517" s="1222" t="s">
        <v>1372</v>
      </c>
      <c r="C517" s="1307" t="s">
        <v>1561</v>
      </c>
      <c r="D517" s="1307" t="s">
        <v>1516</v>
      </c>
      <c r="E517" s="1304" t="s">
        <v>1364</v>
      </c>
    </row>
    <row r="518" spans="1:5" x14ac:dyDescent="0.25">
      <c r="A518" s="1222">
        <v>517</v>
      </c>
      <c r="B518" s="1222" t="s">
        <v>1372</v>
      </c>
      <c r="C518" s="1307" t="s">
        <v>1561</v>
      </c>
      <c r="D518" s="1307" t="s">
        <v>1516</v>
      </c>
      <c r="E518" s="1304" t="s">
        <v>1365</v>
      </c>
    </row>
    <row r="519" spans="1:5" x14ac:dyDescent="0.25">
      <c r="A519" s="1222">
        <v>518</v>
      </c>
      <c r="B519" s="1222" t="s">
        <v>1372</v>
      </c>
      <c r="C519" s="1307" t="s">
        <v>1561</v>
      </c>
      <c r="D519" s="1307" t="s">
        <v>1516</v>
      </c>
      <c r="E519" s="1304" t="s">
        <v>1562</v>
      </c>
    </row>
    <row r="520" spans="1:5" x14ac:dyDescent="0.25">
      <c r="A520" s="1222">
        <v>519</v>
      </c>
      <c r="B520" s="1222" t="s">
        <v>1372</v>
      </c>
      <c r="C520" s="1307" t="s">
        <v>1561</v>
      </c>
      <c r="D520" s="1307" t="s">
        <v>1516</v>
      </c>
      <c r="E520" s="1304" t="s">
        <v>1367</v>
      </c>
    </row>
    <row r="521" spans="1:5" x14ac:dyDescent="0.25">
      <c r="A521" s="1222">
        <v>520</v>
      </c>
      <c r="B521" s="1222" t="s">
        <v>129</v>
      </c>
      <c r="C521" s="1307" t="s">
        <v>1563</v>
      </c>
      <c r="D521" s="1307" t="s">
        <v>1510</v>
      </c>
      <c r="E521" s="1304" t="s">
        <v>1564</v>
      </c>
    </row>
    <row r="522" spans="1:5" x14ac:dyDescent="0.25">
      <c r="A522" s="1222">
        <v>521</v>
      </c>
      <c r="B522" s="1222" t="s">
        <v>1618</v>
      </c>
      <c r="C522" s="1307" t="s">
        <v>1847</v>
      </c>
      <c r="D522" s="1307" t="s">
        <v>1645</v>
      </c>
      <c r="E522" s="1303" t="s">
        <v>1593</v>
      </c>
    </row>
    <row r="523" spans="1:5" x14ac:dyDescent="0.25">
      <c r="A523" s="1222">
        <v>522</v>
      </c>
      <c r="B523" s="1222" t="s">
        <v>1618</v>
      </c>
      <c r="C523" s="1307" t="s">
        <v>1814</v>
      </c>
      <c r="D523" s="1307" t="s">
        <v>1510</v>
      </c>
      <c r="E523" s="1303" t="s">
        <v>1809</v>
      </c>
    </row>
    <row r="524" spans="1:5" x14ac:dyDescent="0.25">
      <c r="A524" s="1222">
        <v>523</v>
      </c>
      <c r="B524" s="1222" t="s">
        <v>1618</v>
      </c>
      <c r="C524" s="1307" t="s">
        <v>1847</v>
      </c>
      <c r="D524" s="1307" t="s">
        <v>1645</v>
      </c>
      <c r="E524" s="1303" t="s">
        <v>1482</v>
      </c>
    </row>
    <row r="525" spans="1:5" x14ac:dyDescent="0.25">
      <c r="A525" s="1222">
        <v>524</v>
      </c>
      <c r="B525" s="1222" t="s">
        <v>1618</v>
      </c>
      <c r="C525" s="1307" t="s">
        <v>1847</v>
      </c>
      <c r="D525" s="1307" t="s">
        <v>1645</v>
      </c>
      <c r="E525" s="1303" t="s">
        <v>1479</v>
      </c>
    </row>
    <row r="526" spans="1:5" x14ac:dyDescent="0.25">
      <c r="A526" s="1222">
        <v>525</v>
      </c>
      <c r="B526" s="1222" t="s">
        <v>1618</v>
      </c>
      <c r="C526" s="1307" t="s">
        <v>1847</v>
      </c>
      <c r="D526" s="1307" t="s">
        <v>1645</v>
      </c>
      <c r="E526" s="1303" t="s">
        <v>1480</v>
      </c>
    </row>
    <row r="527" spans="1:5" x14ac:dyDescent="0.25">
      <c r="A527" s="1222">
        <v>526</v>
      </c>
      <c r="B527" s="1222" t="s">
        <v>1618</v>
      </c>
      <c r="C527" s="1307" t="s">
        <v>1847</v>
      </c>
      <c r="D527" s="1307" t="s">
        <v>1645</v>
      </c>
      <c r="E527" s="1303" t="s">
        <v>1496</v>
      </c>
    </row>
    <row r="528" spans="1:5" x14ac:dyDescent="0.25">
      <c r="A528" s="1222">
        <v>527</v>
      </c>
      <c r="B528" s="1222" t="s">
        <v>1618</v>
      </c>
      <c r="C528" s="1307" t="s">
        <v>1847</v>
      </c>
      <c r="D528" s="1307" t="s">
        <v>1510</v>
      </c>
      <c r="E528" s="1303" t="s">
        <v>1481</v>
      </c>
    </row>
    <row r="529" spans="1:5" x14ac:dyDescent="0.25">
      <c r="A529" s="1222">
        <v>528</v>
      </c>
      <c r="B529" s="1222" t="s">
        <v>1618</v>
      </c>
      <c r="C529" s="1307" t="s">
        <v>1847</v>
      </c>
      <c r="D529" s="1307" t="s">
        <v>1645</v>
      </c>
      <c r="E529" s="1303" t="s">
        <v>1588</v>
      </c>
    </row>
    <row r="530" spans="1:5" x14ac:dyDescent="0.25">
      <c r="A530" s="1222">
        <v>529</v>
      </c>
      <c r="B530" s="1222" t="s">
        <v>1618</v>
      </c>
      <c r="C530" s="1307" t="s">
        <v>1847</v>
      </c>
      <c r="D530" s="1307" t="s">
        <v>1645</v>
      </c>
      <c r="E530" s="1303" t="s">
        <v>1589</v>
      </c>
    </row>
    <row r="531" spans="1:5" x14ac:dyDescent="0.25">
      <c r="A531" s="1222">
        <v>530</v>
      </c>
      <c r="B531" s="1222" t="s">
        <v>1618</v>
      </c>
      <c r="C531" s="1307" t="s">
        <v>1847</v>
      </c>
      <c r="D531" s="1307" t="s">
        <v>1510</v>
      </c>
      <c r="E531" s="1303" t="s">
        <v>1590</v>
      </c>
    </row>
    <row r="532" spans="1:5" ht="30" x14ac:dyDescent="0.25">
      <c r="A532" s="1222">
        <v>531</v>
      </c>
      <c r="B532" s="1222" t="s">
        <v>1618</v>
      </c>
      <c r="C532" s="1307" t="s">
        <v>1847</v>
      </c>
      <c r="D532" s="1307" t="s">
        <v>1646</v>
      </c>
      <c r="E532" s="1303" t="s">
        <v>1484</v>
      </c>
    </row>
    <row r="533" spans="1:5" ht="30" x14ac:dyDescent="0.25">
      <c r="A533" s="1222">
        <v>532</v>
      </c>
      <c r="B533" s="1222" t="s">
        <v>1618</v>
      </c>
      <c r="C533" s="1307" t="s">
        <v>1847</v>
      </c>
      <c r="D533" s="1307" t="s">
        <v>1646</v>
      </c>
      <c r="E533" s="1303" t="s">
        <v>1485</v>
      </c>
    </row>
    <row r="534" spans="1:5" ht="30" x14ac:dyDescent="0.25">
      <c r="A534" s="1222">
        <v>533</v>
      </c>
      <c r="B534" s="1222" t="s">
        <v>1618</v>
      </c>
      <c r="C534" s="1307" t="s">
        <v>1847</v>
      </c>
      <c r="D534" s="1307" t="s">
        <v>1646</v>
      </c>
      <c r="E534" s="1303" t="s">
        <v>1597</v>
      </c>
    </row>
    <row r="535" spans="1:5" x14ac:dyDescent="0.25">
      <c r="A535" s="1222">
        <v>534</v>
      </c>
      <c r="B535" s="1222" t="s">
        <v>1618</v>
      </c>
      <c r="C535" s="1307" t="s">
        <v>1847</v>
      </c>
      <c r="D535" s="1307" t="s">
        <v>1510</v>
      </c>
      <c r="E535" s="1303" t="s">
        <v>1594</v>
      </c>
    </row>
    <row r="536" spans="1:5" x14ac:dyDescent="0.25">
      <c r="A536" s="1222">
        <v>535</v>
      </c>
      <c r="B536" s="1222" t="s">
        <v>1618</v>
      </c>
      <c r="C536" s="1307" t="s">
        <v>1847</v>
      </c>
      <c r="D536" s="1307" t="s">
        <v>1645</v>
      </c>
      <c r="E536" s="1303" t="s">
        <v>1488</v>
      </c>
    </row>
    <row r="537" spans="1:5" x14ac:dyDescent="0.25">
      <c r="A537" s="1222">
        <v>536</v>
      </c>
      <c r="B537" s="1222" t="s">
        <v>1618</v>
      </c>
      <c r="C537" s="1307" t="s">
        <v>1848</v>
      </c>
      <c r="D537" s="1307" t="s">
        <v>1645</v>
      </c>
      <c r="E537" s="1303" t="s">
        <v>1593</v>
      </c>
    </row>
    <row r="538" spans="1:5" x14ac:dyDescent="0.25">
      <c r="A538" s="1222">
        <v>537</v>
      </c>
      <c r="B538" s="1222" t="s">
        <v>1618</v>
      </c>
      <c r="C538" s="1307" t="s">
        <v>1815</v>
      </c>
      <c r="D538" s="1307" t="s">
        <v>1510</v>
      </c>
      <c r="E538" s="1303" t="s">
        <v>1809</v>
      </c>
    </row>
    <row r="539" spans="1:5" x14ac:dyDescent="0.25">
      <c r="A539" s="1222">
        <v>538</v>
      </c>
      <c r="B539" s="1222" t="s">
        <v>1618</v>
      </c>
      <c r="C539" s="1307" t="s">
        <v>1848</v>
      </c>
      <c r="D539" s="1307" t="s">
        <v>1645</v>
      </c>
      <c r="E539" s="1303" t="s">
        <v>1482</v>
      </c>
    </row>
    <row r="540" spans="1:5" x14ac:dyDescent="0.25">
      <c r="A540" s="1222">
        <v>539</v>
      </c>
      <c r="B540" s="1222" t="s">
        <v>1618</v>
      </c>
      <c r="C540" s="1307" t="s">
        <v>1848</v>
      </c>
      <c r="D540" s="1307" t="s">
        <v>1645</v>
      </c>
      <c r="E540" s="1303" t="s">
        <v>1479</v>
      </c>
    </row>
    <row r="541" spans="1:5" x14ac:dyDescent="0.25">
      <c r="A541" s="1222">
        <v>540</v>
      </c>
      <c r="B541" s="1222" t="s">
        <v>1618</v>
      </c>
      <c r="C541" s="1307" t="s">
        <v>1848</v>
      </c>
      <c r="D541" s="1307" t="s">
        <v>1645</v>
      </c>
      <c r="E541" s="1303" t="s">
        <v>1480</v>
      </c>
    </row>
    <row r="542" spans="1:5" x14ac:dyDescent="0.25">
      <c r="A542" s="1222">
        <v>541</v>
      </c>
      <c r="B542" s="1222" t="s">
        <v>1618</v>
      </c>
      <c r="C542" s="1307" t="s">
        <v>1848</v>
      </c>
      <c r="D542" s="1307" t="s">
        <v>1645</v>
      </c>
      <c r="E542" s="1303" t="s">
        <v>1496</v>
      </c>
    </row>
    <row r="543" spans="1:5" x14ac:dyDescent="0.25">
      <c r="A543" s="1222">
        <v>542</v>
      </c>
      <c r="B543" s="1222" t="s">
        <v>1618</v>
      </c>
      <c r="C543" s="1307" t="s">
        <v>1848</v>
      </c>
      <c r="D543" s="1307" t="s">
        <v>1510</v>
      </c>
      <c r="E543" s="1303" t="s">
        <v>1481</v>
      </c>
    </row>
    <row r="544" spans="1:5" x14ac:dyDescent="0.25">
      <c r="A544" s="1222">
        <v>543</v>
      </c>
      <c r="B544" s="1222" t="s">
        <v>1618</v>
      </c>
      <c r="C544" s="1307" t="s">
        <v>1848</v>
      </c>
      <c r="D544" s="1307" t="s">
        <v>1645</v>
      </c>
      <c r="E544" s="1303" t="s">
        <v>1588</v>
      </c>
    </row>
    <row r="545" spans="1:5" x14ac:dyDescent="0.25">
      <c r="A545" s="1222">
        <v>544</v>
      </c>
      <c r="B545" s="1222" t="s">
        <v>1618</v>
      </c>
      <c r="C545" s="1307" t="s">
        <v>1848</v>
      </c>
      <c r="D545" s="1307" t="s">
        <v>1645</v>
      </c>
      <c r="E545" s="1303" t="s">
        <v>1589</v>
      </c>
    </row>
    <row r="546" spans="1:5" x14ac:dyDescent="0.25">
      <c r="A546" s="1222">
        <v>545</v>
      </c>
      <c r="B546" s="1222" t="s">
        <v>1618</v>
      </c>
      <c r="C546" s="1307" t="s">
        <v>1848</v>
      </c>
      <c r="D546" s="1307" t="s">
        <v>1510</v>
      </c>
      <c r="E546" s="1303" t="s">
        <v>1590</v>
      </c>
    </row>
    <row r="547" spans="1:5" ht="30" x14ac:dyDescent="0.25">
      <c r="A547" s="1222">
        <v>546</v>
      </c>
      <c r="B547" s="1222" t="s">
        <v>1618</v>
      </c>
      <c r="C547" s="1307" t="s">
        <v>1848</v>
      </c>
      <c r="D547" s="1307" t="s">
        <v>1646</v>
      </c>
      <c r="E547" s="1303" t="s">
        <v>1484</v>
      </c>
    </row>
    <row r="548" spans="1:5" ht="30" x14ac:dyDescent="0.25">
      <c r="A548" s="1222">
        <v>547</v>
      </c>
      <c r="B548" s="1222" t="s">
        <v>1618</v>
      </c>
      <c r="C548" s="1307" t="s">
        <v>1848</v>
      </c>
      <c r="D548" s="1307" t="s">
        <v>1646</v>
      </c>
      <c r="E548" s="1303" t="s">
        <v>1485</v>
      </c>
    </row>
    <row r="549" spans="1:5" ht="30" x14ac:dyDescent="0.25">
      <c r="A549" s="1222">
        <v>548</v>
      </c>
      <c r="B549" s="1222" t="s">
        <v>1618</v>
      </c>
      <c r="C549" s="1307" t="s">
        <v>1848</v>
      </c>
      <c r="D549" s="1307" t="s">
        <v>1646</v>
      </c>
      <c r="E549" s="1303" t="s">
        <v>1597</v>
      </c>
    </row>
    <row r="550" spans="1:5" x14ac:dyDescent="0.25">
      <c r="A550" s="1222">
        <v>549</v>
      </c>
      <c r="B550" s="1222" t="s">
        <v>1618</v>
      </c>
      <c r="C550" s="1307" t="s">
        <v>1848</v>
      </c>
      <c r="D550" s="1307" t="s">
        <v>1510</v>
      </c>
      <c r="E550" s="1303" t="s">
        <v>1594</v>
      </c>
    </row>
    <row r="551" spans="1:5" x14ac:dyDescent="0.25">
      <c r="A551" s="1222">
        <v>550</v>
      </c>
      <c r="B551" s="1222" t="s">
        <v>1618</v>
      </c>
      <c r="C551" s="1307" t="s">
        <v>1848</v>
      </c>
      <c r="D551" s="1307" t="s">
        <v>1645</v>
      </c>
      <c r="E551" s="1303" t="s">
        <v>1488</v>
      </c>
    </row>
    <row r="552" spans="1:5" x14ac:dyDescent="0.25">
      <c r="A552" s="1222">
        <v>551</v>
      </c>
      <c r="B552" s="1222" t="s">
        <v>1618</v>
      </c>
      <c r="C552" s="1307" t="s">
        <v>1849</v>
      </c>
      <c r="D552" s="1307" t="s">
        <v>1647</v>
      </c>
      <c r="E552" s="1303" t="s">
        <v>1593</v>
      </c>
    </row>
    <row r="553" spans="1:5" x14ac:dyDescent="0.25">
      <c r="A553" s="1222">
        <v>552</v>
      </c>
      <c r="B553" s="1222" t="s">
        <v>1618</v>
      </c>
      <c r="C553" s="1307" t="s">
        <v>1648</v>
      </c>
      <c r="D553" s="1307" t="s">
        <v>1510</v>
      </c>
      <c r="E553" s="1303" t="s">
        <v>1809</v>
      </c>
    </row>
    <row r="554" spans="1:5" x14ac:dyDescent="0.25">
      <c r="A554" s="1222">
        <v>553</v>
      </c>
      <c r="B554" s="1222" t="s">
        <v>1618</v>
      </c>
      <c r="C554" s="1307" t="s">
        <v>1849</v>
      </c>
      <c r="D554" s="1307" t="s">
        <v>1647</v>
      </c>
      <c r="E554" s="1303" t="s">
        <v>1482</v>
      </c>
    </row>
    <row r="555" spans="1:5" x14ac:dyDescent="0.25">
      <c r="A555" s="1222">
        <v>554</v>
      </c>
      <c r="B555" s="1222" t="s">
        <v>1618</v>
      </c>
      <c r="C555" s="1307" t="s">
        <v>1849</v>
      </c>
      <c r="D555" s="1307" t="s">
        <v>1647</v>
      </c>
      <c r="E555" s="1303" t="s">
        <v>1479</v>
      </c>
    </row>
    <row r="556" spans="1:5" x14ac:dyDescent="0.25">
      <c r="A556" s="1222">
        <v>555</v>
      </c>
      <c r="B556" s="1222" t="s">
        <v>1618</v>
      </c>
      <c r="C556" s="1307" t="s">
        <v>1849</v>
      </c>
      <c r="D556" s="1307" t="s">
        <v>1647</v>
      </c>
      <c r="E556" s="1303" t="s">
        <v>1480</v>
      </c>
    </row>
    <row r="557" spans="1:5" x14ac:dyDescent="0.25">
      <c r="A557" s="1222">
        <v>556</v>
      </c>
      <c r="B557" s="1222" t="s">
        <v>1618</v>
      </c>
      <c r="C557" s="1307" t="s">
        <v>1849</v>
      </c>
      <c r="D557" s="1307" t="s">
        <v>1647</v>
      </c>
      <c r="E557" s="1303" t="s">
        <v>1496</v>
      </c>
    </row>
    <row r="558" spans="1:5" x14ac:dyDescent="0.25">
      <c r="A558" s="1222">
        <v>557</v>
      </c>
      <c r="B558" s="1222" t="s">
        <v>1618</v>
      </c>
      <c r="C558" s="1307" t="s">
        <v>1849</v>
      </c>
      <c r="D558" s="1307" t="s">
        <v>1510</v>
      </c>
      <c r="E558" s="1303" t="s">
        <v>1481</v>
      </c>
    </row>
    <row r="559" spans="1:5" x14ac:dyDescent="0.25">
      <c r="A559" s="1222">
        <v>558</v>
      </c>
      <c r="B559" s="1222" t="s">
        <v>1618</v>
      </c>
      <c r="C559" s="1307" t="s">
        <v>1648</v>
      </c>
      <c r="D559" s="1307" t="s">
        <v>1647</v>
      </c>
      <c r="E559" s="1303" t="s">
        <v>1588</v>
      </c>
    </row>
    <row r="560" spans="1:5" x14ac:dyDescent="0.25">
      <c r="A560" s="1222">
        <v>559</v>
      </c>
      <c r="B560" s="1222" t="s">
        <v>1618</v>
      </c>
      <c r="C560" s="1307" t="s">
        <v>1648</v>
      </c>
      <c r="D560" s="1307" t="s">
        <v>1647</v>
      </c>
      <c r="E560" s="1303" t="s">
        <v>1589</v>
      </c>
    </row>
    <row r="561" spans="1:5" x14ac:dyDescent="0.25">
      <c r="A561" s="1222">
        <v>560</v>
      </c>
      <c r="B561" s="1222" t="s">
        <v>1618</v>
      </c>
      <c r="C561" s="1307" t="s">
        <v>1648</v>
      </c>
      <c r="D561" s="1307" t="s">
        <v>1510</v>
      </c>
      <c r="E561" s="1303" t="s">
        <v>1590</v>
      </c>
    </row>
    <row r="562" spans="1:5" ht="30" x14ac:dyDescent="0.25">
      <c r="A562" s="1222">
        <v>561</v>
      </c>
      <c r="B562" s="1222" t="s">
        <v>1618</v>
      </c>
      <c r="C562" s="1307" t="s">
        <v>1648</v>
      </c>
      <c r="D562" s="1307" t="s">
        <v>1646</v>
      </c>
      <c r="E562" s="1303" t="s">
        <v>1484</v>
      </c>
    </row>
    <row r="563" spans="1:5" ht="30" x14ac:dyDescent="0.25">
      <c r="A563" s="1222">
        <v>562</v>
      </c>
      <c r="B563" s="1222" t="s">
        <v>1618</v>
      </c>
      <c r="C563" s="1307" t="s">
        <v>1648</v>
      </c>
      <c r="D563" s="1307" t="s">
        <v>1646</v>
      </c>
      <c r="E563" s="1303" t="s">
        <v>1485</v>
      </c>
    </row>
    <row r="564" spans="1:5" ht="30" x14ac:dyDescent="0.25">
      <c r="A564" s="1222">
        <v>563</v>
      </c>
      <c r="B564" s="1222" t="s">
        <v>1618</v>
      </c>
      <c r="C564" s="1307" t="s">
        <v>1648</v>
      </c>
      <c r="D564" s="1307" t="s">
        <v>1646</v>
      </c>
      <c r="E564" s="1303" t="s">
        <v>1597</v>
      </c>
    </row>
    <row r="565" spans="1:5" x14ac:dyDescent="0.25">
      <c r="A565" s="1222">
        <v>564</v>
      </c>
      <c r="B565" s="1222" t="s">
        <v>1618</v>
      </c>
      <c r="C565" s="1307" t="s">
        <v>1648</v>
      </c>
      <c r="D565" s="1307" t="s">
        <v>1510</v>
      </c>
      <c r="E565" s="1303" t="s">
        <v>1594</v>
      </c>
    </row>
    <row r="566" spans="1:5" x14ac:dyDescent="0.25">
      <c r="A566" s="1222">
        <v>565</v>
      </c>
      <c r="B566" s="1222" t="s">
        <v>1618</v>
      </c>
      <c r="C566" s="1307" t="s">
        <v>1648</v>
      </c>
      <c r="D566" s="1307" t="s">
        <v>1647</v>
      </c>
      <c r="E566" s="1303" t="s">
        <v>1608</v>
      </c>
    </row>
    <row r="567" spans="1:5" x14ac:dyDescent="0.25">
      <c r="A567" s="1222">
        <v>566</v>
      </c>
      <c r="B567" s="1222" t="s">
        <v>1618</v>
      </c>
      <c r="C567" s="1307" t="s">
        <v>1649</v>
      </c>
      <c r="D567" s="1307" t="s">
        <v>1647</v>
      </c>
      <c r="E567" s="1303" t="s">
        <v>1486</v>
      </c>
    </row>
    <row r="568" spans="1:5" x14ac:dyDescent="0.25">
      <c r="A568" s="1222">
        <v>567</v>
      </c>
      <c r="B568" s="1222" t="s">
        <v>1618</v>
      </c>
      <c r="C568" s="1307" t="s">
        <v>1649</v>
      </c>
      <c r="D568" s="1307" t="s">
        <v>1647</v>
      </c>
      <c r="E568" s="1303" t="s">
        <v>1487</v>
      </c>
    </row>
    <row r="569" spans="1:5" x14ac:dyDescent="0.25">
      <c r="A569" s="1222">
        <v>568</v>
      </c>
      <c r="B569" s="1222" t="s">
        <v>1618</v>
      </c>
      <c r="C569" s="1307" t="s">
        <v>1649</v>
      </c>
      <c r="D569" s="1307" t="s">
        <v>1647</v>
      </c>
      <c r="E569" s="1303" t="s">
        <v>1175</v>
      </c>
    </row>
    <row r="570" spans="1:5" x14ac:dyDescent="0.25">
      <c r="A570" s="1222">
        <v>569</v>
      </c>
      <c r="B570" s="1222" t="s">
        <v>1618</v>
      </c>
      <c r="C570" s="1307" t="s">
        <v>1648</v>
      </c>
      <c r="D570" s="1307" t="s">
        <v>1647</v>
      </c>
      <c r="E570" s="1303" t="s">
        <v>1610</v>
      </c>
    </row>
    <row r="571" spans="1:5" x14ac:dyDescent="0.25">
      <c r="A571" s="1222">
        <v>570</v>
      </c>
      <c r="B571" s="1222" t="s">
        <v>1618</v>
      </c>
      <c r="C571" s="1307" t="s">
        <v>1650</v>
      </c>
      <c r="D571" s="1307" t="s">
        <v>1647</v>
      </c>
      <c r="E571" s="1303" t="s">
        <v>1593</v>
      </c>
    </row>
    <row r="572" spans="1:5" x14ac:dyDescent="0.25">
      <c r="A572" s="1222">
        <v>571</v>
      </c>
      <c r="B572" s="1222" t="s">
        <v>1618</v>
      </c>
      <c r="C572" s="1307" t="s">
        <v>1650</v>
      </c>
      <c r="D572" s="1307" t="s">
        <v>1510</v>
      </c>
      <c r="E572" s="1303" t="s">
        <v>1809</v>
      </c>
    </row>
    <row r="573" spans="1:5" x14ac:dyDescent="0.25">
      <c r="A573" s="1222">
        <v>572</v>
      </c>
      <c r="B573" s="1222" t="s">
        <v>1618</v>
      </c>
      <c r="C573" s="1307" t="s">
        <v>1650</v>
      </c>
      <c r="D573" s="1307" t="s">
        <v>1647</v>
      </c>
      <c r="E573" s="1303" t="s">
        <v>1482</v>
      </c>
    </row>
    <row r="574" spans="1:5" x14ac:dyDescent="0.25">
      <c r="A574" s="1222">
        <v>573</v>
      </c>
      <c r="B574" s="1222" t="s">
        <v>1618</v>
      </c>
      <c r="C574" s="1307" t="s">
        <v>1650</v>
      </c>
      <c r="D574" s="1307" t="s">
        <v>1647</v>
      </c>
      <c r="E574" s="1303" t="s">
        <v>1479</v>
      </c>
    </row>
    <row r="575" spans="1:5" x14ac:dyDescent="0.25">
      <c r="A575" s="1222">
        <v>574</v>
      </c>
      <c r="B575" s="1222" t="s">
        <v>1618</v>
      </c>
      <c r="C575" s="1307" t="s">
        <v>1650</v>
      </c>
      <c r="D575" s="1307" t="s">
        <v>1647</v>
      </c>
      <c r="E575" s="1303" t="s">
        <v>1480</v>
      </c>
    </row>
    <row r="576" spans="1:5" x14ac:dyDescent="0.25">
      <c r="A576" s="1222">
        <v>575</v>
      </c>
      <c r="B576" s="1222" t="s">
        <v>1618</v>
      </c>
      <c r="C576" s="1307" t="s">
        <v>1650</v>
      </c>
      <c r="D576" s="1307" t="s">
        <v>1647</v>
      </c>
      <c r="E576" s="1303" t="s">
        <v>1496</v>
      </c>
    </row>
    <row r="577" spans="1:5" x14ac:dyDescent="0.25">
      <c r="A577" s="1222">
        <v>576</v>
      </c>
      <c r="B577" s="1222" t="s">
        <v>1618</v>
      </c>
      <c r="C577" s="1307" t="s">
        <v>1650</v>
      </c>
      <c r="D577" s="1307" t="s">
        <v>1510</v>
      </c>
      <c r="E577" s="1303" t="s">
        <v>1481</v>
      </c>
    </row>
    <row r="578" spans="1:5" x14ac:dyDescent="0.25">
      <c r="A578" s="1222">
        <v>577</v>
      </c>
      <c r="B578" s="1222" t="s">
        <v>1618</v>
      </c>
      <c r="C578" s="1307" t="s">
        <v>1650</v>
      </c>
      <c r="D578" s="1307" t="s">
        <v>1647</v>
      </c>
      <c r="E578" s="1303" t="s">
        <v>1588</v>
      </c>
    </row>
    <row r="579" spans="1:5" x14ac:dyDescent="0.25">
      <c r="A579" s="1222">
        <v>578</v>
      </c>
      <c r="B579" s="1222" t="s">
        <v>1618</v>
      </c>
      <c r="C579" s="1307" t="s">
        <v>1650</v>
      </c>
      <c r="D579" s="1307" t="s">
        <v>1647</v>
      </c>
      <c r="E579" s="1303" t="s">
        <v>1589</v>
      </c>
    </row>
    <row r="580" spans="1:5" x14ac:dyDescent="0.25">
      <c r="A580" s="1222">
        <v>579</v>
      </c>
      <c r="B580" s="1222" t="s">
        <v>1618</v>
      </c>
      <c r="C580" s="1307" t="s">
        <v>1650</v>
      </c>
      <c r="D580" s="1307" t="s">
        <v>1510</v>
      </c>
      <c r="E580" s="1303" t="s">
        <v>1590</v>
      </c>
    </row>
    <row r="581" spans="1:5" ht="30" x14ac:dyDescent="0.25">
      <c r="A581" s="1222">
        <v>580</v>
      </c>
      <c r="B581" s="1222" t="s">
        <v>1618</v>
      </c>
      <c r="C581" s="1307" t="s">
        <v>1650</v>
      </c>
      <c r="D581" s="1307" t="s">
        <v>1646</v>
      </c>
      <c r="E581" s="1303" t="s">
        <v>1484</v>
      </c>
    </row>
    <row r="582" spans="1:5" ht="30" x14ac:dyDescent="0.25">
      <c r="A582" s="1222">
        <v>581</v>
      </c>
      <c r="B582" s="1222" t="s">
        <v>1618</v>
      </c>
      <c r="C582" s="1307" t="s">
        <v>1650</v>
      </c>
      <c r="D582" s="1307" t="s">
        <v>1646</v>
      </c>
      <c r="E582" s="1303" t="s">
        <v>1485</v>
      </c>
    </row>
    <row r="583" spans="1:5" ht="30" x14ac:dyDescent="0.25">
      <c r="A583" s="1222">
        <v>582</v>
      </c>
      <c r="B583" s="1222" t="s">
        <v>1618</v>
      </c>
      <c r="C583" s="1307" t="s">
        <v>1650</v>
      </c>
      <c r="D583" s="1307" t="s">
        <v>1646</v>
      </c>
      <c r="E583" s="1303" t="s">
        <v>1597</v>
      </c>
    </row>
    <row r="584" spans="1:5" x14ac:dyDescent="0.25">
      <c r="A584" s="1222">
        <v>583</v>
      </c>
      <c r="B584" s="1222" t="s">
        <v>1618</v>
      </c>
      <c r="C584" s="1307" t="s">
        <v>1650</v>
      </c>
      <c r="D584" s="1307" t="s">
        <v>1510</v>
      </c>
      <c r="E584" s="1303" t="s">
        <v>1594</v>
      </c>
    </row>
    <row r="585" spans="1:5" x14ac:dyDescent="0.25">
      <c r="A585" s="1222">
        <v>584</v>
      </c>
      <c r="B585" s="1222" t="s">
        <v>1618</v>
      </c>
      <c r="C585" s="1307" t="s">
        <v>1650</v>
      </c>
      <c r="D585" s="1307" t="s">
        <v>1647</v>
      </c>
      <c r="E585" s="1303" t="s">
        <v>1608</v>
      </c>
    </row>
    <row r="586" spans="1:5" x14ac:dyDescent="0.25">
      <c r="A586" s="1222">
        <v>585</v>
      </c>
      <c r="B586" s="1222" t="s">
        <v>1618</v>
      </c>
      <c r="C586" s="1307" t="s">
        <v>1651</v>
      </c>
      <c r="D586" s="1307" t="s">
        <v>1647</v>
      </c>
      <c r="E586" s="1303" t="s">
        <v>1486</v>
      </c>
    </row>
    <row r="587" spans="1:5" x14ac:dyDescent="0.25">
      <c r="A587" s="1222">
        <v>586</v>
      </c>
      <c r="B587" s="1222" t="s">
        <v>1618</v>
      </c>
      <c r="C587" s="1307" t="s">
        <v>1651</v>
      </c>
      <c r="D587" s="1307" t="s">
        <v>1647</v>
      </c>
      <c r="E587" s="1303" t="s">
        <v>1487</v>
      </c>
    </row>
    <row r="588" spans="1:5" x14ac:dyDescent="0.25">
      <c r="A588" s="1222">
        <v>587</v>
      </c>
      <c r="B588" s="1222" t="s">
        <v>1618</v>
      </c>
      <c r="C588" s="1307" t="s">
        <v>1651</v>
      </c>
      <c r="D588" s="1307" t="s">
        <v>1647</v>
      </c>
      <c r="E588" s="1303" t="s">
        <v>1488</v>
      </c>
    </row>
    <row r="589" spans="1:5" x14ac:dyDescent="0.25">
      <c r="A589" s="1222">
        <v>588</v>
      </c>
      <c r="B589" s="1222" t="s">
        <v>1618</v>
      </c>
      <c r="C589" s="1307" t="s">
        <v>1650</v>
      </c>
      <c r="D589" s="1307" t="s">
        <v>1647</v>
      </c>
      <c r="E589" s="1303" t="s">
        <v>1610</v>
      </c>
    </row>
    <row r="590" spans="1:5" x14ac:dyDescent="0.25">
      <c r="A590" s="1222">
        <v>589</v>
      </c>
      <c r="B590" s="1222" t="s">
        <v>1618</v>
      </c>
      <c r="C590" s="1307" t="s">
        <v>1652</v>
      </c>
      <c r="D590" s="1307" t="s">
        <v>1615</v>
      </c>
      <c r="E590" s="1303" t="s">
        <v>1593</v>
      </c>
    </row>
    <row r="591" spans="1:5" x14ac:dyDescent="0.25">
      <c r="A591" s="1222">
        <v>590</v>
      </c>
      <c r="B591" s="1222" t="s">
        <v>1618</v>
      </c>
      <c r="C591" s="1307" t="s">
        <v>1652</v>
      </c>
      <c r="D591" s="1307" t="s">
        <v>1510</v>
      </c>
      <c r="E591" s="1303" t="s">
        <v>1809</v>
      </c>
    </row>
    <row r="592" spans="1:5" x14ac:dyDescent="0.25">
      <c r="A592" s="1222">
        <v>591</v>
      </c>
      <c r="B592" s="1222" t="s">
        <v>1618</v>
      </c>
      <c r="C592" s="1307" t="s">
        <v>1652</v>
      </c>
      <c r="D592" s="1307" t="s">
        <v>1615</v>
      </c>
      <c r="E592" s="1303" t="s">
        <v>1482</v>
      </c>
    </row>
    <row r="593" spans="1:5" x14ac:dyDescent="0.25">
      <c r="A593" s="1222">
        <v>592</v>
      </c>
      <c r="B593" s="1222" t="s">
        <v>1618</v>
      </c>
      <c r="C593" s="1307" t="s">
        <v>1652</v>
      </c>
      <c r="D593" s="1307" t="s">
        <v>1615</v>
      </c>
      <c r="E593" s="1303" t="s">
        <v>1479</v>
      </c>
    </row>
    <row r="594" spans="1:5" x14ac:dyDescent="0.25">
      <c r="A594" s="1222">
        <v>593</v>
      </c>
      <c r="B594" s="1222" t="s">
        <v>1618</v>
      </c>
      <c r="C594" s="1307" t="s">
        <v>1652</v>
      </c>
      <c r="D594" s="1307" t="s">
        <v>1615</v>
      </c>
      <c r="E594" s="1303" t="s">
        <v>1480</v>
      </c>
    </row>
    <row r="595" spans="1:5" x14ac:dyDescent="0.25">
      <c r="A595" s="1222">
        <v>594</v>
      </c>
      <c r="B595" s="1222" t="s">
        <v>1618</v>
      </c>
      <c r="C595" s="1307" t="s">
        <v>1652</v>
      </c>
      <c r="D595" s="1307" t="s">
        <v>1615</v>
      </c>
      <c r="E595" s="1303" t="s">
        <v>1496</v>
      </c>
    </row>
    <row r="596" spans="1:5" x14ac:dyDescent="0.25">
      <c r="A596" s="1222">
        <v>595</v>
      </c>
      <c r="B596" s="1222" t="s">
        <v>1618</v>
      </c>
      <c r="C596" s="1307" t="s">
        <v>1652</v>
      </c>
      <c r="D596" s="1307" t="s">
        <v>1615</v>
      </c>
      <c r="E596" s="1303" t="s">
        <v>1481</v>
      </c>
    </row>
    <row r="597" spans="1:5" x14ac:dyDescent="0.25">
      <c r="A597" s="1222">
        <v>596</v>
      </c>
      <c r="B597" s="1222" t="s">
        <v>1618</v>
      </c>
      <c r="C597" s="1307" t="s">
        <v>1652</v>
      </c>
      <c r="D597" s="1307" t="s">
        <v>1615</v>
      </c>
      <c r="E597" s="1303" t="s">
        <v>1588</v>
      </c>
    </row>
    <row r="598" spans="1:5" x14ac:dyDescent="0.25">
      <c r="A598" s="1222">
        <v>597</v>
      </c>
      <c r="B598" s="1222" t="s">
        <v>1618</v>
      </c>
      <c r="C598" s="1307" t="s">
        <v>1652</v>
      </c>
      <c r="D598" s="1307" t="s">
        <v>1615</v>
      </c>
      <c r="E598" s="1303" t="s">
        <v>1589</v>
      </c>
    </row>
    <row r="599" spans="1:5" x14ac:dyDescent="0.25">
      <c r="A599" s="1222">
        <v>598</v>
      </c>
      <c r="B599" s="1222" t="s">
        <v>1618</v>
      </c>
      <c r="C599" s="1307" t="s">
        <v>1652</v>
      </c>
      <c r="D599" s="1307" t="s">
        <v>1510</v>
      </c>
      <c r="E599" s="1303" t="s">
        <v>1590</v>
      </c>
    </row>
    <row r="600" spans="1:5" ht="30" x14ac:dyDescent="0.25">
      <c r="A600" s="1222">
        <v>599</v>
      </c>
      <c r="B600" s="1222" t="s">
        <v>1618</v>
      </c>
      <c r="C600" s="1307" t="s">
        <v>1652</v>
      </c>
      <c r="D600" s="1307" t="s">
        <v>1646</v>
      </c>
      <c r="E600" s="1303" t="s">
        <v>1484</v>
      </c>
    </row>
    <row r="601" spans="1:5" ht="30" x14ac:dyDescent="0.25">
      <c r="A601" s="1222">
        <v>600</v>
      </c>
      <c r="B601" s="1222" t="s">
        <v>1618</v>
      </c>
      <c r="C601" s="1307" t="s">
        <v>1652</v>
      </c>
      <c r="D601" s="1307" t="s">
        <v>1646</v>
      </c>
      <c r="E601" s="1303" t="s">
        <v>1485</v>
      </c>
    </row>
    <row r="602" spans="1:5" ht="30" x14ac:dyDescent="0.25">
      <c r="A602" s="1222">
        <v>601</v>
      </c>
      <c r="B602" s="1222" t="s">
        <v>1618</v>
      </c>
      <c r="C602" s="1307" t="s">
        <v>1652</v>
      </c>
      <c r="D602" s="1307" t="s">
        <v>1646</v>
      </c>
      <c r="E602" s="1303" t="s">
        <v>1597</v>
      </c>
    </row>
    <row r="603" spans="1:5" x14ac:dyDescent="0.25">
      <c r="A603" s="1222">
        <v>602</v>
      </c>
      <c r="B603" s="1222" t="s">
        <v>1618</v>
      </c>
      <c r="C603" s="1307" t="s">
        <v>1652</v>
      </c>
      <c r="D603" s="1307" t="s">
        <v>1510</v>
      </c>
      <c r="E603" s="1303" t="s">
        <v>1594</v>
      </c>
    </row>
    <row r="604" spans="1:5" x14ac:dyDescent="0.25">
      <c r="A604" s="1222">
        <v>603</v>
      </c>
      <c r="B604" s="1222" t="s">
        <v>1618</v>
      </c>
      <c r="C604" s="1307" t="s">
        <v>1652</v>
      </c>
      <c r="D604" s="1307" t="s">
        <v>1615</v>
      </c>
      <c r="E604" s="1303" t="s">
        <v>1608</v>
      </c>
    </row>
    <row r="605" spans="1:5" x14ac:dyDescent="0.25">
      <c r="A605" s="1222">
        <v>604</v>
      </c>
      <c r="B605" s="1222" t="s">
        <v>1618</v>
      </c>
      <c r="C605" s="1307" t="s">
        <v>1653</v>
      </c>
      <c r="D605" s="1307" t="s">
        <v>1615</v>
      </c>
      <c r="E605" s="1303" t="s">
        <v>1486</v>
      </c>
    </row>
    <row r="606" spans="1:5" x14ac:dyDescent="0.25">
      <c r="A606" s="1222">
        <v>605</v>
      </c>
      <c r="B606" s="1222" t="s">
        <v>1618</v>
      </c>
      <c r="C606" s="1307" t="s">
        <v>1653</v>
      </c>
      <c r="D606" s="1307" t="s">
        <v>1615</v>
      </c>
      <c r="E606" s="1303" t="s">
        <v>1487</v>
      </c>
    </row>
    <row r="607" spans="1:5" x14ac:dyDescent="0.25">
      <c r="A607" s="1222">
        <v>606</v>
      </c>
      <c r="B607" s="1222" t="s">
        <v>1618</v>
      </c>
      <c r="C607" s="1307" t="s">
        <v>1653</v>
      </c>
      <c r="D607" s="1307" t="s">
        <v>1615</v>
      </c>
      <c r="E607" s="1303" t="s">
        <v>1488</v>
      </c>
    </row>
    <row r="608" spans="1:5" x14ac:dyDescent="0.25">
      <c r="A608" s="1222">
        <v>607</v>
      </c>
      <c r="B608" s="1222" t="s">
        <v>1618</v>
      </c>
      <c r="C608" s="1307" t="s">
        <v>1654</v>
      </c>
      <c r="D608" s="1307" t="s">
        <v>1615</v>
      </c>
      <c r="E608" s="1303" t="s">
        <v>1486</v>
      </c>
    </row>
    <row r="609" spans="1:5" x14ac:dyDescent="0.25">
      <c r="A609" s="1222">
        <v>608</v>
      </c>
      <c r="B609" s="1222" t="s">
        <v>1618</v>
      </c>
      <c r="C609" s="1307" t="s">
        <v>1654</v>
      </c>
      <c r="D609" s="1307" t="s">
        <v>1615</v>
      </c>
      <c r="E609" s="1303" t="s">
        <v>1487</v>
      </c>
    </row>
    <row r="610" spans="1:5" x14ac:dyDescent="0.25">
      <c r="A610" s="1222">
        <v>609</v>
      </c>
      <c r="B610" s="1222" t="s">
        <v>1618</v>
      </c>
      <c r="C610" s="1307" t="s">
        <v>1654</v>
      </c>
      <c r="D610" s="1307" t="s">
        <v>1615</v>
      </c>
      <c r="E610" s="1303" t="s">
        <v>1488</v>
      </c>
    </row>
    <row r="611" spans="1:5" x14ac:dyDescent="0.25">
      <c r="A611" s="1222">
        <v>610</v>
      </c>
      <c r="B611" s="1222" t="s">
        <v>1618</v>
      </c>
      <c r="C611" s="1307" t="s">
        <v>1655</v>
      </c>
      <c r="D611" s="1307" t="s">
        <v>1615</v>
      </c>
      <c r="E611" s="1303" t="s">
        <v>1486</v>
      </c>
    </row>
    <row r="612" spans="1:5" x14ac:dyDescent="0.25">
      <c r="A612" s="1222">
        <v>611</v>
      </c>
      <c r="B612" s="1222" t="s">
        <v>1618</v>
      </c>
      <c r="C612" s="1307" t="s">
        <v>1655</v>
      </c>
      <c r="D612" s="1307" t="s">
        <v>1615</v>
      </c>
      <c r="E612" s="1303" t="s">
        <v>1487</v>
      </c>
    </row>
    <row r="613" spans="1:5" x14ac:dyDescent="0.25">
      <c r="A613" s="1222">
        <v>612</v>
      </c>
      <c r="B613" s="1222" t="s">
        <v>1618</v>
      </c>
      <c r="C613" s="1307" t="s">
        <v>1655</v>
      </c>
      <c r="D613" s="1307" t="s">
        <v>1615</v>
      </c>
      <c r="E613" s="1303" t="s">
        <v>1488</v>
      </c>
    </row>
    <row r="614" spans="1:5" x14ac:dyDescent="0.25">
      <c r="A614" s="1222">
        <v>613</v>
      </c>
      <c r="B614" s="1222" t="s">
        <v>1618</v>
      </c>
      <c r="C614" s="1307" t="s">
        <v>1656</v>
      </c>
      <c r="D614" s="1307" t="s">
        <v>1615</v>
      </c>
      <c r="E614" s="1303" t="s">
        <v>1486</v>
      </c>
    </row>
    <row r="615" spans="1:5" x14ac:dyDescent="0.25">
      <c r="A615" s="1222">
        <v>614</v>
      </c>
      <c r="B615" s="1222" t="s">
        <v>1618</v>
      </c>
      <c r="C615" s="1307" t="s">
        <v>1656</v>
      </c>
      <c r="D615" s="1307" t="s">
        <v>1615</v>
      </c>
      <c r="E615" s="1303" t="s">
        <v>1487</v>
      </c>
    </row>
    <row r="616" spans="1:5" x14ac:dyDescent="0.25">
      <c r="A616" s="1222">
        <v>615</v>
      </c>
      <c r="B616" s="1222" t="s">
        <v>1618</v>
      </c>
      <c r="C616" s="1307" t="s">
        <v>1656</v>
      </c>
      <c r="D616" s="1307" t="s">
        <v>1615</v>
      </c>
      <c r="E616" s="1303" t="s">
        <v>1488</v>
      </c>
    </row>
    <row r="617" spans="1:5" x14ac:dyDescent="0.25">
      <c r="A617" s="1222">
        <v>616</v>
      </c>
      <c r="B617" s="1222" t="s">
        <v>1618</v>
      </c>
      <c r="C617" s="1307" t="s">
        <v>1657</v>
      </c>
      <c r="D617" s="1307" t="s">
        <v>1615</v>
      </c>
      <c r="E617" s="1303" t="s">
        <v>1486</v>
      </c>
    </row>
    <row r="618" spans="1:5" x14ac:dyDescent="0.25">
      <c r="A618" s="1222">
        <v>617</v>
      </c>
      <c r="B618" s="1222" t="s">
        <v>1618</v>
      </c>
      <c r="C618" s="1307" t="s">
        <v>1657</v>
      </c>
      <c r="D618" s="1307" t="s">
        <v>1615</v>
      </c>
      <c r="E618" s="1303" t="s">
        <v>1487</v>
      </c>
    </row>
    <row r="619" spans="1:5" x14ac:dyDescent="0.25">
      <c r="A619" s="1222">
        <v>618</v>
      </c>
      <c r="B619" s="1222" t="s">
        <v>1618</v>
      </c>
      <c r="C619" s="1307" t="s">
        <v>1657</v>
      </c>
      <c r="D619" s="1307" t="s">
        <v>1615</v>
      </c>
      <c r="E619" s="1303" t="s">
        <v>1488</v>
      </c>
    </row>
    <row r="620" spans="1:5" x14ac:dyDescent="0.25">
      <c r="A620" s="1222">
        <v>619</v>
      </c>
      <c r="B620" s="1222" t="s">
        <v>1618</v>
      </c>
      <c r="C620" s="1307" t="s">
        <v>1652</v>
      </c>
      <c r="D620" s="1307" t="s">
        <v>1610</v>
      </c>
      <c r="E620" s="1303" t="s">
        <v>1610</v>
      </c>
    </row>
    <row r="621" spans="1:5" x14ac:dyDescent="0.25">
      <c r="A621" s="1222">
        <v>620</v>
      </c>
      <c r="B621" s="1222" t="s">
        <v>1618</v>
      </c>
      <c r="C621" s="1307" t="s">
        <v>1658</v>
      </c>
      <c r="D621" s="1307" t="s">
        <v>1615</v>
      </c>
      <c r="E621" s="1303" t="s">
        <v>1593</v>
      </c>
    </row>
    <row r="622" spans="1:5" x14ac:dyDescent="0.25">
      <c r="A622" s="1222">
        <v>621</v>
      </c>
      <c r="B622" s="1222" t="s">
        <v>1618</v>
      </c>
      <c r="C622" s="1307" t="s">
        <v>1658</v>
      </c>
      <c r="D622" s="1307" t="s">
        <v>1510</v>
      </c>
      <c r="E622" s="1303" t="s">
        <v>1809</v>
      </c>
    </row>
    <row r="623" spans="1:5" x14ac:dyDescent="0.25">
      <c r="A623" s="1222">
        <v>622</v>
      </c>
      <c r="B623" s="1222" t="s">
        <v>1618</v>
      </c>
      <c r="C623" s="1307" t="s">
        <v>1658</v>
      </c>
      <c r="D623" s="1307" t="s">
        <v>1615</v>
      </c>
      <c r="E623" s="1303" t="s">
        <v>1482</v>
      </c>
    </row>
    <row r="624" spans="1:5" x14ac:dyDescent="0.25">
      <c r="A624" s="1222">
        <v>623</v>
      </c>
      <c r="B624" s="1222" t="s">
        <v>1618</v>
      </c>
      <c r="C624" s="1307" t="s">
        <v>1658</v>
      </c>
      <c r="D624" s="1307" t="s">
        <v>1615</v>
      </c>
      <c r="E624" s="1303" t="s">
        <v>1479</v>
      </c>
    </row>
    <row r="625" spans="1:5" x14ac:dyDescent="0.25">
      <c r="A625" s="1222">
        <v>624</v>
      </c>
      <c r="B625" s="1222" t="s">
        <v>1618</v>
      </c>
      <c r="C625" s="1307" t="s">
        <v>1658</v>
      </c>
      <c r="D625" s="1307" t="s">
        <v>1615</v>
      </c>
      <c r="E625" s="1303" t="s">
        <v>1480</v>
      </c>
    </row>
    <row r="626" spans="1:5" x14ac:dyDescent="0.25">
      <c r="A626" s="1222">
        <v>625</v>
      </c>
      <c r="B626" s="1222" t="s">
        <v>1618</v>
      </c>
      <c r="C626" s="1307" t="s">
        <v>1658</v>
      </c>
      <c r="D626" s="1307" t="s">
        <v>1615</v>
      </c>
      <c r="E626" s="1303" t="s">
        <v>1496</v>
      </c>
    </row>
    <row r="627" spans="1:5" x14ac:dyDescent="0.25">
      <c r="A627" s="1222">
        <v>626</v>
      </c>
      <c r="B627" s="1222" t="s">
        <v>1618</v>
      </c>
      <c r="C627" s="1307" t="s">
        <v>1658</v>
      </c>
      <c r="D627" s="1307" t="s">
        <v>1615</v>
      </c>
      <c r="E627" s="1303" t="s">
        <v>1481</v>
      </c>
    </row>
    <row r="628" spans="1:5" x14ac:dyDescent="0.25">
      <c r="A628" s="1222">
        <v>627</v>
      </c>
      <c r="B628" s="1222" t="s">
        <v>1618</v>
      </c>
      <c r="C628" s="1307" t="s">
        <v>1658</v>
      </c>
      <c r="D628" s="1307" t="s">
        <v>1615</v>
      </c>
      <c r="E628" s="1303" t="s">
        <v>1588</v>
      </c>
    </row>
    <row r="629" spans="1:5" x14ac:dyDescent="0.25">
      <c r="A629" s="1222">
        <v>628</v>
      </c>
      <c r="B629" s="1222" t="s">
        <v>1618</v>
      </c>
      <c r="C629" s="1307" t="s">
        <v>1658</v>
      </c>
      <c r="D629" s="1307" t="s">
        <v>1615</v>
      </c>
      <c r="E629" s="1303" t="s">
        <v>1589</v>
      </c>
    </row>
    <row r="630" spans="1:5" x14ac:dyDescent="0.25">
      <c r="A630" s="1222">
        <v>629</v>
      </c>
      <c r="B630" s="1222" t="s">
        <v>1618</v>
      </c>
      <c r="C630" s="1307" t="s">
        <v>1658</v>
      </c>
      <c r="D630" s="1307" t="s">
        <v>1510</v>
      </c>
      <c r="E630" s="1303" t="s">
        <v>1590</v>
      </c>
    </row>
    <row r="631" spans="1:5" ht="30" x14ac:dyDescent="0.25">
      <c r="A631" s="1222">
        <v>630</v>
      </c>
      <c r="B631" s="1222" t="s">
        <v>1618</v>
      </c>
      <c r="C631" s="1307" t="s">
        <v>1658</v>
      </c>
      <c r="D631" s="1307" t="s">
        <v>1646</v>
      </c>
      <c r="E631" s="1303" t="s">
        <v>1484</v>
      </c>
    </row>
    <row r="632" spans="1:5" ht="30" x14ac:dyDescent="0.25">
      <c r="A632" s="1222">
        <v>631</v>
      </c>
      <c r="B632" s="1222" t="s">
        <v>1618</v>
      </c>
      <c r="C632" s="1307" t="s">
        <v>1658</v>
      </c>
      <c r="D632" s="1307" t="s">
        <v>1646</v>
      </c>
      <c r="E632" s="1303" t="s">
        <v>1485</v>
      </c>
    </row>
    <row r="633" spans="1:5" ht="30" x14ac:dyDescent="0.25">
      <c r="A633" s="1222">
        <v>632</v>
      </c>
      <c r="B633" s="1222" t="s">
        <v>1618</v>
      </c>
      <c r="C633" s="1307" t="s">
        <v>1658</v>
      </c>
      <c r="D633" s="1307" t="s">
        <v>1646</v>
      </c>
      <c r="E633" s="1303" t="s">
        <v>1597</v>
      </c>
    </row>
    <row r="634" spans="1:5" x14ac:dyDescent="0.25">
      <c r="A634" s="1222">
        <v>633</v>
      </c>
      <c r="B634" s="1222" t="s">
        <v>1618</v>
      </c>
      <c r="C634" s="1307" t="s">
        <v>1658</v>
      </c>
      <c r="D634" s="1307" t="s">
        <v>1510</v>
      </c>
      <c r="E634" s="1303" t="s">
        <v>1594</v>
      </c>
    </row>
    <row r="635" spans="1:5" x14ac:dyDescent="0.25">
      <c r="A635" s="1222">
        <v>634</v>
      </c>
      <c r="B635" s="1222" t="s">
        <v>1618</v>
      </c>
      <c r="C635" s="1307" t="s">
        <v>1658</v>
      </c>
      <c r="D635" s="1307" t="s">
        <v>1615</v>
      </c>
      <c r="E635" s="1303" t="s">
        <v>1608</v>
      </c>
    </row>
    <row r="636" spans="1:5" x14ac:dyDescent="0.25">
      <c r="A636" s="1222">
        <v>635</v>
      </c>
      <c r="B636" s="1222" t="s">
        <v>1618</v>
      </c>
      <c r="C636" s="1307" t="s">
        <v>1659</v>
      </c>
      <c r="D636" s="1307" t="s">
        <v>1615</v>
      </c>
      <c r="E636" s="1303" t="s">
        <v>1486</v>
      </c>
    </row>
    <row r="637" spans="1:5" x14ac:dyDescent="0.25">
      <c r="A637" s="1222">
        <v>636</v>
      </c>
      <c r="B637" s="1222" t="s">
        <v>1618</v>
      </c>
      <c r="C637" s="1307" t="s">
        <v>1659</v>
      </c>
      <c r="D637" s="1307" t="s">
        <v>1615</v>
      </c>
      <c r="E637" s="1303" t="s">
        <v>1487</v>
      </c>
    </row>
    <row r="638" spans="1:5" x14ac:dyDescent="0.25">
      <c r="A638" s="1222">
        <v>637</v>
      </c>
      <c r="B638" s="1222" t="s">
        <v>1618</v>
      </c>
      <c r="C638" s="1307" t="s">
        <v>1659</v>
      </c>
      <c r="D638" s="1307" t="s">
        <v>1615</v>
      </c>
      <c r="E638" s="1303" t="s">
        <v>1488</v>
      </c>
    </row>
    <row r="639" spans="1:5" x14ac:dyDescent="0.25">
      <c r="A639" s="1222">
        <v>638</v>
      </c>
      <c r="B639" s="1222" t="s">
        <v>1618</v>
      </c>
      <c r="C639" s="1307" t="s">
        <v>1660</v>
      </c>
      <c r="D639" s="1307" t="s">
        <v>1615</v>
      </c>
      <c r="E639" s="1303" t="s">
        <v>1486</v>
      </c>
    </row>
    <row r="640" spans="1:5" x14ac:dyDescent="0.25">
      <c r="A640" s="1222">
        <v>639</v>
      </c>
      <c r="B640" s="1222" t="s">
        <v>1618</v>
      </c>
      <c r="C640" s="1307" t="s">
        <v>1660</v>
      </c>
      <c r="D640" s="1307" t="s">
        <v>1615</v>
      </c>
      <c r="E640" s="1303" t="s">
        <v>1487</v>
      </c>
    </row>
    <row r="641" spans="1:5" x14ac:dyDescent="0.25">
      <c r="A641" s="1222">
        <v>640</v>
      </c>
      <c r="B641" s="1222" t="s">
        <v>1618</v>
      </c>
      <c r="C641" s="1307" t="s">
        <v>1660</v>
      </c>
      <c r="D641" s="1307" t="s">
        <v>1615</v>
      </c>
      <c r="E641" s="1303" t="s">
        <v>1488</v>
      </c>
    </row>
    <row r="642" spans="1:5" x14ac:dyDescent="0.25">
      <c r="A642" s="1222">
        <v>641</v>
      </c>
      <c r="B642" s="1222" t="s">
        <v>1618</v>
      </c>
      <c r="C642" s="1307" t="s">
        <v>1661</v>
      </c>
      <c r="D642" s="1307" t="s">
        <v>1615</v>
      </c>
      <c r="E642" s="1303" t="s">
        <v>1486</v>
      </c>
    </row>
    <row r="643" spans="1:5" x14ac:dyDescent="0.25">
      <c r="A643" s="1222">
        <v>642</v>
      </c>
      <c r="B643" s="1222" t="s">
        <v>1618</v>
      </c>
      <c r="C643" s="1307" t="s">
        <v>1661</v>
      </c>
      <c r="D643" s="1307" t="s">
        <v>1615</v>
      </c>
      <c r="E643" s="1303" t="s">
        <v>1487</v>
      </c>
    </row>
    <row r="644" spans="1:5" x14ac:dyDescent="0.25">
      <c r="A644" s="1222">
        <v>643</v>
      </c>
      <c r="B644" s="1222" t="s">
        <v>1618</v>
      </c>
      <c r="C644" s="1307" t="s">
        <v>1661</v>
      </c>
      <c r="D644" s="1307" t="s">
        <v>1615</v>
      </c>
      <c r="E644" s="1303" t="s">
        <v>1488</v>
      </c>
    </row>
    <row r="645" spans="1:5" x14ac:dyDescent="0.25">
      <c r="A645" s="1222">
        <v>644</v>
      </c>
      <c r="B645" s="1222" t="s">
        <v>1618</v>
      </c>
      <c r="C645" s="1307" t="s">
        <v>1662</v>
      </c>
      <c r="D645" s="1307" t="s">
        <v>1615</v>
      </c>
      <c r="E645" s="1303" t="s">
        <v>1486</v>
      </c>
    </row>
    <row r="646" spans="1:5" x14ac:dyDescent="0.25">
      <c r="A646" s="1222">
        <v>645</v>
      </c>
      <c r="B646" s="1222" t="s">
        <v>1618</v>
      </c>
      <c r="C646" s="1307" t="s">
        <v>1662</v>
      </c>
      <c r="D646" s="1307" t="s">
        <v>1615</v>
      </c>
      <c r="E646" s="1303" t="s">
        <v>1487</v>
      </c>
    </row>
    <row r="647" spans="1:5" x14ac:dyDescent="0.25">
      <c r="A647" s="1222">
        <v>646</v>
      </c>
      <c r="B647" s="1222" t="s">
        <v>1618</v>
      </c>
      <c r="C647" s="1307" t="s">
        <v>1662</v>
      </c>
      <c r="D647" s="1307" t="s">
        <v>1615</v>
      </c>
      <c r="E647" s="1303" t="s">
        <v>1488</v>
      </c>
    </row>
    <row r="648" spans="1:5" x14ac:dyDescent="0.25">
      <c r="A648" s="1222">
        <v>647</v>
      </c>
      <c r="B648" s="1222" t="s">
        <v>1618</v>
      </c>
      <c r="C648" s="1307" t="s">
        <v>1663</v>
      </c>
      <c r="D648" s="1307" t="s">
        <v>1615</v>
      </c>
      <c r="E648" s="1303" t="s">
        <v>1486</v>
      </c>
    </row>
    <row r="649" spans="1:5" x14ac:dyDescent="0.25">
      <c r="A649" s="1222">
        <v>648</v>
      </c>
      <c r="B649" s="1222" t="s">
        <v>1618</v>
      </c>
      <c r="C649" s="1307" t="s">
        <v>1663</v>
      </c>
      <c r="D649" s="1307" t="s">
        <v>1615</v>
      </c>
      <c r="E649" s="1303" t="s">
        <v>1487</v>
      </c>
    </row>
    <row r="650" spans="1:5" x14ac:dyDescent="0.25">
      <c r="A650" s="1222">
        <v>649</v>
      </c>
      <c r="B650" s="1222" t="s">
        <v>1618</v>
      </c>
      <c r="C650" s="1307" t="s">
        <v>1663</v>
      </c>
      <c r="D650" s="1307" t="s">
        <v>1615</v>
      </c>
      <c r="E650" s="1303" t="s">
        <v>1488</v>
      </c>
    </row>
    <row r="651" spans="1:5" x14ac:dyDescent="0.25">
      <c r="A651" s="1222">
        <v>650</v>
      </c>
      <c r="B651" s="1222" t="s">
        <v>1618</v>
      </c>
      <c r="C651" s="1307" t="s">
        <v>1658</v>
      </c>
      <c r="D651" s="1307" t="s">
        <v>1610</v>
      </c>
      <c r="E651" s="1303" t="s">
        <v>1610</v>
      </c>
    </row>
    <row r="652" spans="1:5" x14ac:dyDescent="0.25">
      <c r="A652" s="1222">
        <v>651</v>
      </c>
      <c r="B652" s="1222" t="s">
        <v>1618</v>
      </c>
      <c r="C652" s="1307" t="s">
        <v>1664</v>
      </c>
      <c r="D652" s="1307" t="s">
        <v>1624</v>
      </c>
      <c r="E652" s="1303" t="s">
        <v>1593</v>
      </c>
    </row>
    <row r="653" spans="1:5" x14ac:dyDescent="0.25">
      <c r="A653" s="1222">
        <v>652</v>
      </c>
      <c r="B653" s="1222" t="s">
        <v>1618</v>
      </c>
      <c r="C653" s="1307" t="s">
        <v>1664</v>
      </c>
      <c r="D653" s="1307" t="s">
        <v>1510</v>
      </c>
      <c r="E653" s="1303" t="s">
        <v>1809</v>
      </c>
    </row>
    <row r="654" spans="1:5" x14ac:dyDescent="0.25">
      <c r="A654" s="1222">
        <v>653</v>
      </c>
      <c r="B654" s="1222" t="s">
        <v>1618</v>
      </c>
      <c r="C654" s="1307" t="s">
        <v>1664</v>
      </c>
      <c r="D654" s="1307" t="s">
        <v>1624</v>
      </c>
      <c r="E654" s="1303" t="s">
        <v>1482</v>
      </c>
    </row>
    <row r="655" spans="1:5" x14ac:dyDescent="0.25">
      <c r="A655" s="1222">
        <v>654</v>
      </c>
      <c r="B655" s="1222" t="s">
        <v>1618</v>
      </c>
      <c r="C655" s="1307" t="s">
        <v>1664</v>
      </c>
      <c r="D655" s="1307" t="s">
        <v>1624</v>
      </c>
      <c r="E655" s="1303" t="s">
        <v>1479</v>
      </c>
    </row>
    <row r="656" spans="1:5" x14ac:dyDescent="0.25">
      <c r="A656" s="1222">
        <v>655</v>
      </c>
      <c r="B656" s="1222" t="s">
        <v>1618</v>
      </c>
      <c r="C656" s="1307" t="s">
        <v>1664</v>
      </c>
      <c r="D656" s="1307" t="s">
        <v>1624</v>
      </c>
      <c r="E656" s="1303" t="s">
        <v>1480</v>
      </c>
    </row>
    <row r="657" spans="1:5" x14ac:dyDescent="0.25">
      <c r="A657" s="1222">
        <v>656</v>
      </c>
      <c r="B657" s="1222" t="s">
        <v>1618</v>
      </c>
      <c r="C657" s="1307" t="s">
        <v>1664</v>
      </c>
      <c r="D657" s="1307" t="s">
        <v>1624</v>
      </c>
      <c r="E657" s="1303" t="s">
        <v>1496</v>
      </c>
    </row>
    <row r="658" spans="1:5" x14ac:dyDescent="0.25">
      <c r="A658" s="1222">
        <v>657</v>
      </c>
      <c r="B658" s="1222" t="s">
        <v>1618</v>
      </c>
      <c r="C658" s="1307" t="s">
        <v>1664</v>
      </c>
      <c r="D658" s="1307" t="s">
        <v>1624</v>
      </c>
      <c r="E658" s="1303" t="s">
        <v>1481</v>
      </c>
    </row>
    <row r="659" spans="1:5" x14ac:dyDescent="0.25">
      <c r="A659" s="1222">
        <v>658</v>
      </c>
      <c r="B659" s="1222" t="s">
        <v>1618</v>
      </c>
      <c r="C659" s="1307" t="s">
        <v>1664</v>
      </c>
      <c r="D659" s="1307" t="s">
        <v>1624</v>
      </c>
      <c r="E659" s="1303" t="s">
        <v>1588</v>
      </c>
    </row>
    <row r="660" spans="1:5" x14ac:dyDescent="0.25">
      <c r="A660" s="1222">
        <v>659</v>
      </c>
      <c r="B660" s="1222" t="s">
        <v>1618</v>
      </c>
      <c r="C660" s="1307" t="s">
        <v>1664</v>
      </c>
      <c r="D660" s="1307" t="s">
        <v>1624</v>
      </c>
      <c r="E660" s="1303" t="s">
        <v>1589</v>
      </c>
    </row>
    <row r="661" spans="1:5" x14ac:dyDescent="0.25">
      <c r="A661" s="1222">
        <v>660</v>
      </c>
      <c r="B661" s="1222" t="s">
        <v>1618</v>
      </c>
      <c r="C661" s="1307" t="s">
        <v>1664</v>
      </c>
      <c r="D661" s="1307" t="s">
        <v>1510</v>
      </c>
      <c r="E661" s="1303" t="s">
        <v>1590</v>
      </c>
    </row>
    <row r="662" spans="1:5" ht="30" x14ac:dyDescent="0.25">
      <c r="A662" s="1222">
        <v>661</v>
      </c>
      <c r="B662" s="1222" t="s">
        <v>1618</v>
      </c>
      <c r="C662" s="1307" t="s">
        <v>1664</v>
      </c>
      <c r="D662" s="1307" t="s">
        <v>1646</v>
      </c>
      <c r="E662" s="1303" t="s">
        <v>1484</v>
      </c>
    </row>
    <row r="663" spans="1:5" ht="30" x14ac:dyDescent="0.25">
      <c r="A663" s="1222">
        <v>662</v>
      </c>
      <c r="B663" s="1222" t="s">
        <v>1618</v>
      </c>
      <c r="C663" s="1307" t="s">
        <v>1664</v>
      </c>
      <c r="D663" s="1307" t="s">
        <v>1646</v>
      </c>
      <c r="E663" s="1303" t="s">
        <v>1485</v>
      </c>
    </row>
    <row r="664" spans="1:5" ht="30" x14ac:dyDescent="0.25">
      <c r="A664" s="1222">
        <v>663</v>
      </c>
      <c r="B664" s="1222" t="s">
        <v>1618</v>
      </c>
      <c r="C664" s="1307" t="s">
        <v>1664</v>
      </c>
      <c r="D664" s="1307" t="s">
        <v>1646</v>
      </c>
      <c r="E664" s="1303" t="s">
        <v>1597</v>
      </c>
    </row>
    <row r="665" spans="1:5" x14ac:dyDescent="0.25">
      <c r="A665" s="1222">
        <v>664</v>
      </c>
      <c r="B665" s="1222" t="s">
        <v>1618</v>
      </c>
      <c r="C665" s="1307" t="s">
        <v>1664</v>
      </c>
      <c r="D665" s="1307" t="s">
        <v>1510</v>
      </c>
      <c r="E665" s="1303" t="s">
        <v>1594</v>
      </c>
    </row>
    <row r="666" spans="1:5" x14ac:dyDescent="0.25">
      <c r="A666" s="1222">
        <v>665</v>
      </c>
      <c r="B666" s="1222" t="s">
        <v>1618</v>
      </c>
      <c r="C666" s="1307" t="s">
        <v>1664</v>
      </c>
      <c r="D666" s="1307" t="s">
        <v>1624</v>
      </c>
      <c r="E666" s="1303" t="s">
        <v>1608</v>
      </c>
    </row>
    <row r="667" spans="1:5" x14ac:dyDescent="0.25">
      <c r="A667" s="1222">
        <v>666</v>
      </c>
      <c r="B667" s="1222" t="s">
        <v>1618</v>
      </c>
      <c r="C667" s="1307" t="s">
        <v>1665</v>
      </c>
      <c r="D667" s="1307" t="s">
        <v>1624</v>
      </c>
      <c r="E667" s="1303" t="s">
        <v>1486</v>
      </c>
    </row>
    <row r="668" spans="1:5" x14ac:dyDescent="0.25">
      <c r="A668" s="1222">
        <v>667</v>
      </c>
      <c r="B668" s="1222" t="s">
        <v>1618</v>
      </c>
      <c r="C668" s="1307" t="s">
        <v>1665</v>
      </c>
      <c r="D668" s="1307" t="s">
        <v>1624</v>
      </c>
      <c r="E668" s="1303" t="s">
        <v>1487</v>
      </c>
    </row>
    <row r="669" spans="1:5" x14ac:dyDescent="0.25">
      <c r="A669" s="1222">
        <v>668</v>
      </c>
      <c r="B669" s="1222" t="s">
        <v>1618</v>
      </c>
      <c r="C669" s="1307" t="s">
        <v>1665</v>
      </c>
      <c r="D669" s="1307" t="s">
        <v>1624</v>
      </c>
      <c r="E669" s="1303" t="s">
        <v>1488</v>
      </c>
    </row>
    <row r="670" spans="1:5" x14ac:dyDescent="0.25">
      <c r="A670" s="1222">
        <v>669</v>
      </c>
      <c r="B670" s="1222" t="s">
        <v>1618</v>
      </c>
      <c r="C670" s="1307" t="s">
        <v>1666</v>
      </c>
      <c r="D670" s="1307" t="s">
        <v>1624</v>
      </c>
      <c r="E670" s="1303" t="s">
        <v>1593</v>
      </c>
    </row>
    <row r="671" spans="1:5" x14ac:dyDescent="0.25">
      <c r="A671" s="1222">
        <v>670</v>
      </c>
      <c r="B671" s="1222" t="s">
        <v>1618</v>
      </c>
      <c r="C671" s="1307" t="s">
        <v>1666</v>
      </c>
      <c r="D671" s="1307" t="s">
        <v>1510</v>
      </c>
      <c r="E671" s="1303" t="s">
        <v>1809</v>
      </c>
    </row>
    <row r="672" spans="1:5" x14ac:dyDescent="0.25">
      <c r="A672" s="1222">
        <v>671</v>
      </c>
      <c r="B672" s="1222" t="s">
        <v>1618</v>
      </c>
      <c r="C672" s="1307" t="s">
        <v>1666</v>
      </c>
      <c r="D672" s="1307" t="s">
        <v>1624</v>
      </c>
      <c r="E672" s="1303" t="s">
        <v>1482</v>
      </c>
    </row>
    <row r="673" spans="1:5" x14ac:dyDescent="0.25">
      <c r="A673" s="1222">
        <v>672</v>
      </c>
      <c r="B673" s="1222" t="s">
        <v>1618</v>
      </c>
      <c r="C673" s="1307" t="s">
        <v>1666</v>
      </c>
      <c r="D673" s="1307" t="s">
        <v>1624</v>
      </c>
      <c r="E673" s="1303" t="s">
        <v>1479</v>
      </c>
    </row>
    <row r="674" spans="1:5" x14ac:dyDescent="0.25">
      <c r="A674" s="1222">
        <v>673</v>
      </c>
      <c r="B674" s="1222" t="s">
        <v>1618</v>
      </c>
      <c r="C674" s="1307" t="s">
        <v>1666</v>
      </c>
      <c r="D674" s="1307" t="s">
        <v>1624</v>
      </c>
      <c r="E674" s="1303" t="s">
        <v>1480</v>
      </c>
    </row>
    <row r="675" spans="1:5" x14ac:dyDescent="0.25">
      <c r="A675" s="1222">
        <v>674</v>
      </c>
      <c r="B675" s="1222" t="s">
        <v>1618</v>
      </c>
      <c r="C675" s="1307" t="s">
        <v>1666</v>
      </c>
      <c r="D675" s="1307" t="s">
        <v>1624</v>
      </c>
      <c r="E675" s="1303" t="s">
        <v>1496</v>
      </c>
    </row>
    <row r="676" spans="1:5" x14ac:dyDescent="0.25">
      <c r="A676" s="1222">
        <v>675</v>
      </c>
      <c r="B676" s="1222" t="s">
        <v>1618</v>
      </c>
      <c r="C676" s="1307" t="s">
        <v>1666</v>
      </c>
      <c r="D676" s="1307" t="s">
        <v>1624</v>
      </c>
      <c r="E676" s="1303" t="s">
        <v>1481</v>
      </c>
    </row>
    <row r="677" spans="1:5" x14ac:dyDescent="0.25">
      <c r="A677" s="1222">
        <v>676</v>
      </c>
      <c r="B677" s="1222" t="s">
        <v>1618</v>
      </c>
      <c r="C677" s="1307" t="s">
        <v>1666</v>
      </c>
      <c r="D677" s="1307" t="s">
        <v>1624</v>
      </c>
      <c r="E677" s="1303" t="s">
        <v>1588</v>
      </c>
    </row>
    <row r="678" spans="1:5" x14ac:dyDescent="0.25">
      <c r="A678" s="1222">
        <v>677</v>
      </c>
      <c r="B678" s="1222" t="s">
        <v>1618</v>
      </c>
      <c r="C678" s="1307" t="s">
        <v>1666</v>
      </c>
      <c r="D678" s="1307" t="s">
        <v>1624</v>
      </c>
      <c r="E678" s="1303" t="s">
        <v>1589</v>
      </c>
    </row>
    <row r="679" spans="1:5" x14ac:dyDescent="0.25">
      <c r="A679" s="1222">
        <v>678</v>
      </c>
      <c r="B679" s="1222" t="s">
        <v>1618</v>
      </c>
      <c r="C679" s="1307" t="s">
        <v>1666</v>
      </c>
      <c r="D679" s="1307" t="s">
        <v>1510</v>
      </c>
      <c r="E679" s="1303" t="s">
        <v>1590</v>
      </c>
    </row>
    <row r="680" spans="1:5" ht="30" x14ac:dyDescent="0.25">
      <c r="A680" s="1222">
        <v>679</v>
      </c>
      <c r="B680" s="1222" t="s">
        <v>1618</v>
      </c>
      <c r="C680" s="1307" t="s">
        <v>1666</v>
      </c>
      <c r="D680" s="1307" t="s">
        <v>1646</v>
      </c>
      <c r="E680" s="1303" t="s">
        <v>1484</v>
      </c>
    </row>
    <row r="681" spans="1:5" ht="30" x14ac:dyDescent="0.25">
      <c r="A681" s="1222">
        <v>680</v>
      </c>
      <c r="B681" s="1222" t="s">
        <v>1618</v>
      </c>
      <c r="C681" s="1307" t="s">
        <v>1666</v>
      </c>
      <c r="D681" s="1307" t="s">
        <v>1646</v>
      </c>
      <c r="E681" s="1303" t="s">
        <v>1485</v>
      </c>
    </row>
    <row r="682" spans="1:5" ht="30" x14ac:dyDescent="0.25">
      <c r="A682" s="1222">
        <v>681</v>
      </c>
      <c r="B682" s="1222" t="s">
        <v>1618</v>
      </c>
      <c r="C682" s="1307" t="s">
        <v>1666</v>
      </c>
      <c r="D682" s="1307" t="s">
        <v>1646</v>
      </c>
      <c r="E682" s="1303" t="s">
        <v>1597</v>
      </c>
    </row>
    <row r="683" spans="1:5" x14ac:dyDescent="0.25">
      <c r="A683" s="1222">
        <v>682</v>
      </c>
      <c r="B683" s="1222" t="s">
        <v>1618</v>
      </c>
      <c r="C683" s="1307" t="s">
        <v>1666</v>
      </c>
      <c r="D683" s="1307" t="s">
        <v>1510</v>
      </c>
      <c r="E683" s="1303" t="s">
        <v>1594</v>
      </c>
    </row>
    <row r="684" spans="1:5" x14ac:dyDescent="0.25">
      <c r="A684" s="1222">
        <v>683</v>
      </c>
      <c r="B684" s="1222" t="s">
        <v>1618</v>
      </c>
      <c r="C684" s="1307" t="s">
        <v>1666</v>
      </c>
      <c r="D684" s="1307" t="s">
        <v>1624</v>
      </c>
      <c r="E684" s="1303" t="s">
        <v>1608</v>
      </c>
    </row>
    <row r="685" spans="1:5" x14ac:dyDescent="0.25">
      <c r="A685" s="1222">
        <v>684</v>
      </c>
      <c r="B685" s="1222" t="s">
        <v>1618</v>
      </c>
      <c r="C685" s="1307" t="s">
        <v>1667</v>
      </c>
      <c r="D685" s="1307" t="s">
        <v>1624</v>
      </c>
      <c r="E685" s="1303" t="s">
        <v>1486</v>
      </c>
    </row>
    <row r="686" spans="1:5" x14ac:dyDescent="0.25">
      <c r="A686" s="1222">
        <v>685</v>
      </c>
      <c r="B686" s="1222" t="s">
        <v>1618</v>
      </c>
      <c r="C686" s="1307" t="s">
        <v>1667</v>
      </c>
      <c r="D686" s="1307" t="s">
        <v>1624</v>
      </c>
      <c r="E686" s="1303" t="s">
        <v>1487</v>
      </c>
    </row>
    <row r="687" spans="1:5" x14ac:dyDescent="0.25">
      <c r="A687" s="1222">
        <v>686</v>
      </c>
      <c r="B687" s="1222" t="s">
        <v>1618</v>
      </c>
      <c r="C687" s="1307" t="s">
        <v>1667</v>
      </c>
      <c r="D687" s="1307" t="s">
        <v>1624</v>
      </c>
      <c r="E687" s="1303" t="s">
        <v>1488</v>
      </c>
    </row>
    <row r="688" spans="1:5" x14ac:dyDescent="0.25">
      <c r="A688" s="1222">
        <v>687</v>
      </c>
      <c r="B688" s="1222" t="s">
        <v>1618</v>
      </c>
      <c r="C688" s="1307" t="s">
        <v>1668</v>
      </c>
      <c r="D688" s="1307" t="s">
        <v>1625</v>
      </c>
      <c r="E688" s="1303" t="s">
        <v>1593</v>
      </c>
    </row>
    <row r="689" spans="1:5" x14ac:dyDescent="0.25">
      <c r="A689" s="1222">
        <v>688</v>
      </c>
      <c r="B689" s="1222" t="s">
        <v>1618</v>
      </c>
      <c r="C689" s="1307" t="s">
        <v>1668</v>
      </c>
      <c r="D689" s="1307" t="s">
        <v>1510</v>
      </c>
      <c r="E689" s="1303" t="s">
        <v>1809</v>
      </c>
    </row>
    <row r="690" spans="1:5" x14ac:dyDescent="0.25">
      <c r="A690" s="1222">
        <v>689</v>
      </c>
      <c r="B690" s="1222" t="s">
        <v>1618</v>
      </c>
      <c r="C690" s="1307" t="s">
        <v>1668</v>
      </c>
      <c r="D690" s="1307" t="s">
        <v>1625</v>
      </c>
      <c r="E690" s="1303" t="s">
        <v>1482</v>
      </c>
    </row>
    <row r="691" spans="1:5" x14ac:dyDescent="0.25">
      <c r="A691" s="1222">
        <v>690</v>
      </c>
      <c r="B691" s="1222" t="s">
        <v>1618</v>
      </c>
      <c r="C691" s="1307" t="s">
        <v>1668</v>
      </c>
      <c r="D691" s="1307" t="s">
        <v>1625</v>
      </c>
      <c r="E691" s="1303" t="s">
        <v>1479</v>
      </c>
    </row>
    <row r="692" spans="1:5" x14ac:dyDescent="0.25">
      <c r="A692" s="1222">
        <v>691</v>
      </c>
      <c r="B692" s="1222" t="s">
        <v>1618</v>
      </c>
      <c r="C692" s="1307" t="s">
        <v>1668</v>
      </c>
      <c r="D692" s="1307" t="s">
        <v>1625</v>
      </c>
      <c r="E692" s="1303" t="s">
        <v>1480</v>
      </c>
    </row>
    <row r="693" spans="1:5" x14ac:dyDescent="0.25">
      <c r="A693" s="1222">
        <v>692</v>
      </c>
      <c r="B693" s="1222" t="s">
        <v>1618</v>
      </c>
      <c r="C693" s="1307" t="s">
        <v>1668</v>
      </c>
      <c r="D693" s="1307" t="s">
        <v>1625</v>
      </c>
      <c r="E693" s="1303" t="s">
        <v>1496</v>
      </c>
    </row>
    <row r="694" spans="1:5" x14ac:dyDescent="0.25">
      <c r="A694" s="1222">
        <v>693</v>
      </c>
      <c r="B694" s="1222" t="s">
        <v>1618</v>
      </c>
      <c r="C694" s="1307" t="s">
        <v>1668</v>
      </c>
      <c r="D694" s="1307" t="s">
        <v>1625</v>
      </c>
      <c r="E694" s="1303" t="s">
        <v>1481</v>
      </c>
    </row>
    <row r="695" spans="1:5" x14ac:dyDescent="0.25">
      <c r="A695" s="1222">
        <v>694</v>
      </c>
      <c r="B695" s="1222" t="s">
        <v>1618</v>
      </c>
      <c r="C695" s="1307" t="s">
        <v>1668</v>
      </c>
      <c r="D695" s="1307" t="s">
        <v>1625</v>
      </c>
      <c r="E695" s="1303" t="s">
        <v>1588</v>
      </c>
    </row>
    <row r="696" spans="1:5" x14ac:dyDescent="0.25">
      <c r="A696" s="1222">
        <v>695</v>
      </c>
      <c r="B696" s="1222" t="s">
        <v>1618</v>
      </c>
      <c r="C696" s="1307" t="s">
        <v>1668</v>
      </c>
      <c r="D696" s="1307" t="s">
        <v>1625</v>
      </c>
      <c r="E696" s="1303" t="s">
        <v>1589</v>
      </c>
    </row>
    <row r="697" spans="1:5" x14ac:dyDescent="0.25">
      <c r="A697" s="1222">
        <v>696</v>
      </c>
      <c r="B697" s="1222" t="s">
        <v>1618</v>
      </c>
      <c r="C697" s="1307" t="s">
        <v>1668</v>
      </c>
      <c r="D697" s="1307" t="s">
        <v>1510</v>
      </c>
      <c r="E697" s="1303" t="s">
        <v>1590</v>
      </c>
    </row>
    <row r="698" spans="1:5" ht="30" x14ac:dyDescent="0.25">
      <c r="A698" s="1222">
        <v>697</v>
      </c>
      <c r="B698" s="1222" t="s">
        <v>1618</v>
      </c>
      <c r="C698" s="1307" t="s">
        <v>1668</v>
      </c>
      <c r="D698" s="1307" t="s">
        <v>1646</v>
      </c>
      <c r="E698" s="1303" t="s">
        <v>1484</v>
      </c>
    </row>
    <row r="699" spans="1:5" ht="30" x14ac:dyDescent="0.25">
      <c r="A699" s="1222">
        <v>698</v>
      </c>
      <c r="B699" s="1222" t="s">
        <v>1618</v>
      </c>
      <c r="C699" s="1307" t="s">
        <v>1668</v>
      </c>
      <c r="D699" s="1307" t="s">
        <v>1646</v>
      </c>
      <c r="E699" s="1303" t="s">
        <v>1485</v>
      </c>
    </row>
    <row r="700" spans="1:5" ht="30" x14ac:dyDescent="0.25">
      <c r="A700" s="1222">
        <v>699</v>
      </c>
      <c r="B700" s="1222" t="s">
        <v>1618</v>
      </c>
      <c r="C700" s="1307" t="s">
        <v>1668</v>
      </c>
      <c r="D700" s="1307" t="s">
        <v>1646</v>
      </c>
      <c r="E700" s="1303" t="s">
        <v>1597</v>
      </c>
    </row>
    <row r="701" spans="1:5" x14ac:dyDescent="0.25">
      <c r="A701" s="1222">
        <v>700</v>
      </c>
      <c r="B701" s="1222" t="s">
        <v>1618</v>
      </c>
      <c r="C701" s="1307" t="s">
        <v>1668</v>
      </c>
      <c r="D701" s="1307" t="s">
        <v>1510</v>
      </c>
      <c r="E701" s="1303" t="s">
        <v>1594</v>
      </c>
    </row>
    <row r="702" spans="1:5" x14ac:dyDescent="0.25">
      <c r="A702" s="1222">
        <v>701</v>
      </c>
      <c r="B702" s="1222" t="s">
        <v>1618</v>
      </c>
      <c r="C702" s="1307" t="s">
        <v>1668</v>
      </c>
      <c r="D702" s="1307" t="s">
        <v>1625</v>
      </c>
      <c r="E702" s="1303" t="s">
        <v>1608</v>
      </c>
    </row>
    <row r="703" spans="1:5" x14ac:dyDescent="0.25">
      <c r="A703" s="1222">
        <v>702</v>
      </c>
      <c r="B703" s="1222" t="s">
        <v>1618</v>
      </c>
      <c r="C703" s="1307" t="s">
        <v>1669</v>
      </c>
      <c r="D703" s="1307" t="s">
        <v>1625</v>
      </c>
      <c r="E703" s="1303" t="s">
        <v>1486</v>
      </c>
    </row>
    <row r="704" spans="1:5" x14ac:dyDescent="0.25">
      <c r="A704" s="1222">
        <v>703</v>
      </c>
      <c r="B704" s="1222" t="s">
        <v>1618</v>
      </c>
      <c r="C704" s="1307" t="s">
        <v>1669</v>
      </c>
      <c r="D704" s="1307" t="s">
        <v>1625</v>
      </c>
      <c r="E704" s="1303" t="s">
        <v>1487</v>
      </c>
    </row>
    <row r="705" spans="1:5" x14ac:dyDescent="0.25">
      <c r="A705" s="1222">
        <v>704</v>
      </c>
      <c r="B705" s="1222" t="s">
        <v>1618</v>
      </c>
      <c r="C705" s="1307" t="s">
        <v>1669</v>
      </c>
      <c r="D705" s="1307" t="s">
        <v>1625</v>
      </c>
      <c r="E705" s="1303" t="s">
        <v>1488</v>
      </c>
    </row>
    <row r="706" spans="1:5" x14ac:dyDescent="0.25">
      <c r="A706" s="1222">
        <v>705</v>
      </c>
      <c r="B706" s="1222" t="s">
        <v>1618</v>
      </c>
      <c r="C706" s="1307" t="s">
        <v>1670</v>
      </c>
      <c r="D706" s="1307" t="s">
        <v>1625</v>
      </c>
      <c r="E706" s="1303" t="s">
        <v>1486</v>
      </c>
    </row>
    <row r="707" spans="1:5" x14ac:dyDescent="0.25">
      <c r="A707" s="1222">
        <v>706</v>
      </c>
      <c r="B707" s="1222" t="s">
        <v>1618</v>
      </c>
      <c r="C707" s="1307" t="s">
        <v>1670</v>
      </c>
      <c r="D707" s="1307" t="s">
        <v>1625</v>
      </c>
      <c r="E707" s="1303" t="s">
        <v>1487</v>
      </c>
    </row>
    <row r="708" spans="1:5" x14ac:dyDescent="0.25">
      <c r="A708" s="1222">
        <v>707</v>
      </c>
      <c r="B708" s="1222" t="s">
        <v>1618</v>
      </c>
      <c r="C708" s="1307" t="s">
        <v>1670</v>
      </c>
      <c r="D708" s="1307" t="s">
        <v>1625</v>
      </c>
      <c r="E708" s="1303" t="s">
        <v>1488</v>
      </c>
    </row>
    <row r="709" spans="1:5" x14ac:dyDescent="0.25">
      <c r="A709" s="1222">
        <v>708</v>
      </c>
      <c r="B709" s="1222" t="s">
        <v>1618</v>
      </c>
      <c r="C709" s="1307" t="s">
        <v>1671</v>
      </c>
      <c r="D709" s="1307" t="s">
        <v>1625</v>
      </c>
      <c r="E709" s="1303" t="s">
        <v>1486</v>
      </c>
    </row>
    <row r="710" spans="1:5" x14ac:dyDescent="0.25">
      <c r="A710" s="1222">
        <v>709</v>
      </c>
      <c r="B710" s="1222" t="s">
        <v>1618</v>
      </c>
      <c r="C710" s="1307" t="s">
        <v>1671</v>
      </c>
      <c r="D710" s="1307" t="s">
        <v>1625</v>
      </c>
      <c r="E710" s="1303" t="s">
        <v>1487</v>
      </c>
    </row>
    <row r="711" spans="1:5" x14ac:dyDescent="0.25">
      <c r="A711" s="1222">
        <v>710</v>
      </c>
      <c r="B711" s="1222" t="s">
        <v>1618</v>
      </c>
      <c r="C711" s="1307" t="s">
        <v>1671</v>
      </c>
      <c r="D711" s="1307" t="s">
        <v>1625</v>
      </c>
      <c r="E711" s="1303" t="s">
        <v>1488</v>
      </c>
    </row>
    <row r="712" spans="1:5" x14ac:dyDescent="0.25">
      <c r="A712" s="1222">
        <v>711</v>
      </c>
      <c r="B712" s="1222" t="s">
        <v>1618</v>
      </c>
      <c r="C712" s="1307" t="s">
        <v>1672</v>
      </c>
      <c r="D712" s="1307" t="s">
        <v>1625</v>
      </c>
      <c r="E712" s="1303" t="s">
        <v>1486</v>
      </c>
    </row>
    <row r="713" spans="1:5" x14ac:dyDescent="0.25">
      <c r="A713" s="1222">
        <v>712</v>
      </c>
      <c r="B713" s="1222" t="s">
        <v>1618</v>
      </c>
      <c r="C713" s="1307" t="s">
        <v>1672</v>
      </c>
      <c r="D713" s="1307" t="s">
        <v>1625</v>
      </c>
      <c r="E713" s="1303" t="s">
        <v>1487</v>
      </c>
    </row>
    <row r="714" spans="1:5" x14ac:dyDescent="0.25">
      <c r="A714" s="1222">
        <v>713</v>
      </c>
      <c r="B714" s="1222" t="s">
        <v>1618</v>
      </c>
      <c r="C714" s="1307" t="s">
        <v>1672</v>
      </c>
      <c r="D714" s="1307" t="s">
        <v>1625</v>
      </c>
      <c r="E714" s="1303" t="s">
        <v>1488</v>
      </c>
    </row>
    <row r="715" spans="1:5" x14ac:dyDescent="0.25">
      <c r="A715" s="1222">
        <v>714</v>
      </c>
      <c r="B715" s="1222" t="s">
        <v>1618</v>
      </c>
      <c r="C715" s="1307" t="s">
        <v>1673</v>
      </c>
      <c r="D715" s="1307" t="s">
        <v>1625</v>
      </c>
      <c r="E715" s="1303" t="s">
        <v>1486</v>
      </c>
    </row>
    <row r="716" spans="1:5" x14ac:dyDescent="0.25">
      <c r="A716" s="1222">
        <v>715</v>
      </c>
      <c r="B716" s="1222" t="s">
        <v>1618</v>
      </c>
      <c r="C716" s="1307" t="s">
        <v>1673</v>
      </c>
      <c r="D716" s="1307" t="s">
        <v>1625</v>
      </c>
      <c r="E716" s="1303" t="s">
        <v>1487</v>
      </c>
    </row>
    <row r="717" spans="1:5" x14ac:dyDescent="0.25">
      <c r="A717" s="1222">
        <v>716</v>
      </c>
      <c r="B717" s="1222" t="s">
        <v>1618</v>
      </c>
      <c r="C717" s="1307" t="s">
        <v>1673</v>
      </c>
      <c r="D717" s="1307" t="s">
        <v>1625</v>
      </c>
      <c r="E717" s="1303" t="s">
        <v>1488</v>
      </c>
    </row>
    <row r="718" spans="1:5" x14ac:dyDescent="0.25">
      <c r="A718" s="1222">
        <v>717</v>
      </c>
      <c r="B718" s="1222" t="s">
        <v>1618</v>
      </c>
      <c r="C718" s="1307" t="s">
        <v>1674</v>
      </c>
      <c r="D718" s="1307" t="s">
        <v>1625</v>
      </c>
      <c r="E718" s="1303" t="s">
        <v>1593</v>
      </c>
    </row>
    <row r="719" spans="1:5" x14ac:dyDescent="0.25">
      <c r="A719" s="1222">
        <v>718</v>
      </c>
      <c r="B719" s="1222" t="s">
        <v>1618</v>
      </c>
      <c r="C719" s="1307" t="s">
        <v>1674</v>
      </c>
      <c r="D719" s="1307" t="s">
        <v>1510</v>
      </c>
      <c r="E719" s="1303" t="s">
        <v>1809</v>
      </c>
    </row>
    <row r="720" spans="1:5" x14ac:dyDescent="0.25">
      <c r="A720" s="1222">
        <v>719</v>
      </c>
      <c r="B720" s="1222" t="s">
        <v>1618</v>
      </c>
      <c r="C720" s="1307" t="s">
        <v>1674</v>
      </c>
      <c r="D720" s="1307" t="s">
        <v>1625</v>
      </c>
      <c r="E720" s="1303" t="s">
        <v>1482</v>
      </c>
    </row>
    <row r="721" spans="1:5" x14ac:dyDescent="0.25">
      <c r="A721" s="1222">
        <v>720</v>
      </c>
      <c r="B721" s="1222" t="s">
        <v>1618</v>
      </c>
      <c r="C721" s="1307" t="s">
        <v>1674</v>
      </c>
      <c r="D721" s="1307" t="s">
        <v>1625</v>
      </c>
      <c r="E721" s="1303" t="s">
        <v>1479</v>
      </c>
    </row>
    <row r="722" spans="1:5" x14ac:dyDescent="0.25">
      <c r="A722" s="1222">
        <v>721</v>
      </c>
      <c r="B722" s="1222" t="s">
        <v>1618</v>
      </c>
      <c r="C722" s="1307" t="s">
        <v>1674</v>
      </c>
      <c r="D722" s="1307" t="s">
        <v>1625</v>
      </c>
      <c r="E722" s="1303" t="s">
        <v>1480</v>
      </c>
    </row>
    <row r="723" spans="1:5" x14ac:dyDescent="0.25">
      <c r="A723" s="1222">
        <v>722</v>
      </c>
      <c r="B723" s="1222" t="s">
        <v>1618</v>
      </c>
      <c r="C723" s="1307" t="s">
        <v>1674</v>
      </c>
      <c r="D723" s="1307" t="s">
        <v>1625</v>
      </c>
      <c r="E723" s="1303" t="s">
        <v>1496</v>
      </c>
    </row>
    <row r="724" spans="1:5" x14ac:dyDescent="0.25">
      <c r="A724" s="1222">
        <v>723</v>
      </c>
      <c r="B724" s="1222" t="s">
        <v>1618</v>
      </c>
      <c r="C724" s="1307" t="s">
        <v>1674</v>
      </c>
      <c r="D724" s="1307" t="s">
        <v>1625</v>
      </c>
      <c r="E724" s="1303" t="s">
        <v>1481</v>
      </c>
    </row>
    <row r="725" spans="1:5" x14ac:dyDescent="0.25">
      <c r="A725" s="1222">
        <v>724</v>
      </c>
      <c r="B725" s="1222" t="s">
        <v>1618</v>
      </c>
      <c r="C725" s="1307" t="s">
        <v>1674</v>
      </c>
      <c r="D725" s="1307" t="s">
        <v>1625</v>
      </c>
      <c r="E725" s="1303" t="s">
        <v>1588</v>
      </c>
    </row>
    <row r="726" spans="1:5" x14ac:dyDescent="0.25">
      <c r="A726" s="1222">
        <v>725</v>
      </c>
      <c r="B726" s="1222" t="s">
        <v>1618</v>
      </c>
      <c r="C726" s="1307" t="s">
        <v>1674</v>
      </c>
      <c r="D726" s="1307" t="s">
        <v>1625</v>
      </c>
      <c r="E726" s="1303" t="s">
        <v>1589</v>
      </c>
    </row>
    <row r="727" spans="1:5" x14ac:dyDescent="0.25">
      <c r="A727" s="1222">
        <v>726</v>
      </c>
      <c r="B727" s="1222" t="s">
        <v>1618</v>
      </c>
      <c r="C727" s="1307" t="s">
        <v>1674</v>
      </c>
      <c r="D727" s="1307" t="s">
        <v>1510</v>
      </c>
      <c r="E727" s="1303" t="s">
        <v>1590</v>
      </c>
    </row>
    <row r="728" spans="1:5" ht="30" x14ac:dyDescent="0.25">
      <c r="A728" s="1222">
        <v>727</v>
      </c>
      <c r="B728" s="1222" t="s">
        <v>1618</v>
      </c>
      <c r="C728" s="1307" t="s">
        <v>1674</v>
      </c>
      <c r="D728" s="1307" t="s">
        <v>1646</v>
      </c>
      <c r="E728" s="1303" t="s">
        <v>1484</v>
      </c>
    </row>
    <row r="729" spans="1:5" ht="30" x14ac:dyDescent="0.25">
      <c r="A729" s="1222">
        <v>728</v>
      </c>
      <c r="B729" s="1222" t="s">
        <v>1618</v>
      </c>
      <c r="C729" s="1307" t="s">
        <v>1674</v>
      </c>
      <c r="D729" s="1307" t="s">
        <v>1646</v>
      </c>
      <c r="E729" s="1303" t="s">
        <v>1485</v>
      </c>
    </row>
    <row r="730" spans="1:5" ht="30" x14ac:dyDescent="0.25">
      <c r="A730" s="1222">
        <v>729</v>
      </c>
      <c r="B730" s="1222" t="s">
        <v>1618</v>
      </c>
      <c r="C730" s="1307" t="s">
        <v>1674</v>
      </c>
      <c r="D730" s="1307" t="s">
        <v>1646</v>
      </c>
      <c r="E730" s="1303" t="s">
        <v>1597</v>
      </c>
    </row>
    <row r="731" spans="1:5" x14ac:dyDescent="0.25">
      <c r="A731" s="1222">
        <v>730</v>
      </c>
      <c r="B731" s="1222" t="s">
        <v>1618</v>
      </c>
      <c r="C731" s="1307" t="s">
        <v>1674</v>
      </c>
      <c r="D731" s="1307" t="s">
        <v>1510</v>
      </c>
      <c r="E731" s="1303" t="s">
        <v>1594</v>
      </c>
    </row>
    <row r="732" spans="1:5" x14ac:dyDescent="0.25">
      <c r="A732" s="1222">
        <v>731</v>
      </c>
      <c r="B732" s="1222" t="s">
        <v>1618</v>
      </c>
      <c r="C732" s="1307" t="s">
        <v>1674</v>
      </c>
      <c r="D732" s="1307" t="s">
        <v>1625</v>
      </c>
      <c r="E732" s="1303" t="s">
        <v>1608</v>
      </c>
    </row>
    <row r="733" spans="1:5" x14ac:dyDescent="0.25">
      <c r="A733" s="1222">
        <v>732</v>
      </c>
      <c r="B733" s="1222" t="s">
        <v>1618</v>
      </c>
      <c r="C733" s="1307" t="s">
        <v>1675</v>
      </c>
      <c r="D733" s="1307" t="s">
        <v>1625</v>
      </c>
      <c r="E733" s="1303" t="s">
        <v>1486</v>
      </c>
    </row>
    <row r="734" spans="1:5" x14ac:dyDescent="0.25">
      <c r="A734" s="1222">
        <v>733</v>
      </c>
      <c r="B734" s="1222" t="s">
        <v>1618</v>
      </c>
      <c r="C734" s="1307" t="s">
        <v>1675</v>
      </c>
      <c r="D734" s="1307" t="s">
        <v>1625</v>
      </c>
      <c r="E734" s="1303" t="s">
        <v>1487</v>
      </c>
    </row>
    <row r="735" spans="1:5" x14ac:dyDescent="0.25">
      <c r="A735" s="1222">
        <v>734</v>
      </c>
      <c r="B735" s="1222" t="s">
        <v>1618</v>
      </c>
      <c r="C735" s="1307" t="s">
        <v>1675</v>
      </c>
      <c r="D735" s="1307" t="s">
        <v>1625</v>
      </c>
      <c r="E735" s="1303" t="s">
        <v>1488</v>
      </c>
    </row>
    <row r="736" spans="1:5" x14ac:dyDescent="0.25">
      <c r="A736" s="1222">
        <v>735</v>
      </c>
      <c r="B736" s="1222" t="s">
        <v>1618</v>
      </c>
      <c r="C736" s="1307" t="s">
        <v>1676</v>
      </c>
      <c r="D736" s="1307" t="s">
        <v>1625</v>
      </c>
      <c r="E736" s="1303" t="s">
        <v>1486</v>
      </c>
    </row>
    <row r="737" spans="1:5" x14ac:dyDescent="0.25">
      <c r="A737" s="1222">
        <v>736</v>
      </c>
      <c r="B737" s="1222" t="s">
        <v>1618</v>
      </c>
      <c r="C737" s="1307" t="s">
        <v>1676</v>
      </c>
      <c r="D737" s="1307" t="s">
        <v>1625</v>
      </c>
      <c r="E737" s="1303" t="s">
        <v>1487</v>
      </c>
    </row>
    <row r="738" spans="1:5" x14ac:dyDescent="0.25">
      <c r="A738" s="1222">
        <v>737</v>
      </c>
      <c r="B738" s="1222" t="s">
        <v>1618</v>
      </c>
      <c r="C738" s="1307" t="s">
        <v>1676</v>
      </c>
      <c r="D738" s="1307" t="s">
        <v>1625</v>
      </c>
      <c r="E738" s="1303" t="s">
        <v>1488</v>
      </c>
    </row>
    <row r="739" spans="1:5" x14ac:dyDescent="0.25">
      <c r="A739" s="1222">
        <v>738</v>
      </c>
      <c r="B739" s="1222" t="s">
        <v>1618</v>
      </c>
      <c r="C739" s="1307" t="s">
        <v>1677</v>
      </c>
      <c r="D739" s="1307" t="s">
        <v>1625</v>
      </c>
      <c r="E739" s="1303" t="s">
        <v>1486</v>
      </c>
    </row>
    <row r="740" spans="1:5" x14ac:dyDescent="0.25">
      <c r="A740" s="1222">
        <v>739</v>
      </c>
      <c r="B740" s="1222" t="s">
        <v>1618</v>
      </c>
      <c r="C740" s="1307" t="s">
        <v>1677</v>
      </c>
      <c r="D740" s="1307" t="s">
        <v>1625</v>
      </c>
      <c r="E740" s="1303" t="s">
        <v>1487</v>
      </c>
    </row>
    <row r="741" spans="1:5" x14ac:dyDescent="0.25">
      <c r="A741" s="1222">
        <v>740</v>
      </c>
      <c r="B741" s="1222" t="s">
        <v>1618</v>
      </c>
      <c r="C741" s="1307" t="s">
        <v>1677</v>
      </c>
      <c r="D741" s="1307" t="s">
        <v>1625</v>
      </c>
      <c r="E741" s="1303" t="s">
        <v>1488</v>
      </c>
    </row>
    <row r="742" spans="1:5" x14ac:dyDescent="0.25">
      <c r="A742" s="1222">
        <v>741</v>
      </c>
      <c r="B742" s="1222" t="s">
        <v>1618</v>
      </c>
      <c r="C742" s="1307" t="s">
        <v>1678</v>
      </c>
      <c r="D742" s="1307" t="s">
        <v>1625</v>
      </c>
      <c r="E742" s="1303" t="s">
        <v>1486</v>
      </c>
    </row>
    <row r="743" spans="1:5" x14ac:dyDescent="0.25">
      <c r="A743" s="1222">
        <v>742</v>
      </c>
      <c r="B743" s="1222" t="s">
        <v>1618</v>
      </c>
      <c r="C743" s="1307" t="s">
        <v>1678</v>
      </c>
      <c r="D743" s="1307" t="s">
        <v>1625</v>
      </c>
      <c r="E743" s="1303" t="s">
        <v>1487</v>
      </c>
    </row>
    <row r="744" spans="1:5" x14ac:dyDescent="0.25">
      <c r="A744" s="1222">
        <v>743</v>
      </c>
      <c r="B744" s="1222" t="s">
        <v>1618</v>
      </c>
      <c r="C744" s="1307" t="s">
        <v>1678</v>
      </c>
      <c r="D744" s="1307" t="s">
        <v>1625</v>
      </c>
      <c r="E744" s="1303" t="s">
        <v>1488</v>
      </c>
    </row>
    <row r="745" spans="1:5" x14ac:dyDescent="0.25">
      <c r="A745" s="1222">
        <v>744</v>
      </c>
      <c r="B745" s="1222" t="s">
        <v>1618</v>
      </c>
      <c r="C745" s="1307" t="s">
        <v>1679</v>
      </c>
      <c r="D745" s="1307" t="s">
        <v>1625</v>
      </c>
      <c r="E745" s="1303" t="s">
        <v>1486</v>
      </c>
    </row>
    <row r="746" spans="1:5" x14ac:dyDescent="0.25">
      <c r="A746" s="1222">
        <v>745</v>
      </c>
      <c r="B746" s="1222" t="s">
        <v>1618</v>
      </c>
      <c r="C746" s="1307" t="s">
        <v>1679</v>
      </c>
      <c r="D746" s="1307" t="s">
        <v>1625</v>
      </c>
      <c r="E746" s="1303" t="s">
        <v>1487</v>
      </c>
    </row>
    <row r="747" spans="1:5" x14ac:dyDescent="0.25">
      <c r="A747" s="1222">
        <v>746</v>
      </c>
      <c r="B747" s="1222" t="s">
        <v>1618</v>
      </c>
      <c r="C747" s="1307" t="s">
        <v>1679</v>
      </c>
      <c r="D747" s="1307" t="s">
        <v>1625</v>
      </c>
      <c r="E747" s="1303" t="s">
        <v>1488</v>
      </c>
    </row>
    <row r="748" spans="1:5" x14ac:dyDescent="0.25">
      <c r="A748" s="1222">
        <v>747</v>
      </c>
      <c r="B748" s="1222" t="s">
        <v>1618</v>
      </c>
      <c r="C748" s="1307" t="s">
        <v>1850</v>
      </c>
      <c r="D748" s="1307" t="s">
        <v>1680</v>
      </c>
      <c r="E748" s="1303" t="s">
        <v>1593</v>
      </c>
    </row>
    <row r="749" spans="1:5" x14ac:dyDescent="0.25">
      <c r="A749" s="1222">
        <v>748</v>
      </c>
      <c r="B749" s="1222" t="s">
        <v>1618</v>
      </c>
      <c r="C749" s="1307" t="s">
        <v>1816</v>
      </c>
      <c r="D749" s="1307" t="s">
        <v>1510</v>
      </c>
      <c r="E749" s="1303" t="s">
        <v>1809</v>
      </c>
    </row>
    <row r="750" spans="1:5" x14ac:dyDescent="0.25">
      <c r="A750" s="1222">
        <v>749</v>
      </c>
      <c r="B750" s="1222" t="s">
        <v>1618</v>
      </c>
      <c r="C750" s="1307" t="s">
        <v>1850</v>
      </c>
      <c r="D750" s="1307" t="s">
        <v>1680</v>
      </c>
      <c r="E750" s="1303" t="s">
        <v>1482</v>
      </c>
    </row>
    <row r="751" spans="1:5" x14ac:dyDescent="0.25">
      <c r="A751" s="1222">
        <v>750</v>
      </c>
      <c r="B751" s="1222" t="s">
        <v>1618</v>
      </c>
      <c r="C751" s="1307" t="s">
        <v>1850</v>
      </c>
      <c r="D751" s="1307" t="s">
        <v>1680</v>
      </c>
      <c r="E751" s="1303" t="s">
        <v>1479</v>
      </c>
    </row>
    <row r="752" spans="1:5" x14ac:dyDescent="0.25">
      <c r="A752" s="1222">
        <v>751</v>
      </c>
      <c r="B752" s="1222" t="s">
        <v>1618</v>
      </c>
      <c r="C752" s="1307" t="s">
        <v>1850</v>
      </c>
      <c r="D752" s="1307" t="s">
        <v>1680</v>
      </c>
      <c r="E752" s="1303" t="s">
        <v>1480</v>
      </c>
    </row>
    <row r="753" spans="1:5" x14ac:dyDescent="0.25">
      <c r="A753" s="1222">
        <v>752</v>
      </c>
      <c r="B753" s="1222" t="s">
        <v>1618</v>
      </c>
      <c r="C753" s="1307" t="s">
        <v>1850</v>
      </c>
      <c r="D753" s="1307" t="s">
        <v>1680</v>
      </c>
      <c r="E753" s="1303" t="s">
        <v>1496</v>
      </c>
    </row>
    <row r="754" spans="1:5" x14ac:dyDescent="0.25">
      <c r="A754" s="1222">
        <v>753</v>
      </c>
      <c r="B754" s="1222" t="s">
        <v>1618</v>
      </c>
      <c r="C754" s="1307" t="s">
        <v>1850</v>
      </c>
      <c r="D754" s="1307" t="s">
        <v>1510</v>
      </c>
      <c r="E754" s="1303" t="s">
        <v>1481</v>
      </c>
    </row>
    <row r="755" spans="1:5" x14ac:dyDescent="0.25">
      <c r="A755" s="1222">
        <v>754</v>
      </c>
      <c r="B755" s="1222" t="s">
        <v>1618</v>
      </c>
      <c r="C755" s="1307" t="s">
        <v>1850</v>
      </c>
      <c r="D755" s="1307" t="s">
        <v>1680</v>
      </c>
      <c r="E755" s="1303" t="s">
        <v>1588</v>
      </c>
    </row>
    <row r="756" spans="1:5" x14ac:dyDescent="0.25">
      <c r="A756" s="1222">
        <v>755</v>
      </c>
      <c r="B756" s="1222" t="s">
        <v>1618</v>
      </c>
      <c r="C756" s="1307" t="s">
        <v>1850</v>
      </c>
      <c r="D756" s="1307" t="s">
        <v>1680</v>
      </c>
      <c r="E756" s="1303" t="s">
        <v>1589</v>
      </c>
    </row>
    <row r="757" spans="1:5" x14ac:dyDescent="0.25">
      <c r="A757" s="1222">
        <v>756</v>
      </c>
      <c r="B757" s="1222" t="s">
        <v>1618</v>
      </c>
      <c r="C757" s="1307" t="s">
        <v>1850</v>
      </c>
      <c r="D757" s="1307" t="s">
        <v>1510</v>
      </c>
      <c r="E757" s="1303" t="s">
        <v>1590</v>
      </c>
    </row>
    <row r="758" spans="1:5" ht="30" x14ac:dyDescent="0.25">
      <c r="A758" s="1222">
        <v>757</v>
      </c>
      <c r="B758" s="1222" t="s">
        <v>1618</v>
      </c>
      <c r="C758" s="1307" t="s">
        <v>1850</v>
      </c>
      <c r="D758" s="1307" t="s">
        <v>1646</v>
      </c>
      <c r="E758" s="1303" t="s">
        <v>1484</v>
      </c>
    </row>
    <row r="759" spans="1:5" ht="30" x14ac:dyDescent="0.25">
      <c r="A759" s="1222">
        <v>758</v>
      </c>
      <c r="B759" s="1222" t="s">
        <v>1618</v>
      </c>
      <c r="C759" s="1307" t="s">
        <v>1850</v>
      </c>
      <c r="D759" s="1307" t="s">
        <v>1646</v>
      </c>
      <c r="E759" s="1303" t="s">
        <v>1485</v>
      </c>
    </row>
    <row r="760" spans="1:5" ht="30" x14ac:dyDescent="0.25">
      <c r="A760" s="1222">
        <v>759</v>
      </c>
      <c r="B760" s="1222" t="s">
        <v>1618</v>
      </c>
      <c r="C760" s="1307" t="s">
        <v>1850</v>
      </c>
      <c r="D760" s="1307" t="s">
        <v>1646</v>
      </c>
      <c r="E760" s="1303" t="s">
        <v>1597</v>
      </c>
    </row>
    <row r="761" spans="1:5" x14ac:dyDescent="0.25">
      <c r="A761" s="1222">
        <v>760</v>
      </c>
      <c r="B761" s="1222" t="s">
        <v>1618</v>
      </c>
      <c r="C761" s="1307" t="s">
        <v>1850</v>
      </c>
      <c r="D761" s="1307" t="s">
        <v>1510</v>
      </c>
      <c r="E761" s="1303" t="s">
        <v>1594</v>
      </c>
    </row>
    <row r="762" spans="1:5" x14ac:dyDescent="0.25">
      <c r="A762" s="1222">
        <v>761</v>
      </c>
      <c r="B762" s="1222" t="s">
        <v>1618</v>
      </c>
      <c r="C762" s="1307" t="s">
        <v>1850</v>
      </c>
      <c r="D762" s="1307" t="s">
        <v>1680</v>
      </c>
      <c r="E762" s="1303" t="s">
        <v>1488</v>
      </c>
    </row>
    <row r="763" spans="1:5" x14ac:dyDescent="0.25">
      <c r="A763" s="1222">
        <v>762</v>
      </c>
      <c r="B763" s="1222" t="s">
        <v>1618</v>
      </c>
      <c r="C763" s="1307" t="s">
        <v>1851</v>
      </c>
      <c r="D763" s="1307" t="s">
        <v>1680</v>
      </c>
      <c r="E763" s="1303" t="s">
        <v>1593</v>
      </c>
    </row>
    <row r="764" spans="1:5" x14ac:dyDescent="0.25">
      <c r="A764" s="1222">
        <v>763</v>
      </c>
      <c r="B764" s="1222" t="s">
        <v>1618</v>
      </c>
      <c r="C764" s="1307" t="s">
        <v>1817</v>
      </c>
      <c r="D764" s="1307" t="s">
        <v>1510</v>
      </c>
      <c r="E764" s="1303" t="s">
        <v>1809</v>
      </c>
    </row>
    <row r="765" spans="1:5" x14ac:dyDescent="0.25">
      <c r="A765" s="1222">
        <v>764</v>
      </c>
      <c r="B765" s="1222" t="s">
        <v>1618</v>
      </c>
      <c r="C765" s="1307" t="s">
        <v>1851</v>
      </c>
      <c r="D765" s="1307" t="s">
        <v>1680</v>
      </c>
      <c r="E765" s="1303" t="s">
        <v>1482</v>
      </c>
    </row>
    <row r="766" spans="1:5" x14ac:dyDescent="0.25">
      <c r="A766" s="1222">
        <v>765</v>
      </c>
      <c r="B766" s="1222" t="s">
        <v>1618</v>
      </c>
      <c r="C766" s="1307" t="s">
        <v>1851</v>
      </c>
      <c r="D766" s="1307" t="s">
        <v>1680</v>
      </c>
      <c r="E766" s="1303" t="s">
        <v>1479</v>
      </c>
    </row>
    <row r="767" spans="1:5" x14ac:dyDescent="0.25">
      <c r="A767" s="1222">
        <v>766</v>
      </c>
      <c r="B767" s="1222" t="s">
        <v>1618</v>
      </c>
      <c r="C767" s="1307" t="s">
        <v>1851</v>
      </c>
      <c r="D767" s="1307" t="s">
        <v>1680</v>
      </c>
      <c r="E767" s="1303" t="s">
        <v>1480</v>
      </c>
    </row>
    <row r="768" spans="1:5" x14ac:dyDescent="0.25">
      <c r="A768" s="1222">
        <v>767</v>
      </c>
      <c r="B768" s="1222" t="s">
        <v>1618</v>
      </c>
      <c r="C768" s="1307" t="s">
        <v>1851</v>
      </c>
      <c r="D768" s="1307" t="s">
        <v>1680</v>
      </c>
      <c r="E768" s="1303" t="s">
        <v>1496</v>
      </c>
    </row>
    <row r="769" spans="1:5" x14ac:dyDescent="0.25">
      <c r="A769" s="1222">
        <v>768</v>
      </c>
      <c r="B769" s="1222" t="s">
        <v>1618</v>
      </c>
      <c r="C769" s="1307" t="s">
        <v>1851</v>
      </c>
      <c r="D769" s="1307" t="s">
        <v>1510</v>
      </c>
      <c r="E769" s="1303" t="s">
        <v>1481</v>
      </c>
    </row>
    <row r="770" spans="1:5" x14ac:dyDescent="0.25">
      <c r="A770" s="1222">
        <v>769</v>
      </c>
      <c r="B770" s="1222" t="s">
        <v>1618</v>
      </c>
      <c r="C770" s="1307" t="s">
        <v>1851</v>
      </c>
      <c r="D770" s="1307" t="s">
        <v>1680</v>
      </c>
      <c r="E770" s="1303" t="s">
        <v>1588</v>
      </c>
    </row>
    <row r="771" spans="1:5" x14ac:dyDescent="0.25">
      <c r="A771" s="1222">
        <v>770</v>
      </c>
      <c r="B771" s="1222" t="s">
        <v>1618</v>
      </c>
      <c r="C771" s="1307" t="s">
        <v>1851</v>
      </c>
      <c r="D771" s="1307" t="s">
        <v>1680</v>
      </c>
      <c r="E771" s="1303" t="s">
        <v>1589</v>
      </c>
    </row>
    <row r="772" spans="1:5" x14ac:dyDescent="0.25">
      <c r="A772" s="1222">
        <v>771</v>
      </c>
      <c r="B772" s="1222" t="s">
        <v>1618</v>
      </c>
      <c r="C772" s="1307" t="s">
        <v>1851</v>
      </c>
      <c r="D772" s="1307" t="s">
        <v>1510</v>
      </c>
      <c r="E772" s="1303" t="s">
        <v>1590</v>
      </c>
    </row>
    <row r="773" spans="1:5" ht="30" x14ac:dyDescent="0.25">
      <c r="A773" s="1222">
        <v>772</v>
      </c>
      <c r="B773" s="1222" t="s">
        <v>1618</v>
      </c>
      <c r="C773" s="1307" t="s">
        <v>1851</v>
      </c>
      <c r="D773" s="1307" t="s">
        <v>1646</v>
      </c>
      <c r="E773" s="1303" t="s">
        <v>1484</v>
      </c>
    </row>
    <row r="774" spans="1:5" ht="30" x14ac:dyDescent="0.25">
      <c r="A774" s="1222">
        <v>773</v>
      </c>
      <c r="B774" s="1222" t="s">
        <v>1618</v>
      </c>
      <c r="C774" s="1307" t="s">
        <v>1851</v>
      </c>
      <c r="D774" s="1307" t="s">
        <v>1646</v>
      </c>
      <c r="E774" s="1303" t="s">
        <v>1485</v>
      </c>
    </row>
    <row r="775" spans="1:5" ht="30" x14ac:dyDescent="0.25">
      <c r="A775" s="1222">
        <v>774</v>
      </c>
      <c r="B775" s="1222" t="s">
        <v>1618</v>
      </c>
      <c r="C775" s="1307" t="s">
        <v>1851</v>
      </c>
      <c r="D775" s="1307" t="s">
        <v>1646</v>
      </c>
      <c r="E775" s="1303" t="s">
        <v>1597</v>
      </c>
    </row>
    <row r="776" spans="1:5" x14ac:dyDescent="0.25">
      <c r="A776" s="1222">
        <v>775</v>
      </c>
      <c r="B776" s="1222" t="s">
        <v>1618</v>
      </c>
      <c r="C776" s="1307" t="s">
        <v>1851</v>
      </c>
      <c r="D776" s="1307" t="s">
        <v>1510</v>
      </c>
      <c r="E776" s="1303" t="s">
        <v>1594</v>
      </c>
    </row>
    <row r="777" spans="1:5" x14ac:dyDescent="0.25">
      <c r="A777" s="1222">
        <v>776</v>
      </c>
      <c r="B777" s="1222" t="s">
        <v>1618</v>
      </c>
      <c r="C777" s="1307" t="s">
        <v>1851</v>
      </c>
      <c r="D777" s="1307" t="s">
        <v>1680</v>
      </c>
      <c r="E777" s="1303" t="s">
        <v>1488</v>
      </c>
    </row>
    <row r="778" spans="1:5" x14ac:dyDescent="0.25">
      <c r="A778" s="1222">
        <v>777</v>
      </c>
      <c r="B778" s="1222" t="s">
        <v>1618</v>
      </c>
      <c r="C778" s="1307" t="s">
        <v>1852</v>
      </c>
      <c r="D778" s="1307" t="s">
        <v>1681</v>
      </c>
      <c r="E778" s="1303" t="s">
        <v>1593</v>
      </c>
    </row>
    <row r="779" spans="1:5" x14ac:dyDescent="0.25">
      <c r="A779" s="1222">
        <v>778</v>
      </c>
      <c r="B779" s="1222" t="s">
        <v>1618</v>
      </c>
      <c r="C779" s="1307" t="s">
        <v>1682</v>
      </c>
      <c r="D779" s="1307" t="s">
        <v>1510</v>
      </c>
      <c r="E779" s="1303" t="s">
        <v>1809</v>
      </c>
    </row>
    <row r="780" spans="1:5" x14ac:dyDescent="0.25">
      <c r="A780" s="1222">
        <v>779</v>
      </c>
      <c r="B780" s="1222" t="s">
        <v>1618</v>
      </c>
      <c r="C780" s="1307" t="s">
        <v>1852</v>
      </c>
      <c r="D780" s="1307" t="s">
        <v>1681</v>
      </c>
      <c r="E780" s="1303" t="s">
        <v>1482</v>
      </c>
    </row>
    <row r="781" spans="1:5" x14ac:dyDescent="0.25">
      <c r="A781" s="1222">
        <v>780</v>
      </c>
      <c r="B781" s="1222" t="s">
        <v>1618</v>
      </c>
      <c r="C781" s="1307" t="s">
        <v>1852</v>
      </c>
      <c r="D781" s="1307" t="s">
        <v>1681</v>
      </c>
      <c r="E781" s="1303" t="s">
        <v>1479</v>
      </c>
    </row>
    <row r="782" spans="1:5" x14ac:dyDescent="0.25">
      <c r="A782" s="1222">
        <v>781</v>
      </c>
      <c r="B782" s="1222" t="s">
        <v>1618</v>
      </c>
      <c r="C782" s="1307" t="s">
        <v>1852</v>
      </c>
      <c r="D782" s="1307" t="s">
        <v>1681</v>
      </c>
      <c r="E782" s="1303" t="s">
        <v>1480</v>
      </c>
    </row>
    <row r="783" spans="1:5" x14ac:dyDescent="0.25">
      <c r="A783" s="1222">
        <v>782</v>
      </c>
      <c r="B783" s="1222" t="s">
        <v>1618</v>
      </c>
      <c r="C783" s="1307" t="s">
        <v>1852</v>
      </c>
      <c r="D783" s="1307" t="s">
        <v>1681</v>
      </c>
      <c r="E783" s="1303" t="s">
        <v>1496</v>
      </c>
    </row>
    <row r="784" spans="1:5" x14ac:dyDescent="0.25">
      <c r="A784" s="1222">
        <v>783</v>
      </c>
      <c r="B784" s="1222" t="s">
        <v>1618</v>
      </c>
      <c r="C784" s="1307" t="s">
        <v>1852</v>
      </c>
      <c r="D784" s="1307" t="s">
        <v>1510</v>
      </c>
      <c r="E784" s="1303" t="s">
        <v>1481</v>
      </c>
    </row>
    <row r="785" spans="1:5" x14ac:dyDescent="0.25">
      <c r="A785" s="1222">
        <v>784</v>
      </c>
      <c r="B785" s="1222" t="s">
        <v>1618</v>
      </c>
      <c r="C785" s="1307" t="s">
        <v>1682</v>
      </c>
      <c r="D785" s="1307" t="s">
        <v>1681</v>
      </c>
      <c r="E785" s="1303" t="s">
        <v>1588</v>
      </c>
    </row>
    <row r="786" spans="1:5" x14ac:dyDescent="0.25">
      <c r="A786" s="1222">
        <v>785</v>
      </c>
      <c r="B786" s="1222" t="s">
        <v>1618</v>
      </c>
      <c r="C786" s="1307" t="s">
        <v>1682</v>
      </c>
      <c r="D786" s="1307" t="s">
        <v>1681</v>
      </c>
      <c r="E786" s="1303" t="s">
        <v>1589</v>
      </c>
    </row>
    <row r="787" spans="1:5" x14ac:dyDescent="0.25">
      <c r="A787" s="1222">
        <v>786</v>
      </c>
      <c r="B787" s="1222" t="s">
        <v>1618</v>
      </c>
      <c r="C787" s="1307" t="s">
        <v>1682</v>
      </c>
      <c r="D787" s="1307" t="s">
        <v>1510</v>
      </c>
      <c r="E787" s="1303" t="s">
        <v>1590</v>
      </c>
    </row>
    <row r="788" spans="1:5" ht="30" x14ac:dyDescent="0.25">
      <c r="A788" s="1222">
        <v>787</v>
      </c>
      <c r="B788" s="1222" t="s">
        <v>1618</v>
      </c>
      <c r="C788" s="1307" t="s">
        <v>1682</v>
      </c>
      <c r="D788" s="1307" t="s">
        <v>1646</v>
      </c>
      <c r="E788" s="1303" t="s">
        <v>1484</v>
      </c>
    </row>
    <row r="789" spans="1:5" ht="30" x14ac:dyDescent="0.25">
      <c r="A789" s="1222">
        <v>788</v>
      </c>
      <c r="B789" s="1222" t="s">
        <v>1618</v>
      </c>
      <c r="C789" s="1307" t="s">
        <v>1682</v>
      </c>
      <c r="D789" s="1307" t="s">
        <v>1646</v>
      </c>
      <c r="E789" s="1303" t="s">
        <v>1485</v>
      </c>
    </row>
    <row r="790" spans="1:5" ht="30" x14ac:dyDescent="0.25">
      <c r="A790" s="1222">
        <v>789</v>
      </c>
      <c r="B790" s="1222" t="s">
        <v>1618</v>
      </c>
      <c r="C790" s="1307" t="s">
        <v>1682</v>
      </c>
      <c r="D790" s="1307" t="s">
        <v>1646</v>
      </c>
      <c r="E790" s="1303" t="s">
        <v>1597</v>
      </c>
    </row>
    <row r="791" spans="1:5" x14ac:dyDescent="0.25">
      <c r="A791" s="1222">
        <v>790</v>
      </c>
      <c r="B791" s="1222" t="s">
        <v>1618</v>
      </c>
      <c r="C791" s="1307" t="s">
        <v>1682</v>
      </c>
      <c r="D791" s="1307" t="s">
        <v>1510</v>
      </c>
      <c r="E791" s="1303" t="s">
        <v>1594</v>
      </c>
    </row>
    <row r="792" spans="1:5" x14ac:dyDescent="0.25">
      <c r="A792" s="1222">
        <v>791</v>
      </c>
      <c r="B792" s="1222" t="s">
        <v>1618</v>
      </c>
      <c r="C792" s="1307" t="s">
        <v>1682</v>
      </c>
      <c r="D792" s="1307" t="s">
        <v>1681</v>
      </c>
      <c r="E792" s="1303" t="s">
        <v>1608</v>
      </c>
    </row>
    <row r="793" spans="1:5" x14ac:dyDescent="0.25">
      <c r="A793" s="1222">
        <v>792</v>
      </c>
      <c r="B793" s="1222" t="s">
        <v>1618</v>
      </c>
      <c r="C793" s="1307" t="s">
        <v>1683</v>
      </c>
      <c r="D793" s="1307" t="s">
        <v>1681</v>
      </c>
      <c r="E793" s="1303" t="s">
        <v>1486</v>
      </c>
    </row>
    <row r="794" spans="1:5" x14ac:dyDescent="0.25">
      <c r="A794" s="1222">
        <v>793</v>
      </c>
      <c r="B794" s="1222" t="s">
        <v>1618</v>
      </c>
      <c r="C794" s="1307" t="s">
        <v>1683</v>
      </c>
      <c r="D794" s="1307" t="s">
        <v>1681</v>
      </c>
      <c r="E794" s="1303" t="s">
        <v>1487</v>
      </c>
    </row>
    <row r="795" spans="1:5" x14ac:dyDescent="0.25">
      <c r="A795" s="1222">
        <v>794</v>
      </c>
      <c r="B795" s="1222" t="s">
        <v>1618</v>
      </c>
      <c r="C795" s="1307" t="s">
        <v>1683</v>
      </c>
      <c r="D795" s="1307" t="s">
        <v>1681</v>
      </c>
      <c r="E795" s="1303" t="s">
        <v>1175</v>
      </c>
    </row>
    <row r="796" spans="1:5" x14ac:dyDescent="0.25">
      <c r="A796" s="1222">
        <v>795</v>
      </c>
      <c r="B796" s="1222" t="s">
        <v>1618</v>
      </c>
      <c r="C796" s="1307" t="s">
        <v>1684</v>
      </c>
      <c r="D796" s="1307" t="s">
        <v>1681</v>
      </c>
      <c r="E796" s="1303" t="s">
        <v>1593</v>
      </c>
    </row>
    <row r="797" spans="1:5" x14ac:dyDescent="0.25">
      <c r="A797" s="1222">
        <v>796</v>
      </c>
      <c r="B797" s="1222" t="s">
        <v>1618</v>
      </c>
      <c r="C797" s="1307" t="s">
        <v>1684</v>
      </c>
      <c r="D797" s="1307" t="s">
        <v>1510</v>
      </c>
      <c r="E797" s="1303" t="s">
        <v>1809</v>
      </c>
    </row>
    <row r="798" spans="1:5" x14ac:dyDescent="0.25">
      <c r="A798" s="1222">
        <v>797</v>
      </c>
      <c r="B798" s="1222" t="s">
        <v>1618</v>
      </c>
      <c r="C798" s="1307" t="s">
        <v>1684</v>
      </c>
      <c r="D798" s="1307" t="s">
        <v>1681</v>
      </c>
      <c r="E798" s="1303" t="s">
        <v>1482</v>
      </c>
    </row>
    <row r="799" spans="1:5" x14ac:dyDescent="0.25">
      <c r="A799" s="1222">
        <v>798</v>
      </c>
      <c r="B799" s="1222" t="s">
        <v>1618</v>
      </c>
      <c r="C799" s="1307" t="s">
        <v>1684</v>
      </c>
      <c r="D799" s="1307" t="s">
        <v>1681</v>
      </c>
      <c r="E799" s="1303" t="s">
        <v>1479</v>
      </c>
    </row>
    <row r="800" spans="1:5" x14ac:dyDescent="0.25">
      <c r="A800" s="1222">
        <v>799</v>
      </c>
      <c r="B800" s="1222" t="s">
        <v>1618</v>
      </c>
      <c r="C800" s="1307" t="s">
        <v>1684</v>
      </c>
      <c r="D800" s="1307" t="s">
        <v>1681</v>
      </c>
      <c r="E800" s="1303" t="s">
        <v>1480</v>
      </c>
    </row>
    <row r="801" spans="1:5" x14ac:dyDescent="0.25">
      <c r="A801" s="1222">
        <v>800</v>
      </c>
      <c r="B801" s="1222" t="s">
        <v>1618</v>
      </c>
      <c r="C801" s="1307" t="s">
        <v>1684</v>
      </c>
      <c r="D801" s="1307" t="s">
        <v>1681</v>
      </c>
      <c r="E801" s="1303" t="s">
        <v>1496</v>
      </c>
    </row>
    <row r="802" spans="1:5" x14ac:dyDescent="0.25">
      <c r="A802" s="1222">
        <v>801</v>
      </c>
      <c r="B802" s="1222" t="s">
        <v>1618</v>
      </c>
      <c r="C802" s="1307" t="s">
        <v>1684</v>
      </c>
      <c r="D802" s="1307" t="s">
        <v>1510</v>
      </c>
      <c r="E802" s="1303" t="s">
        <v>1481</v>
      </c>
    </row>
    <row r="803" spans="1:5" x14ac:dyDescent="0.25">
      <c r="A803" s="1222">
        <v>802</v>
      </c>
      <c r="B803" s="1222" t="s">
        <v>1618</v>
      </c>
      <c r="C803" s="1307" t="s">
        <v>1684</v>
      </c>
      <c r="D803" s="1307" t="s">
        <v>1681</v>
      </c>
      <c r="E803" s="1303" t="s">
        <v>1588</v>
      </c>
    </row>
    <row r="804" spans="1:5" x14ac:dyDescent="0.25">
      <c r="A804" s="1222">
        <v>803</v>
      </c>
      <c r="B804" s="1222" t="s">
        <v>1618</v>
      </c>
      <c r="C804" s="1307" t="s">
        <v>1684</v>
      </c>
      <c r="D804" s="1307" t="s">
        <v>1681</v>
      </c>
      <c r="E804" s="1303" t="s">
        <v>1589</v>
      </c>
    </row>
    <row r="805" spans="1:5" x14ac:dyDescent="0.25">
      <c r="A805" s="1222">
        <v>804</v>
      </c>
      <c r="B805" s="1222" t="s">
        <v>1618</v>
      </c>
      <c r="C805" s="1307" t="s">
        <v>1684</v>
      </c>
      <c r="D805" s="1307" t="s">
        <v>1510</v>
      </c>
      <c r="E805" s="1303" t="s">
        <v>1590</v>
      </c>
    </row>
    <row r="806" spans="1:5" ht="30" x14ac:dyDescent="0.25">
      <c r="A806" s="1222">
        <v>805</v>
      </c>
      <c r="B806" s="1222" t="s">
        <v>1618</v>
      </c>
      <c r="C806" s="1307" t="s">
        <v>1684</v>
      </c>
      <c r="D806" s="1307" t="s">
        <v>1646</v>
      </c>
      <c r="E806" s="1303" t="s">
        <v>1484</v>
      </c>
    </row>
    <row r="807" spans="1:5" ht="30" x14ac:dyDescent="0.25">
      <c r="A807" s="1222">
        <v>806</v>
      </c>
      <c r="B807" s="1222" t="s">
        <v>1618</v>
      </c>
      <c r="C807" s="1307" t="s">
        <v>1684</v>
      </c>
      <c r="D807" s="1307" t="s">
        <v>1646</v>
      </c>
      <c r="E807" s="1303" t="s">
        <v>1485</v>
      </c>
    </row>
    <row r="808" spans="1:5" ht="30" x14ac:dyDescent="0.25">
      <c r="A808" s="1222">
        <v>807</v>
      </c>
      <c r="B808" s="1222" t="s">
        <v>1618</v>
      </c>
      <c r="C808" s="1307" t="s">
        <v>1684</v>
      </c>
      <c r="D808" s="1307" t="s">
        <v>1646</v>
      </c>
      <c r="E808" s="1303" t="s">
        <v>1597</v>
      </c>
    </row>
    <row r="809" spans="1:5" x14ac:dyDescent="0.25">
      <c r="A809" s="1222">
        <v>808</v>
      </c>
      <c r="B809" s="1222" t="s">
        <v>1618</v>
      </c>
      <c r="C809" s="1307" t="s">
        <v>1684</v>
      </c>
      <c r="D809" s="1307" t="s">
        <v>1510</v>
      </c>
      <c r="E809" s="1303" t="s">
        <v>1594</v>
      </c>
    </row>
    <row r="810" spans="1:5" x14ac:dyDescent="0.25">
      <c r="A810" s="1222">
        <v>809</v>
      </c>
      <c r="B810" s="1222" t="s">
        <v>1618</v>
      </c>
      <c r="C810" s="1307" t="s">
        <v>1684</v>
      </c>
      <c r="D810" s="1307" t="s">
        <v>1681</v>
      </c>
      <c r="E810" s="1303" t="s">
        <v>1608</v>
      </c>
    </row>
    <row r="811" spans="1:5" x14ac:dyDescent="0.25">
      <c r="A811" s="1222">
        <v>810</v>
      </c>
      <c r="B811" s="1222" t="s">
        <v>1618</v>
      </c>
      <c r="C811" s="1307" t="s">
        <v>1685</v>
      </c>
      <c r="D811" s="1307" t="s">
        <v>1681</v>
      </c>
      <c r="E811" s="1303" t="s">
        <v>1486</v>
      </c>
    </row>
    <row r="812" spans="1:5" x14ac:dyDescent="0.25">
      <c r="A812" s="1222">
        <v>811</v>
      </c>
      <c r="B812" s="1222" t="s">
        <v>1618</v>
      </c>
      <c r="C812" s="1307" t="s">
        <v>1685</v>
      </c>
      <c r="D812" s="1307" t="s">
        <v>1681</v>
      </c>
      <c r="E812" s="1303" t="s">
        <v>1487</v>
      </c>
    </row>
    <row r="813" spans="1:5" x14ac:dyDescent="0.25">
      <c r="A813" s="1222">
        <v>812</v>
      </c>
      <c r="B813" s="1222" t="s">
        <v>1618</v>
      </c>
      <c r="C813" s="1307" t="s">
        <v>1685</v>
      </c>
      <c r="D813" s="1307" t="s">
        <v>1681</v>
      </c>
      <c r="E813" s="1303" t="s">
        <v>1488</v>
      </c>
    </row>
    <row r="814" spans="1:5" x14ac:dyDescent="0.25">
      <c r="A814" s="1222">
        <v>813</v>
      </c>
      <c r="B814" s="1222" t="s">
        <v>1618</v>
      </c>
      <c r="C814" s="1307" t="s">
        <v>1686</v>
      </c>
      <c r="D814" s="1307" t="s">
        <v>1639</v>
      </c>
      <c r="E814" s="1303" t="s">
        <v>1593</v>
      </c>
    </row>
    <row r="815" spans="1:5" x14ac:dyDescent="0.25">
      <c r="A815" s="1222">
        <v>814</v>
      </c>
      <c r="B815" s="1222" t="s">
        <v>1618</v>
      </c>
      <c r="C815" s="1307" t="s">
        <v>1686</v>
      </c>
      <c r="D815" s="1307" t="s">
        <v>1510</v>
      </c>
      <c r="E815" s="1303" t="s">
        <v>1809</v>
      </c>
    </row>
    <row r="816" spans="1:5" x14ac:dyDescent="0.25">
      <c r="A816" s="1222">
        <v>815</v>
      </c>
      <c r="B816" s="1222" t="s">
        <v>1618</v>
      </c>
      <c r="C816" s="1307" t="s">
        <v>1686</v>
      </c>
      <c r="D816" s="1307" t="s">
        <v>1639</v>
      </c>
      <c r="E816" s="1303" t="s">
        <v>1482</v>
      </c>
    </row>
    <row r="817" spans="1:5" x14ac:dyDescent="0.25">
      <c r="A817" s="1222">
        <v>816</v>
      </c>
      <c r="B817" s="1222" t="s">
        <v>1618</v>
      </c>
      <c r="C817" s="1307" t="s">
        <v>1686</v>
      </c>
      <c r="D817" s="1307" t="s">
        <v>1639</v>
      </c>
      <c r="E817" s="1303" t="s">
        <v>1479</v>
      </c>
    </row>
    <row r="818" spans="1:5" x14ac:dyDescent="0.25">
      <c r="A818" s="1222">
        <v>817</v>
      </c>
      <c r="B818" s="1222" t="s">
        <v>1618</v>
      </c>
      <c r="C818" s="1307" t="s">
        <v>1686</v>
      </c>
      <c r="D818" s="1307" t="s">
        <v>1639</v>
      </c>
      <c r="E818" s="1303" t="s">
        <v>1480</v>
      </c>
    </row>
    <row r="819" spans="1:5" x14ac:dyDescent="0.25">
      <c r="A819" s="1222">
        <v>818</v>
      </c>
      <c r="B819" s="1222" t="s">
        <v>1618</v>
      </c>
      <c r="C819" s="1307" t="s">
        <v>1686</v>
      </c>
      <c r="D819" s="1307" t="s">
        <v>1639</v>
      </c>
      <c r="E819" s="1303" t="s">
        <v>1496</v>
      </c>
    </row>
    <row r="820" spans="1:5" x14ac:dyDescent="0.25">
      <c r="A820" s="1222">
        <v>819</v>
      </c>
      <c r="B820" s="1222" t="s">
        <v>1618</v>
      </c>
      <c r="C820" s="1307" t="s">
        <v>1686</v>
      </c>
      <c r="D820" s="1307" t="s">
        <v>1639</v>
      </c>
      <c r="E820" s="1303" t="s">
        <v>1481</v>
      </c>
    </row>
    <row r="821" spans="1:5" x14ac:dyDescent="0.25">
      <c r="A821" s="1222">
        <v>820</v>
      </c>
      <c r="B821" s="1222" t="s">
        <v>1618</v>
      </c>
      <c r="C821" s="1307" t="s">
        <v>1686</v>
      </c>
      <c r="D821" s="1307" t="s">
        <v>1639</v>
      </c>
      <c r="E821" s="1303" t="s">
        <v>1588</v>
      </c>
    </row>
    <row r="822" spans="1:5" x14ac:dyDescent="0.25">
      <c r="A822" s="1222">
        <v>821</v>
      </c>
      <c r="B822" s="1222" t="s">
        <v>1618</v>
      </c>
      <c r="C822" s="1307" t="s">
        <v>1686</v>
      </c>
      <c r="D822" s="1307" t="s">
        <v>1639</v>
      </c>
      <c r="E822" s="1303" t="s">
        <v>1589</v>
      </c>
    </row>
    <row r="823" spans="1:5" x14ac:dyDescent="0.25">
      <c r="A823" s="1222">
        <v>822</v>
      </c>
      <c r="B823" s="1222" t="s">
        <v>1618</v>
      </c>
      <c r="C823" s="1307" t="s">
        <v>1686</v>
      </c>
      <c r="D823" s="1307" t="s">
        <v>1510</v>
      </c>
      <c r="E823" s="1303" t="s">
        <v>1590</v>
      </c>
    </row>
    <row r="824" spans="1:5" ht="30" x14ac:dyDescent="0.25">
      <c r="A824" s="1222">
        <v>823</v>
      </c>
      <c r="B824" s="1222" t="s">
        <v>1618</v>
      </c>
      <c r="C824" s="1307" t="s">
        <v>1686</v>
      </c>
      <c r="D824" s="1307" t="s">
        <v>1646</v>
      </c>
      <c r="E824" s="1303" t="s">
        <v>1484</v>
      </c>
    </row>
    <row r="825" spans="1:5" ht="30" x14ac:dyDescent="0.25">
      <c r="A825" s="1222">
        <v>824</v>
      </c>
      <c r="B825" s="1222" t="s">
        <v>1618</v>
      </c>
      <c r="C825" s="1307" t="s">
        <v>1686</v>
      </c>
      <c r="D825" s="1307" t="s">
        <v>1646</v>
      </c>
      <c r="E825" s="1303" t="s">
        <v>1485</v>
      </c>
    </row>
    <row r="826" spans="1:5" ht="30" x14ac:dyDescent="0.25">
      <c r="A826" s="1222">
        <v>825</v>
      </c>
      <c r="B826" s="1222" t="s">
        <v>1618</v>
      </c>
      <c r="C826" s="1307" t="s">
        <v>1686</v>
      </c>
      <c r="D826" s="1307" t="s">
        <v>1646</v>
      </c>
      <c r="E826" s="1303" t="s">
        <v>1597</v>
      </c>
    </row>
    <row r="827" spans="1:5" x14ac:dyDescent="0.25">
      <c r="A827" s="1222">
        <v>826</v>
      </c>
      <c r="B827" s="1222" t="s">
        <v>1618</v>
      </c>
      <c r="C827" s="1307" t="s">
        <v>1686</v>
      </c>
      <c r="D827" s="1307" t="s">
        <v>1510</v>
      </c>
      <c r="E827" s="1303" t="s">
        <v>1594</v>
      </c>
    </row>
    <row r="828" spans="1:5" x14ac:dyDescent="0.25">
      <c r="A828" s="1222">
        <v>827</v>
      </c>
      <c r="B828" s="1222" t="s">
        <v>1618</v>
      </c>
      <c r="C828" s="1307" t="s">
        <v>1686</v>
      </c>
      <c r="D828" s="1307" t="s">
        <v>1639</v>
      </c>
      <c r="E828" s="1303" t="s">
        <v>1608</v>
      </c>
    </row>
    <row r="829" spans="1:5" x14ac:dyDescent="0.25">
      <c r="A829" s="1222">
        <v>828</v>
      </c>
      <c r="B829" s="1222" t="s">
        <v>1618</v>
      </c>
      <c r="C829" s="1307" t="s">
        <v>1687</v>
      </c>
      <c r="D829" s="1307" t="s">
        <v>1639</v>
      </c>
      <c r="E829" s="1303" t="s">
        <v>1486</v>
      </c>
    </row>
    <row r="830" spans="1:5" x14ac:dyDescent="0.25">
      <c r="A830" s="1222">
        <v>829</v>
      </c>
      <c r="B830" s="1222" t="s">
        <v>1618</v>
      </c>
      <c r="C830" s="1307" t="s">
        <v>1687</v>
      </c>
      <c r="D830" s="1307" t="s">
        <v>1639</v>
      </c>
      <c r="E830" s="1303" t="s">
        <v>1487</v>
      </c>
    </row>
    <row r="831" spans="1:5" x14ac:dyDescent="0.25">
      <c r="A831" s="1222">
        <v>830</v>
      </c>
      <c r="B831" s="1222" t="s">
        <v>1618</v>
      </c>
      <c r="C831" s="1307" t="s">
        <v>1687</v>
      </c>
      <c r="D831" s="1307" t="s">
        <v>1639</v>
      </c>
      <c r="E831" s="1303" t="s">
        <v>1488</v>
      </c>
    </row>
    <row r="832" spans="1:5" x14ac:dyDescent="0.25">
      <c r="A832" s="1222">
        <v>831</v>
      </c>
      <c r="B832" s="1222" t="s">
        <v>1618</v>
      </c>
      <c r="C832" s="1307" t="s">
        <v>1688</v>
      </c>
      <c r="D832" s="1307" t="s">
        <v>1639</v>
      </c>
      <c r="E832" s="1303" t="s">
        <v>1486</v>
      </c>
    </row>
    <row r="833" spans="1:5" x14ac:dyDescent="0.25">
      <c r="A833" s="1222">
        <v>832</v>
      </c>
      <c r="B833" s="1222" t="s">
        <v>1618</v>
      </c>
      <c r="C833" s="1307" t="s">
        <v>1688</v>
      </c>
      <c r="D833" s="1307" t="s">
        <v>1639</v>
      </c>
      <c r="E833" s="1303" t="s">
        <v>1487</v>
      </c>
    </row>
    <row r="834" spans="1:5" x14ac:dyDescent="0.25">
      <c r="A834" s="1222">
        <v>833</v>
      </c>
      <c r="B834" s="1222" t="s">
        <v>1618</v>
      </c>
      <c r="C834" s="1307" t="s">
        <v>1688</v>
      </c>
      <c r="D834" s="1307" t="s">
        <v>1639</v>
      </c>
      <c r="E834" s="1303" t="s">
        <v>1488</v>
      </c>
    </row>
    <row r="835" spans="1:5" x14ac:dyDescent="0.25">
      <c r="A835" s="1222">
        <v>834</v>
      </c>
      <c r="B835" s="1222" t="s">
        <v>1618</v>
      </c>
      <c r="C835" s="1307" t="s">
        <v>1689</v>
      </c>
      <c r="D835" s="1307" t="s">
        <v>1639</v>
      </c>
      <c r="E835" s="1303" t="s">
        <v>1486</v>
      </c>
    </row>
    <row r="836" spans="1:5" x14ac:dyDescent="0.25">
      <c r="A836" s="1222">
        <v>835</v>
      </c>
      <c r="B836" s="1222" t="s">
        <v>1618</v>
      </c>
      <c r="C836" s="1307" t="s">
        <v>1689</v>
      </c>
      <c r="D836" s="1307" t="s">
        <v>1639</v>
      </c>
      <c r="E836" s="1303" t="s">
        <v>1487</v>
      </c>
    </row>
    <row r="837" spans="1:5" x14ac:dyDescent="0.25">
      <c r="A837" s="1222">
        <v>836</v>
      </c>
      <c r="B837" s="1222" t="s">
        <v>1618</v>
      </c>
      <c r="C837" s="1307" t="s">
        <v>1689</v>
      </c>
      <c r="D837" s="1307" t="s">
        <v>1639</v>
      </c>
      <c r="E837" s="1303" t="s">
        <v>1488</v>
      </c>
    </row>
    <row r="838" spans="1:5" x14ac:dyDescent="0.25">
      <c r="A838" s="1222">
        <v>837</v>
      </c>
      <c r="B838" s="1222" t="s">
        <v>1618</v>
      </c>
      <c r="C838" s="1307" t="s">
        <v>1690</v>
      </c>
      <c r="D838" s="1307" t="s">
        <v>1615</v>
      </c>
      <c r="E838" s="1303" t="s">
        <v>1486</v>
      </c>
    </row>
    <row r="839" spans="1:5" x14ac:dyDescent="0.25">
      <c r="A839" s="1222">
        <v>838</v>
      </c>
      <c r="B839" s="1222" t="s">
        <v>1618</v>
      </c>
      <c r="C839" s="1307" t="s">
        <v>1690</v>
      </c>
      <c r="D839" s="1307" t="s">
        <v>1639</v>
      </c>
      <c r="E839" s="1303" t="s">
        <v>1487</v>
      </c>
    </row>
    <row r="840" spans="1:5" x14ac:dyDescent="0.25">
      <c r="A840" s="1222">
        <v>839</v>
      </c>
      <c r="B840" s="1222" t="s">
        <v>1618</v>
      </c>
      <c r="C840" s="1307" t="s">
        <v>1690</v>
      </c>
      <c r="D840" s="1307" t="s">
        <v>1639</v>
      </c>
      <c r="E840" s="1303" t="s">
        <v>1488</v>
      </c>
    </row>
    <row r="841" spans="1:5" x14ac:dyDescent="0.25">
      <c r="A841" s="1222">
        <v>840</v>
      </c>
      <c r="B841" s="1222" t="s">
        <v>1618</v>
      </c>
      <c r="C841" s="1307" t="s">
        <v>1691</v>
      </c>
      <c r="D841" s="1307" t="s">
        <v>1639</v>
      </c>
      <c r="E841" s="1303" t="s">
        <v>1486</v>
      </c>
    </row>
    <row r="842" spans="1:5" x14ac:dyDescent="0.25">
      <c r="A842" s="1222">
        <v>841</v>
      </c>
      <c r="B842" s="1222" t="s">
        <v>1618</v>
      </c>
      <c r="C842" s="1307" t="s">
        <v>1691</v>
      </c>
      <c r="D842" s="1307" t="s">
        <v>1639</v>
      </c>
      <c r="E842" s="1303" t="s">
        <v>1487</v>
      </c>
    </row>
    <row r="843" spans="1:5" x14ac:dyDescent="0.25">
      <c r="A843" s="1222">
        <v>842</v>
      </c>
      <c r="B843" s="1222" t="s">
        <v>1618</v>
      </c>
      <c r="C843" s="1307" t="s">
        <v>1691</v>
      </c>
      <c r="D843" s="1307" t="s">
        <v>1639</v>
      </c>
      <c r="E843" s="1303" t="s">
        <v>1488</v>
      </c>
    </row>
    <row r="844" spans="1:5" x14ac:dyDescent="0.25">
      <c r="A844" s="1222">
        <v>843</v>
      </c>
      <c r="B844" s="1222" t="s">
        <v>1618</v>
      </c>
      <c r="C844" s="1307" t="s">
        <v>1692</v>
      </c>
      <c r="D844" s="1307" t="s">
        <v>1639</v>
      </c>
      <c r="E844" s="1303" t="s">
        <v>1593</v>
      </c>
    </row>
    <row r="845" spans="1:5" x14ac:dyDescent="0.25">
      <c r="A845" s="1222">
        <v>844</v>
      </c>
      <c r="B845" s="1222" t="s">
        <v>1618</v>
      </c>
      <c r="C845" s="1307" t="s">
        <v>1692</v>
      </c>
      <c r="D845" s="1307" t="s">
        <v>1639</v>
      </c>
      <c r="E845" s="1303" t="s">
        <v>1809</v>
      </c>
    </row>
    <row r="846" spans="1:5" x14ac:dyDescent="0.25">
      <c r="A846" s="1222">
        <v>845</v>
      </c>
      <c r="B846" s="1222" t="s">
        <v>1618</v>
      </c>
      <c r="C846" s="1307" t="s">
        <v>1692</v>
      </c>
      <c r="D846" s="1307" t="s">
        <v>1639</v>
      </c>
      <c r="E846" s="1303" t="s">
        <v>1482</v>
      </c>
    </row>
    <row r="847" spans="1:5" x14ac:dyDescent="0.25">
      <c r="A847" s="1222">
        <v>846</v>
      </c>
      <c r="B847" s="1222" t="s">
        <v>1618</v>
      </c>
      <c r="C847" s="1307" t="s">
        <v>1692</v>
      </c>
      <c r="D847" s="1307" t="s">
        <v>1639</v>
      </c>
      <c r="E847" s="1303" t="s">
        <v>1479</v>
      </c>
    </row>
    <row r="848" spans="1:5" x14ac:dyDescent="0.25">
      <c r="A848" s="1222">
        <v>847</v>
      </c>
      <c r="B848" s="1222" t="s">
        <v>1618</v>
      </c>
      <c r="C848" s="1307" t="s">
        <v>1692</v>
      </c>
      <c r="D848" s="1307" t="s">
        <v>1639</v>
      </c>
      <c r="E848" s="1303" t="s">
        <v>1480</v>
      </c>
    </row>
    <row r="849" spans="1:5" x14ac:dyDescent="0.25">
      <c r="A849" s="1222">
        <v>848</v>
      </c>
      <c r="B849" s="1222" t="s">
        <v>1618</v>
      </c>
      <c r="C849" s="1307" t="s">
        <v>1692</v>
      </c>
      <c r="D849" s="1307" t="s">
        <v>1639</v>
      </c>
      <c r="E849" s="1303" t="s">
        <v>1496</v>
      </c>
    </row>
    <row r="850" spans="1:5" x14ac:dyDescent="0.25">
      <c r="A850" s="1222">
        <v>849</v>
      </c>
      <c r="B850" s="1222" t="s">
        <v>1618</v>
      </c>
      <c r="C850" s="1307" t="s">
        <v>1692</v>
      </c>
      <c r="D850" s="1307" t="s">
        <v>1639</v>
      </c>
      <c r="E850" s="1303" t="s">
        <v>1481</v>
      </c>
    </row>
    <row r="851" spans="1:5" x14ac:dyDescent="0.25">
      <c r="A851" s="1222">
        <v>850</v>
      </c>
      <c r="B851" s="1222" t="s">
        <v>1618</v>
      </c>
      <c r="C851" s="1307" t="s">
        <v>1692</v>
      </c>
      <c r="D851" s="1307" t="s">
        <v>1639</v>
      </c>
      <c r="E851" s="1303" t="s">
        <v>1588</v>
      </c>
    </row>
    <row r="852" spans="1:5" x14ac:dyDescent="0.25">
      <c r="A852" s="1222">
        <v>851</v>
      </c>
      <c r="B852" s="1222" t="s">
        <v>1618</v>
      </c>
      <c r="C852" s="1307" t="s">
        <v>1692</v>
      </c>
      <c r="D852" s="1307" t="s">
        <v>1639</v>
      </c>
      <c r="E852" s="1303" t="s">
        <v>1589</v>
      </c>
    </row>
    <row r="853" spans="1:5" x14ac:dyDescent="0.25">
      <c r="A853" s="1222">
        <v>852</v>
      </c>
      <c r="B853" s="1222" t="s">
        <v>1618</v>
      </c>
      <c r="C853" s="1307" t="s">
        <v>1692</v>
      </c>
      <c r="D853" s="1307" t="s">
        <v>1510</v>
      </c>
      <c r="E853" s="1303" t="s">
        <v>1590</v>
      </c>
    </row>
    <row r="854" spans="1:5" ht="30" x14ac:dyDescent="0.25">
      <c r="A854" s="1222">
        <v>853</v>
      </c>
      <c r="B854" s="1222" t="s">
        <v>1618</v>
      </c>
      <c r="C854" s="1307" t="s">
        <v>1692</v>
      </c>
      <c r="D854" s="1307" t="s">
        <v>1646</v>
      </c>
      <c r="E854" s="1303" t="s">
        <v>1484</v>
      </c>
    </row>
    <row r="855" spans="1:5" ht="30" x14ac:dyDescent="0.25">
      <c r="A855" s="1222">
        <v>854</v>
      </c>
      <c r="B855" s="1222" t="s">
        <v>1618</v>
      </c>
      <c r="C855" s="1307" t="s">
        <v>1692</v>
      </c>
      <c r="D855" s="1307" t="s">
        <v>1646</v>
      </c>
      <c r="E855" s="1303" t="s">
        <v>1485</v>
      </c>
    </row>
    <row r="856" spans="1:5" ht="30" x14ac:dyDescent="0.25">
      <c r="A856" s="1222">
        <v>855</v>
      </c>
      <c r="B856" s="1222" t="s">
        <v>1618</v>
      </c>
      <c r="C856" s="1307" t="s">
        <v>1692</v>
      </c>
      <c r="D856" s="1307" t="s">
        <v>1646</v>
      </c>
      <c r="E856" s="1303" t="s">
        <v>1597</v>
      </c>
    </row>
    <row r="857" spans="1:5" x14ac:dyDescent="0.25">
      <c r="A857" s="1222">
        <v>856</v>
      </c>
      <c r="B857" s="1222" t="s">
        <v>1618</v>
      </c>
      <c r="C857" s="1307" t="s">
        <v>1692</v>
      </c>
      <c r="D857" s="1307" t="s">
        <v>1510</v>
      </c>
      <c r="E857" s="1303" t="s">
        <v>1594</v>
      </c>
    </row>
    <row r="858" spans="1:5" x14ac:dyDescent="0.25">
      <c r="A858" s="1222">
        <v>857</v>
      </c>
      <c r="B858" s="1222" t="s">
        <v>1618</v>
      </c>
      <c r="C858" s="1307" t="s">
        <v>1692</v>
      </c>
      <c r="D858" s="1307" t="s">
        <v>1639</v>
      </c>
      <c r="E858" s="1303" t="s">
        <v>1608</v>
      </c>
    </row>
    <row r="859" spans="1:5" x14ac:dyDescent="0.25">
      <c r="A859" s="1222">
        <v>858</v>
      </c>
      <c r="B859" s="1222" t="s">
        <v>1618</v>
      </c>
      <c r="C859" s="1307" t="s">
        <v>1693</v>
      </c>
      <c r="D859" s="1307" t="s">
        <v>1639</v>
      </c>
      <c r="E859" s="1303" t="s">
        <v>1486</v>
      </c>
    </row>
    <row r="860" spans="1:5" x14ac:dyDescent="0.25">
      <c r="A860" s="1222">
        <v>859</v>
      </c>
      <c r="B860" s="1222" t="s">
        <v>1618</v>
      </c>
      <c r="C860" s="1307" t="s">
        <v>1693</v>
      </c>
      <c r="D860" s="1307" t="s">
        <v>1639</v>
      </c>
      <c r="E860" s="1303" t="s">
        <v>1487</v>
      </c>
    </row>
    <row r="861" spans="1:5" x14ac:dyDescent="0.25">
      <c r="A861" s="1222">
        <v>860</v>
      </c>
      <c r="B861" s="1222" t="s">
        <v>1618</v>
      </c>
      <c r="C861" s="1307" t="s">
        <v>1693</v>
      </c>
      <c r="D861" s="1307" t="s">
        <v>1639</v>
      </c>
      <c r="E861" s="1303" t="s">
        <v>1488</v>
      </c>
    </row>
    <row r="862" spans="1:5" x14ac:dyDescent="0.25">
      <c r="A862" s="1222">
        <v>861</v>
      </c>
      <c r="B862" s="1222" t="s">
        <v>1618</v>
      </c>
      <c r="C862" s="1307" t="s">
        <v>1694</v>
      </c>
      <c r="D862" s="1307" t="s">
        <v>1639</v>
      </c>
      <c r="E862" s="1303" t="s">
        <v>1486</v>
      </c>
    </row>
    <row r="863" spans="1:5" x14ac:dyDescent="0.25">
      <c r="A863" s="1222">
        <v>862</v>
      </c>
      <c r="B863" s="1222" t="s">
        <v>1618</v>
      </c>
      <c r="C863" s="1307" t="s">
        <v>1694</v>
      </c>
      <c r="D863" s="1307" t="s">
        <v>1639</v>
      </c>
      <c r="E863" s="1303" t="s">
        <v>1487</v>
      </c>
    </row>
    <row r="864" spans="1:5" x14ac:dyDescent="0.25">
      <c r="A864" s="1222">
        <v>863</v>
      </c>
      <c r="B864" s="1222" t="s">
        <v>1618</v>
      </c>
      <c r="C864" s="1307" t="s">
        <v>1694</v>
      </c>
      <c r="D864" s="1307" t="s">
        <v>1639</v>
      </c>
      <c r="E864" s="1303" t="s">
        <v>1488</v>
      </c>
    </row>
    <row r="865" spans="1:5" x14ac:dyDescent="0.25">
      <c r="A865" s="1222">
        <v>864</v>
      </c>
      <c r="B865" s="1222" t="s">
        <v>1618</v>
      </c>
      <c r="C865" s="1307" t="s">
        <v>1695</v>
      </c>
      <c r="D865" s="1307" t="s">
        <v>1639</v>
      </c>
      <c r="E865" s="1303" t="s">
        <v>1486</v>
      </c>
    </row>
    <row r="866" spans="1:5" x14ac:dyDescent="0.25">
      <c r="A866" s="1222">
        <v>865</v>
      </c>
      <c r="B866" s="1222" t="s">
        <v>1618</v>
      </c>
      <c r="C866" s="1307" t="s">
        <v>1695</v>
      </c>
      <c r="D866" s="1307" t="s">
        <v>1639</v>
      </c>
      <c r="E866" s="1303" t="s">
        <v>1487</v>
      </c>
    </row>
    <row r="867" spans="1:5" x14ac:dyDescent="0.25">
      <c r="A867" s="1222">
        <v>866</v>
      </c>
      <c r="B867" s="1222" t="s">
        <v>1618</v>
      </c>
      <c r="C867" s="1307" t="s">
        <v>1695</v>
      </c>
      <c r="D867" s="1307" t="s">
        <v>1639</v>
      </c>
      <c r="E867" s="1303" t="s">
        <v>1488</v>
      </c>
    </row>
    <row r="868" spans="1:5" x14ac:dyDescent="0.25">
      <c r="A868" s="1222">
        <v>867</v>
      </c>
      <c r="B868" s="1222" t="s">
        <v>1618</v>
      </c>
      <c r="C868" s="1307" t="s">
        <v>1696</v>
      </c>
      <c r="D868" s="1307" t="s">
        <v>1639</v>
      </c>
      <c r="E868" s="1303" t="s">
        <v>1486</v>
      </c>
    </row>
    <row r="869" spans="1:5" x14ac:dyDescent="0.25">
      <c r="A869" s="1222">
        <v>868</v>
      </c>
      <c r="B869" s="1222" t="s">
        <v>1618</v>
      </c>
      <c r="C869" s="1307" t="s">
        <v>1696</v>
      </c>
      <c r="D869" s="1307" t="s">
        <v>1639</v>
      </c>
      <c r="E869" s="1303" t="s">
        <v>1487</v>
      </c>
    </row>
    <row r="870" spans="1:5" x14ac:dyDescent="0.25">
      <c r="A870" s="1222">
        <v>869</v>
      </c>
      <c r="B870" s="1222" t="s">
        <v>1618</v>
      </c>
      <c r="C870" s="1307" t="s">
        <v>1696</v>
      </c>
      <c r="D870" s="1307" t="s">
        <v>1639</v>
      </c>
      <c r="E870" s="1303" t="s">
        <v>1488</v>
      </c>
    </row>
    <row r="871" spans="1:5" x14ac:dyDescent="0.25">
      <c r="A871" s="1222">
        <v>870</v>
      </c>
      <c r="B871" s="1222" t="s">
        <v>1618</v>
      </c>
      <c r="C871" s="1307" t="s">
        <v>1697</v>
      </c>
      <c r="D871" s="1307" t="s">
        <v>1639</v>
      </c>
      <c r="E871" s="1303" t="s">
        <v>1486</v>
      </c>
    </row>
    <row r="872" spans="1:5" x14ac:dyDescent="0.25">
      <c r="A872" s="1222">
        <v>871</v>
      </c>
      <c r="B872" s="1222" t="s">
        <v>1618</v>
      </c>
      <c r="C872" s="1307" t="s">
        <v>1697</v>
      </c>
      <c r="D872" s="1307" t="s">
        <v>1639</v>
      </c>
      <c r="E872" s="1303" t="s">
        <v>1487</v>
      </c>
    </row>
    <row r="873" spans="1:5" x14ac:dyDescent="0.25">
      <c r="A873" s="1222">
        <v>872</v>
      </c>
      <c r="B873" s="1222" t="s">
        <v>1618</v>
      </c>
      <c r="C873" s="1307" t="s">
        <v>1697</v>
      </c>
      <c r="D873" s="1307" t="s">
        <v>1639</v>
      </c>
      <c r="E873" s="1303" t="s">
        <v>1488</v>
      </c>
    </row>
    <row r="874" spans="1:5" x14ac:dyDescent="0.25">
      <c r="A874" s="1222">
        <v>873</v>
      </c>
      <c r="B874" s="1222" t="s">
        <v>1618</v>
      </c>
      <c r="C874" s="1307" t="s">
        <v>1853</v>
      </c>
      <c r="D874" s="1307" t="s">
        <v>1698</v>
      </c>
      <c r="E874" s="1303" t="s">
        <v>1593</v>
      </c>
    </row>
    <row r="875" spans="1:5" x14ac:dyDescent="0.25">
      <c r="A875" s="1222">
        <v>874</v>
      </c>
      <c r="B875" s="1222" t="s">
        <v>1618</v>
      </c>
      <c r="C875" s="1307" t="s">
        <v>1853</v>
      </c>
      <c r="D875" s="1307" t="s">
        <v>1698</v>
      </c>
      <c r="E875" s="1303" t="s">
        <v>1809</v>
      </c>
    </row>
    <row r="876" spans="1:5" x14ac:dyDescent="0.25">
      <c r="A876" s="1222">
        <v>875</v>
      </c>
      <c r="B876" s="1222" t="s">
        <v>1618</v>
      </c>
      <c r="C876" s="1307" t="s">
        <v>1853</v>
      </c>
      <c r="D876" s="1307" t="s">
        <v>1698</v>
      </c>
      <c r="E876" s="1303" t="s">
        <v>1482</v>
      </c>
    </row>
    <row r="877" spans="1:5" x14ac:dyDescent="0.25">
      <c r="A877" s="1222">
        <v>876</v>
      </c>
      <c r="B877" s="1222" t="s">
        <v>1618</v>
      </c>
      <c r="C877" s="1307" t="s">
        <v>1853</v>
      </c>
      <c r="D877" s="1307" t="s">
        <v>1698</v>
      </c>
      <c r="E877" s="1303" t="s">
        <v>1479</v>
      </c>
    </row>
    <row r="878" spans="1:5" x14ac:dyDescent="0.25">
      <c r="A878" s="1222">
        <v>877</v>
      </c>
      <c r="B878" s="1222" t="s">
        <v>1618</v>
      </c>
      <c r="C878" s="1307" t="s">
        <v>1853</v>
      </c>
      <c r="D878" s="1307" t="s">
        <v>1698</v>
      </c>
      <c r="E878" s="1303" t="s">
        <v>1480</v>
      </c>
    </row>
    <row r="879" spans="1:5" x14ac:dyDescent="0.25">
      <c r="A879" s="1222">
        <v>878</v>
      </c>
      <c r="B879" s="1222" t="s">
        <v>1618</v>
      </c>
      <c r="C879" s="1307" t="s">
        <v>1853</v>
      </c>
      <c r="D879" s="1307" t="s">
        <v>1698</v>
      </c>
      <c r="E879" s="1303" t="s">
        <v>1496</v>
      </c>
    </row>
    <row r="880" spans="1:5" x14ac:dyDescent="0.25">
      <c r="A880" s="1222">
        <v>879</v>
      </c>
      <c r="B880" s="1222" t="s">
        <v>1618</v>
      </c>
      <c r="C880" s="1307" t="s">
        <v>1853</v>
      </c>
      <c r="D880" s="1307" t="s">
        <v>1510</v>
      </c>
      <c r="E880" s="1303" t="s">
        <v>1481</v>
      </c>
    </row>
    <row r="881" spans="1:5" x14ac:dyDescent="0.25">
      <c r="A881" s="1222">
        <v>880</v>
      </c>
      <c r="B881" s="1222" t="s">
        <v>1618</v>
      </c>
      <c r="C881" s="1307" t="s">
        <v>1699</v>
      </c>
      <c r="D881" s="1307" t="s">
        <v>1698</v>
      </c>
      <c r="E881" s="1303" t="s">
        <v>1588</v>
      </c>
    </row>
    <row r="882" spans="1:5" x14ac:dyDescent="0.25">
      <c r="A882" s="1222">
        <v>881</v>
      </c>
      <c r="B882" s="1222" t="s">
        <v>1618</v>
      </c>
      <c r="C882" s="1307" t="s">
        <v>1699</v>
      </c>
      <c r="D882" s="1307" t="s">
        <v>1698</v>
      </c>
      <c r="E882" s="1303" t="s">
        <v>1589</v>
      </c>
    </row>
    <row r="883" spans="1:5" x14ac:dyDescent="0.25">
      <c r="A883" s="1222">
        <v>882</v>
      </c>
      <c r="B883" s="1222" t="s">
        <v>1618</v>
      </c>
      <c r="C883" s="1307" t="s">
        <v>1699</v>
      </c>
      <c r="D883" s="1307" t="s">
        <v>1510</v>
      </c>
      <c r="E883" s="1303" t="s">
        <v>1590</v>
      </c>
    </row>
    <row r="884" spans="1:5" ht="30" x14ac:dyDescent="0.25">
      <c r="A884" s="1222">
        <v>883</v>
      </c>
      <c r="B884" s="1222" t="s">
        <v>1618</v>
      </c>
      <c r="C884" s="1307" t="s">
        <v>1699</v>
      </c>
      <c r="D884" s="1307" t="s">
        <v>1646</v>
      </c>
      <c r="E884" s="1303" t="s">
        <v>1484</v>
      </c>
    </row>
    <row r="885" spans="1:5" ht="30" x14ac:dyDescent="0.25">
      <c r="A885" s="1222">
        <v>884</v>
      </c>
      <c r="B885" s="1222" t="s">
        <v>1618</v>
      </c>
      <c r="C885" s="1307" t="s">
        <v>1699</v>
      </c>
      <c r="D885" s="1307" t="s">
        <v>1646</v>
      </c>
      <c r="E885" s="1303" t="s">
        <v>1485</v>
      </c>
    </row>
    <row r="886" spans="1:5" ht="30" x14ac:dyDescent="0.25">
      <c r="A886" s="1222">
        <v>885</v>
      </c>
      <c r="B886" s="1222" t="s">
        <v>1618</v>
      </c>
      <c r="C886" s="1307" t="s">
        <v>1699</v>
      </c>
      <c r="D886" s="1307" t="s">
        <v>1646</v>
      </c>
      <c r="E886" s="1303" t="s">
        <v>1597</v>
      </c>
    </row>
    <row r="887" spans="1:5" x14ac:dyDescent="0.25">
      <c r="A887" s="1222">
        <v>886</v>
      </c>
      <c r="B887" s="1222" t="s">
        <v>1618</v>
      </c>
      <c r="C887" s="1307" t="s">
        <v>1699</v>
      </c>
      <c r="D887" s="1307" t="s">
        <v>1510</v>
      </c>
      <c r="E887" s="1303" t="s">
        <v>1594</v>
      </c>
    </row>
    <row r="888" spans="1:5" x14ac:dyDescent="0.25">
      <c r="A888" s="1222">
        <v>887</v>
      </c>
      <c r="B888" s="1222" t="s">
        <v>1618</v>
      </c>
      <c r="C888" s="1307" t="s">
        <v>1699</v>
      </c>
      <c r="D888" s="1307" t="s">
        <v>1698</v>
      </c>
      <c r="E888" s="1303" t="s">
        <v>1608</v>
      </c>
    </row>
    <row r="889" spans="1:5" x14ac:dyDescent="0.25">
      <c r="A889" s="1222">
        <v>888</v>
      </c>
      <c r="B889" s="1222" t="s">
        <v>1618</v>
      </c>
      <c r="C889" s="1307" t="s">
        <v>1700</v>
      </c>
      <c r="D889" s="1307" t="s">
        <v>1698</v>
      </c>
      <c r="E889" s="1303" t="s">
        <v>1486</v>
      </c>
    </row>
    <row r="890" spans="1:5" x14ac:dyDescent="0.25">
      <c r="A890" s="1222">
        <v>889</v>
      </c>
      <c r="B890" s="1222" t="s">
        <v>1618</v>
      </c>
      <c r="C890" s="1307" t="s">
        <v>1700</v>
      </c>
      <c r="D890" s="1307" t="s">
        <v>1698</v>
      </c>
      <c r="E890" s="1303" t="s">
        <v>1487</v>
      </c>
    </row>
    <row r="891" spans="1:5" x14ac:dyDescent="0.25">
      <c r="A891" s="1222">
        <v>890</v>
      </c>
      <c r="B891" s="1222" t="s">
        <v>1618</v>
      </c>
      <c r="C891" s="1307" t="s">
        <v>1700</v>
      </c>
      <c r="D891" s="1307" t="s">
        <v>1698</v>
      </c>
      <c r="E891" s="1303" t="s">
        <v>1175</v>
      </c>
    </row>
    <row r="892" spans="1:5" x14ac:dyDescent="0.25">
      <c r="A892" s="1222">
        <v>891</v>
      </c>
      <c r="B892" s="1222" t="s">
        <v>1618</v>
      </c>
      <c r="C892" s="1307" t="s">
        <v>1699</v>
      </c>
      <c r="D892" s="1307" t="s">
        <v>1698</v>
      </c>
      <c r="E892" s="1303" t="s">
        <v>1610</v>
      </c>
    </row>
    <row r="893" spans="1:5" x14ac:dyDescent="0.25">
      <c r="A893" s="1222">
        <v>892</v>
      </c>
      <c r="B893" s="1222" t="s">
        <v>1618</v>
      </c>
      <c r="C893" s="1307" t="s">
        <v>1854</v>
      </c>
      <c r="D893" s="1307" t="s">
        <v>1698</v>
      </c>
      <c r="E893" s="1305" t="s">
        <v>1593</v>
      </c>
    </row>
    <row r="894" spans="1:5" x14ac:dyDescent="0.25">
      <c r="A894" s="1222">
        <v>893</v>
      </c>
      <c r="B894" s="1222" t="s">
        <v>1618</v>
      </c>
      <c r="C894" s="1307" t="s">
        <v>1854</v>
      </c>
      <c r="D894" s="1307" t="s">
        <v>1698</v>
      </c>
      <c r="E894" s="1305" t="s">
        <v>1809</v>
      </c>
    </row>
    <row r="895" spans="1:5" x14ac:dyDescent="0.25">
      <c r="A895" s="1222">
        <v>894</v>
      </c>
      <c r="B895" s="1222" t="s">
        <v>1618</v>
      </c>
      <c r="C895" s="1307" t="s">
        <v>1854</v>
      </c>
      <c r="D895" s="1307" t="s">
        <v>1698</v>
      </c>
      <c r="E895" s="1305" t="s">
        <v>1482</v>
      </c>
    </row>
    <row r="896" spans="1:5" x14ac:dyDescent="0.25">
      <c r="A896" s="1222">
        <v>895</v>
      </c>
      <c r="B896" s="1222" t="s">
        <v>1618</v>
      </c>
      <c r="C896" s="1307" t="s">
        <v>1854</v>
      </c>
      <c r="D896" s="1307" t="s">
        <v>1698</v>
      </c>
      <c r="E896" s="1305" t="s">
        <v>1479</v>
      </c>
    </row>
    <row r="897" spans="1:5" x14ac:dyDescent="0.25">
      <c r="A897" s="1222">
        <v>896</v>
      </c>
      <c r="B897" s="1222" t="s">
        <v>1618</v>
      </c>
      <c r="C897" s="1307" t="s">
        <v>1854</v>
      </c>
      <c r="D897" s="1307" t="s">
        <v>1698</v>
      </c>
      <c r="E897" s="1305" t="s">
        <v>1480</v>
      </c>
    </row>
    <row r="898" spans="1:5" x14ac:dyDescent="0.25">
      <c r="A898" s="1222">
        <v>897</v>
      </c>
      <c r="B898" s="1222" t="s">
        <v>1618</v>
      </c>
      <c r="C898" s="1307" t="s">
        <v>1854</v>
      </c>
      <c r="D898" s="1307" t="s">
        <v>1698</v>
      </c>
      <c r="E898" s="1305" t="s">
        <v>1496</v>
      </c>
    </row>
    <row r="899" spans="1:5" x14ac:dyDescent="0.25">
      <c r="A899" s="1222">
        <v>898</v>
      </c>
      <c r="B899" s="1222" t="s">
        <v>1618</v>
      </c>
      <c r="C899" s="1307" t="s">
        <v>1854</v>
      </c>
      <c r="D899" s="1307" t="s">
        <v>1510</v>
      </c>
      <c r="E899" s="1305" t="s">
        <v>1481</v>
      </c>
    </row>
    <row r="900" spans="1:5" x14ac:dyDescent="0.25">
      <c r="A900" s="1222">
        <v>899</v>
      </c>
      <c r="B900" s="1222" t="s">
        <v>1618</v>
      </c>
      <c r="C900" s="1307" t="s">
        <v>1818</v>
      </c>
      <c r="D900" s="1307" t="s">
        <v>1698</v>
      </c>
      <c r="E900" s="1305" t="s">
        <v>1588</v>
      </c>
    </row>
    <row r="901" spans="1:5" x14ac:dyDescent="0.25">
      <c r="A901" s="1222">
        <v>900</v>
      </c>
      <c r="B901" s="1222" t="s">
        <v>1618</v>
      </c>
      <c r="C901" s="1307" t="s">
        <v>1818</v>
      </c>
      <c r="D901" s="1307" t="s">
        <v>1698</v>
      </c>
      <c r="E901" s="1305" t="s">
        <v>1589</v>
      </c>
    </row>
    <row r="902" spans="1:5" x14ac:dyDescent="0.25">
      <c r="A902" s="1222">
        <v>901</v>
      </c>
      <c r="B902" s="1222" t="s">
        <v>1618</v>
      </c>
      <c r="C902" s="1307" t="s">
        <v>1818</v>
      </c>
      <c r="D902" s="1307" t="s">
        <v>1510</v>
      </c>
      <c r="E902" s="1305" t="s">
        <v>1590</v>
      </c>
    </row>
    <row r="903" spans="1:5" ht="30" x14ac:dyDescent="0.25">
      <c r="A903" s="1222">
        <v>902</v>
      </c>
      <c r="B903" s="1222" t="s">
        <v>1618</v>
      </c>
      <c r="C903" s="1307" t="s">
        <v>1818</v>
      </c>
      <c r="D903" s="1307" t="s">
        <v>1646</v>
      </c>
      <c r="E903" s="1305" t="s">
        <v>1484</v>
      </c>
    </row>
    <row r="904" spans="1:5" ht="30" x14ac:dyDescent="0.25">
      <c r="A904" s="1222">
        <v>903</v>
      </c>
      <c r="B904" s="1222" t="s">
        <v>1618</v>
      </c>
      <c r="C904" s="1307" t="s">
        <v>1818</v>
      </c>
      <c r="D904" s="1307" t="s">
        <v>1646</v>
      </c>
      <c r="E904" s="1305" t="s">
        <v>1485</v>
      </c>
    </row>
    <row r="905" spans="1:5" ht="30" x14ac:dyDescent="0.25">
      <c r="A905" s="1222">
        <v>904</v>
      </c>
      <c r="B905" s="1222" t="s">
        <v>1618</v>
      </c>
      <c r="C905" s="1307" t="s">
        <v>1818</v>
      </c>
      <c r="D905" s="1307" t="s">
        <v>1646</v>
      </c>
      <c r="E905" s="1305" t="s">
        <v>1597</v>
      </c>
    </row>
    <row r="906" spans="1:5" x14ac:dyDescent="0.25">
      <c r="A906" s="1222">
        <v>905</v>
      </c>
      <c r="B906" s="1222" t="s">
        <v>1618</v>
      </c>
      <c r="C906" s="1307" t="s">
        <v>1818</v>
      </c>
      <c r="D906" s="1307" t="s">
        <v>1510</v>
      </c>
      <c r="E906" s="1305" t="s">
        <v>1594</v>
      </c>
    </row>
    <row r="907" spans="1:5" x14ac:dyDescent="0.25">
      <c r="A907" s="1222">
        <v>906</v>
      </c>
      <c r="B907" s="1222" t="s">
        <v>1618</v>
      </c>
      <c r="C907" s="1307" t="s">
        <v>1818</v>
      </c>
      <c r="D907" s="1307" t="s">
        <v>1698</v>
      </c>
      <c r="E907" s="1305" t="s">
        <v>1608</v>
      </c>
    </row>
    <row r="908" spans="1:5" x14ac:dyDescent="0.25">
      <c r="A908" s="1222">
        <v>907</v>
      </c>
      <c r="B908" s="1222" t="s">
        <v>1618</v>
      </c>
      <c r="C908" s="1307" t="s">
        <v>1819</v>
      </c>
      <c r="D908" s="1307" t="s">
        <v>1698</v>
      </c>
      <c r="E908" s="1305" t="s">
        <v>1486</v>
      </c>
    </row>
    <row r="909" spans="1:5" x14ac:dyDescent="0.25">
      <c r="A909" s="1222">
        <v>908</v>
      </c>
      <c r="B909" s="1222" t="s">
        <v>1618</v>
      </c>
      <c r="C909" s="1307" t="s">
        <v>1819</v>
      </c>
      <c r="D909" s="1307" t="s">
        <v>1698</v>
      </c>
      <c r="E909" s="1305" t="s">
        <v>1487</v>
      </c>
    </row>
    <row r="910" spans="1:5" x14ac:dyDescent="0.25">
      <c r="A910" s="1222">
        <v>909</v>
      </c>
      <c r="B910" s="1222" t="s">
        <v>1618</v>
      </c>
      <c r="C910" s="1307" t="s">
        <v>1819</v>
      </c>
      <c r="D910" s="1307" t="s">
        <v>1698</v>
      </c>
      <c r="E910" s="1305" t="s">
        <v>1175</v>
      </c>
    </row>
    <row r="911" spans="1:5" x14ac:dyDescent="0.25">
      <c r="A911" s="1222">
        <v>910</v>
      </c>
      <c r="B911" s="1222" t="s">
        <v>1618</v>
      </c>
      <c r="C911" s="1307" t="s">
        <v>1818</v>
      </c>
      <c r="D911" s="1307" t="s">
        <v>1698</v>
      </c>
      <c r="E911" s="1305" t="s">
        <v>1610</v>
      </c>
    </row>
    <row r="912" spans="1:5" x14ac:dyDescent="0.25">
      <c r="A912" s="1222">
        <v>911</v>
      </c>
      <c r="B912" s="1222" t="s">
        <v>1618</v>
      </c>
      <c r="C912" s="1307" t="s">
        <v>1855</v>
      </c>
      <c r="D912" s="1307" t="s">
        <v>1698</v>
      </c>
      <c r="E912" s="1305" t="s">
        <v>1593</v>
      </c>
    </row>
    <row r="913" spans="1:5" x14ac:dyDescent="0.25">
      <c r="A913" s="1222">
        <v>912</v>
      </c>
      <c r="B913" s="1222" t="s">
        <v>1618</v>
      </c>
      <c r="C913" s="1307" t="s">
        <v>1855</v>
      </c>
      <c r="D913" s="1307" t="s">
        <v>1698</v>
      </c>
      <c r="E913" s="1305" t="s">
        <v>1809</v>
      </c>
    </row>
    <row r="914" spans="1:5" x14ac:dyDescent="0.25">
      <c r="A914" s="1222">
        <v>913</v>
      </c>
      <c r="B914" s="1222" t="s">
        <v>1618</v>
      </c>
      <c r="C914" s="1307" t="s">
        <v>1855</v>
      </c>
      <c r="D914" s="1307" t="s">
        <v>1698</v>
      </c>
      <c r="E914" s="1305" t="s">
        <v>1482</v>
      </c>
    </row>
    <row r="915" spans="1:5" x14ac:dyDescent="0.25">
      <c r="A915" s="1222">
        <v>914</v>
      </c>
      <c r="B915" s="1222" t="s">
        <v>1618</v>
      </c>
      <c r="C915" s="1307" t="s">
        <v>1855</v>
      </c>
      <c r="D915" s="1307" t="s">
        <v>1698</v>
      </c>
      <c r="E915" s="1305" t="s">
        <v>1479</v>
      </c>
    </row>
    <row r="916" spans="1:5" x14ac:dyDescent="0.25">
      <c r="A916" s="1222">
        <v>915</v>
      </c>
      <c r="B916" s="1222" t="s">
        <v>1618</v>
      </c>
      <c r="C916" s="1307" t="s">
        <v>1855</v>
      </c>
      <c r="D916" s="1307" t="s">
        <v>1698</v>
      </c>
      <c r="E916" s="1305" t="s">
        <v>1480</v>
      </c>
    </row>
    <row r="917" spans="1:5" x14ac:dyDescent="0.25">
      <c r="A917" s="1222">
        <v>916</v>
      </c>
      <c r="B917" s="1222" t="s">
        <v>1618</v>
      </c>
      <c r="C917" s="1307" t="s">
        <v>1855</v>
      </c>
      <c r="D917" s="1307" t="s">
        <v>1698</v>
      </c>
      <c r="E917" s="1305" t="s">
        <v>1496</v>
      </c>
    </row>
    <row r="918" spans="1:5" x14ac:dyDescent="0.25">
      <c r="A918" s="1222">
        <v>917</v>
      </c>
      <c r="B918" s="1222" t="s">
        <v>1618</v>
      </c>
      <c r="C918" s="1307" t="s">
        <v>1855</v>
      </c>
      <c r="D918" s="1307" t="s">
        <v>1510</v>
      </c>
      <c r="E918" s="1305" t="s">
        <v>1481</v>
      </c>
    </row>
    <row r="919" spans="1:5" x14ac:dyDescent="0.25">
      <c r="A919" s="1222">
        <v>918</v>
      </c>
      <c r="B919" s="1222" t="s">
        <v>1618</v>
      </c>
      <c r="C919" s="1307" t="s">
        <v>1820</v>
      </c>
      <c r="D919" s="1307" t="s">
        <v>1698</v>
      </c>
      <c r="E919" s="1305" t="s">
        <v>1588</v>
      </c>
    </row>
    <row r="920" spans="1:5" x14ac:dyDescent="0.25">
      <c r="A920" s="1222">
        <v>919</v>
      </c>
      <c r="B920" s="1222" t="s">
        <v>1618</v>
      </c>
      <c r="C920" s="1307" t="s">
        <v>1820</v>
      </c>
      <c r="D920" s="1307" t="s">
        <v>1698</v>
      </c>
      <c r="E920" s="1305" t="s">
        <v>1589</v>
      </c>
    </row>
    <row r="921" spans="1:5" x14ac:dyDescent="0.25">
      <c r="A921" s="1222">
        <v>920</v>
      </c>
      <c r="B921" s="1222" t="s">
        <v>1618</v>
      </c>
      <c r="C921" s="1307" t="s">
        <v>1820</v>
      </c>
      <c r="D921" s="1307" t="s">
        <v>1510</v>
      </c>
      <c r="E921" s="1305" t="s">
        <v>1590</v>
      </c>
    </row>
    <row r="922" spans="1:5" ht="30" x14ac:dyDescent="0.25">
      <c r="A922" s="1222">
        <v>921</v>
      </c>
      <c r="B922" s="1222" t="s">
        <v>1618</v>
      </c>
      <c r="C922" s="1307" t="s">
        <v>1820</v>
      </c>
      <c r="D922" s="1307" t="s">
        <v>1646</v>
      </c>
      <c r="E922" s="1305" t="s">
        <v>1484</v>
      </c>
    </row>
    <row r="923" spans="1:5" ht="30" x14ac:dyDescent="0.25">
      <c r="A923" s="1222">
        <v>922</v>
      </c>
      <c r="B923" s="1222" t="s">
        <v>1618</v>
      </c>
      <c r="C923" s="1307" t="s">
        <v>1820</v>
      </c>
      <c r="D923" s="1307" t="s">
        <v>1646</v>
      </c>
      <c r="E923" s="1305" t="s">
        <v>1485</v>
      </c>
    </row>
    <row r="924" spans="1:5" ht="30" x14ac:dyDescent="0.25">
      <c r="A924" s="1222">
        <v>923</v>
      </c>
      <c r="B924" s="1222" t="s">
        <v>1618</v>
      </c>
      <c r="C924" s="1307" t="s">
        <v>1820</v>
      </c>
      <c r="D924" s="1307" t="s">
        <v>1646</v>
      </c>
      <c r="E924" s="1305" t="s">
        <v>1597</v>
      </c>
    </row>
    <row r="925" spans="1:5" x14ac:dyDescent="0.25">
      <c r="A925" s="1222">
        <v>924</v>
      </c>
      <c r="B925" s="1222" t="s">
        <v>1618</v>
      </c>
      <c r="C925" s="1307" t="s">
        <v>1820</v>
      </c>
      <c r="D925" s="1307" t="s">
        <v>1510</v>
      </c>
      <c r="E925" s="1305" t="s">
        <v>1594</v>
      </c>
    </row>
    <row r="926" spans="1:5" x14ac:dyDescent="0.25">
      <c r="A926" s="1222">
        <v>925</v>
      </c>
      <c r="B926" s="1222" t="s">
        <v>1618</v>
      </c>
      <c r="C926" s="1307" t="s">
        <v>1820</v>
      </c>
      <c r="D926" s="1307" t="s">
        <v>1698</v>
      </c>
      <c r="E926" s="1305" t="s">
        <v>1608</v>
      </c>
    </row>
    <row r="927" spans="1:5" x14ac:dyDescent="0.25">
      <c r="A927" s="1222">
        <v>926</v>
      </c>
      <c r="B927" s="1222" t="s">
        <v>1618</v>
      </c>
      <c r="C927" s="1307" t="s">
        <v>1821</v>
      </c>
      <c r="D927" s="1307" t="s">
        <v>1698</v>
      </c>
      <c r="E927" s="1305" t="s">
        <v>1486</v>
      </c>
    </row>
    <row r="928" spans="1:5" x14ac:dyDescent="0.25">
      <c r="A928" s="1222">
        <v>927</v>
      </c>
      <c r="B928" s="1222" t="s">
        <v>1618</v>
      </c>
      <c r="C928" s="1307" t="s">
        <v>1821</v>
      </c>
      <c r="D928" s="1307" t="s">
        <v>1698</v>
      </c>
      <c r="E928" s="1305" t="s">
        <v>1487</v>
      </c>
    </row>
    <row r="929" spans="1:5" x14ac:dyDescent="0.25">
      <c r="A929" s="1222">
        <v>928</v>
      </c>
      <c r="B929" s="1222" t="s">
        <v>1618</v>
      </c>
      <c r="C929" s="1307" t="s">
        <v>1821</v>
      </c>
      <c r="D929" s="1307" t="s">
        <v>1698</v>
      </c>
      <c r="E929" s="1305" t="s">
        <v>1175</v>
      </c>
    </row>
    <row r="930" spans="1:5" x14ac:dyDescent="0.25">
      <c r="A930" s="1222">
        <v>929</v>
      </c>
      <c r="B930" s="1222" t="s">
        <v>1618</v>
      </c>
      <c r="C930" s="1307" t="s">
        <v>1820</v>
      </c>
      <c r="D930" s="1307" t="s">
        <v>1698</v>
      </c>
      <c r="E930" s="1305" t="s">
        <v>1610</v>
      </c>
    </row>
    <row r="931" spans="1:5" x14ac:dyDescent="0.25">
      <c r="A931" s="1222">
        <v>930</v>
      </c>
      <c r="B931" s="1222" t="s">
        <v>1618</v>
      </c>
      <c r="C931" s="1307" t="s">
        <v>1856</v>
      </c>
      <c r="D931" s="1307" t="s">
        <v>1698</v>
      </c>
      <c r="E931" s="1305" t="s">
        <v>1593</v>
      </c>
    </row>
    <row r="932" spans="1:5" x14ac:dyDescent="0.25">
      <c r="A932" s="1222">
        <v>931</v>
      </c>
      <c r="B932" s="1222" t="s">
        <v>1618</v>
      </c>
      <c r="C932" s="1307" t="s">
        <v>1856</v>
      </c>
      <c r="D932" s="1307" t="s">
        <v>1698</v>
      </c>
      <c r="E932" s="1305" t="s">
        <v>1809</v>
      </c>
    </row>
    <row r="933" spans="1:5" x14ac:dyDescent="0.25">
      <c r="A933" s="1222">
        <v>932</v>
      </c>
      <c r="B933" s="1222" t="s">
        <v>1618</v>
      </c>
      <c r="C933" s="1307" t="s">
        <v>1856</v>
      </c>
      <c r="D933" s="1307" t="s">
        <v>1698</v>
      </c>
      <c r="E933" s="1305" t="s">
        <v>1482</v>
      </c>
    </row>
    <row r="934" spans="1:5" x14ac:dyDescent="0.25">
      <c r="A934" s="1222">
        <v>933</v>
      </c>
      <c r="B934" s="1222" t="s">
        <v>1618</v>
      </c>
      <c r="C934" s="1307" t="s">
        <v>1856</v>
      </c>
      <c r="D934" s="1307" t="s">
        <v>1698</v>
      </c>
      <c r="E934" s="1305" t="s">
        <v>1479</v>
      </c>
    </row>
    <row r="935" spans="1:5" x14ac:dyDescent="0.25">
      <c r="A935" s="1222">
        <v>934</v>
      </c>
      <c r="B935" s="1222" t="s">
        <v>1618</v>
      </c>
      <c r="C935" s="1307" t="s">
        <v>1856</v>
      </c>
      <c r="D935" s="1307" t="s">
        <v>1698</v>
      </c>
      <c r="E935" s="1305" t="s">
        <v>1480</v>
      </c>
    </row>
    <row r="936" spans="1:5" x14ac:dyDescent="0.25">
      <c r="A936" s="1222">
        <v>935</v>
      </c>
      <c r="B936" s="1222" t="s">
        <v>1618</v>
      </c>
      <c r="C936" s="1307" t="s">
        <v>1856</v>
      </c>
      <c r="D936" s="1307" t="s">
        <v>1698</v>
      </c>
      <c r="E936" s="1305" t="s">
        <v>1496</v>
      </c>
    </row>
    <row r="937" spans="1:5" x14ac:dyDescent="0.25">
      <c r="A937" s="1222">
        <v>936</v>
      </c>
      <c r="B937" s="1222" t="s">
        <v>1618</v>
      </c>
      <c r="C937" s="1307" t="s">
        <v>1856</v>
      </c>
      <c r="D937" s="1307" t="s">
        <v>1510</v>
      </c>
      <c r="E937" s="1305" t="s">
        <v>1481</v>
      </c>
    </row>
    <row r="938" spans="1:5" x14ac:dyDescent="0.25">
      <c r="A938" s="1222">
        <v>937</v>
      </c>
      <c r="B938" s="1222" t="s">
        <v>1618</v>
      </c>
      <c r="C938" s="1307" t="s">
        <v>1822</v>
      </c>
      <c r="D938" s="1307" t="s">
        <v>1698</v>
      </c>
      <c r="E938" s="1305" t="s">
        <v>1588</v>
      </c>
    </row>
    <row r="939" spans="1:5" x14ac:dyDescent="0.25">
      <c r="A939" s="1222">
        <v>938</v>
      </c>
      <c r="B939" s="1222" t="s">
        <v>1618</v>
      </c>
      <c r="C939" s="1307" t="s">
        <v>1822</v>
      </c>
      <c r="D939" s="1307" t="s">
        <v>1698</v>
      </c>
      <c r="E939" s="1305" t="s">
        <v>1589</v>
      </c>
    </row>
    <row r="940" spans="1:5" x14ac:dyDescent="0.25">
      <c r="A940" s="1222">
        <v>939</v>
      </c>
      <c r="B940" s="1222" t="s">
        <v>1618</v>
      </c>
      <c r="C940" s="1307" t="s">
        <v>1822</v>
      </c>
      <c r="D940" s="1307" t="s">
        <v>1510</v>
      </c>
      <c r="E940" s="1305" t="s">
        <v>1590</v>
      </c>
    </row>
    <row r="941" spans="1:5" ht="30" x14ac:dyDescent="0.25">
      <c r="A941" s="1222">
        <v>940</v>
      </c>
      <c r="B941" s="1222" t="s">
        <v>1618</v>
      </c>
      <c r="C941" s="1307" t="s">
        <v>1822</v>
      </c>
      <c r="D941" s="1307" t="s">
        <v>1646</v>
      </c>
      <c r="E941" s="1305" t="s">
        <v>1484</v>
      </c>
    </row>
    <row r="942" spans="1:5" ht="30" x14ac:dyDescent="0.25">
      <c r="A942" s="1222">
        <v>941</v>
      </c>
      <c r="B942" s="1222" t="s">
        <v>1618</v>
      </c>
      <c r="C942" s="1307" t="s">
        <v>1822</v>
      </c>
      <c r="D942" s="1307" t="s">
        <v>1646</v>
      </c>
      <c r="E942" s="1305" t="s">
        <v>1485</v>
      </c>
    </row>
    <row r="943" spans="1:5" ht="30" x14ac:dyDescent="0.25">
      <c r="A943" s="1222">
        <v>942</v>
      </c>
      <c r="B943" s="1222" t="s">
        <v>1618</v>
      </c>
      <c r="C943" s="1307" t="s">
        <v>1822</v>
      </c>
      <c r="D943" s="1307" t="s">
        <v>1646</v>
      </c>
      <c r="E943" s="1305" t="s">
        <v>1597</v>
      </c>
    </row>
    <row r="944" spans="1:5" x14ac:dyDescent="0.25">
      <c r="A944" s="1222">
        <v>943</v>
      </c>
      <c r="B944" s="1222" t="s">
        <v>1618</v>
      </c>
      <c r="C944" s="1307" t="s">
        <v>1822</v>
      </c>
      <c r="D944" s="1307" t="s">
        <v>1510</v>
      </c>
      <c r="E944" s="1305" t="s">
        <v>1594</v>
      </c>
    </row>
    <row r="945" spans="1:5" x14ac:dyDescent="0.25">
      <c r="A945" s="1222">
        <v>944</v>
      </c>
      <c r="B945" s="1222" t="s">
        <v>1618</v>
      </c>
      <c r="C945" s="1307" t="s">
        <v>1822</v>
      </c>
      <c r="D945" s="1307" t="s">
        <v>1698</v>
      </c>
      <c r="E945" s="1305" t="s">
        <v>1608</v>
      </c>
    </row>
    <row r="946" spans="1:5" x14ac:dyDescent="0.25">
      <c r="A946" s="1222">
        <v>945</v>
      </c>
      <c r="B946" s="1222" t="s">
        <v>1618</v>
      </c>
      <c r="C946" s="1307" t="s">
        <v>1823</v>
      </c>
      <c r="D946" s="1307" t="s">
        <v>1698</v>
      </c>
      <c r="E946" s="1305" t="s">
        <v>1486</v>
      </c>
    </row>
    <row r="947" spans="1:5" x14ac:dyDescent="0.25">
      <c r="A947" s="1222">
        <v>946</v>
      </c>
      <c r="B947" s="1222" t="s">
        <v>1618</v>
      </c>
      <c r="C947" s="1307" t="s">
        <v>1823</v>
      </c>
      <c r="D947" s="1307" t="s">
        <v>1698</v>
      </c>
      <c r="E947" s="1305" t="s">
        <v>1487</v>
      </c>
    </row>
    <row r="948" spans="1:5" x14ac:dyDescent="0.25">
      <c r="A948" s="1222">
        <v>947</v>
      </c>
      <c r="B948" s="1222" t="s">
        <v>1618</v>
      </c>
      <c r="C948" s="1307" t="s">
        <v>1823</v>
      </c>
      <c r="D948" s="1307" t="s">
        <v>1698</v>
      </c>
      <c r="E948" s="1305" t="s">
        <v>1175</v>
      </c>
    </row>
    <row r="949" spans="1:5" x14ac:dyDescent="0.25">
      <c r="A949" s="1222">
        <v>948</v>
      </c>
      <c r="B949" s="1222" t="s">
        <v>1618</v>
      </c>
      <c r="C949" s="1307" t="s">
        <v>1822</v>
      </c>
      <c r="D949" s="1307" t="s">
        <v>1698</v>
      </c>
      <c r="E949" s="1305" t="s">
        <v>1610</v>
      </c>
    </row>
    <row r="950" spans="1:5" x14ac:dyDescent="0.25">
      <c r="A950" s="1222">
        <v>949</v>
      </c>
      <c r="B950" s="1222" t="s">
        <v>1618</v>
      </c>
      <c r="C950" s="1307" t="s">
        <v>1857</v>
      </c>
      <c r="D950" s="1307" t="s">
        <v>1698</v>
      </c>
      <c r="E950" s="1305" t="s">
        <v>1593</v>
      </c>
    </row>
    <row r="951" spans="1:5" x14ac:dyDescent="0.25">
      <c r="A951" s="1222">
        <v>950</v>
      </c>
      <c r="B951" s="1222" t="s">
        <v>1618</v>
      </c>
      <c r="C951" s="1307" t="s">
        <v>1857</v>
      </c>
      <c r="D951" s="1307" t="s">
        <v>1698</v>
      </c>
      <c r="E951" s="1305" t="s">
        <v>1809</v>
      </c>
    </row>
    <row r="952" spans="1:5" x14ac:dyDescent="0.25">
      <c r="A952" s="1222">
        <v>951</v>
      </c>
      <c r="B952" s="1222" t="s">
        <v>1618</v>
      </c>
      <c r="C952" s="1307" t="s">
        <v>1857</v>
      </c>
      <c r="D952" s="1307" t="s">
        <v>1698</v>
      </c>
      <c r="E952" s="1305" t="s">
        <v>1482</v>
      </c>
    </row>
    <row r="953" spans="1:5" x14ac:dyDescent="0.25">
      <c r="A953" s="1222">
        <v>952</v>
      </c>
      <c r="B953" s="1222" t="s">
        <v>1618</v>
      </c>
      <c r="C953" s="1307" t="s">
        <v>1857</v>
      </c>
      <c r="D953" s="1307" t="s">
        <v>1698</v>
      </c>
      <c r="E953" s="1305" t="s">
        <v>1479</v>
      </c>
    </row>
    <row r="954" spans="1:5" x14ac:dyDescent="0.25">
      <c r="A954" s="1222">
        <v>953</v>
      </c>
      <c r="B954" s="1222" t="s">
        <v>1618</v>
      </c>
      <c r="C954" s="1307" t="s">
        <v>1857</v>
      </c>
      <c r="D954" s="1307" t="s">
        <v>1698</v>
      </c>
      <c r="E954" s="1305" t="s">
        <v>1480</v>
      </c>
    </row>
    <row r="955" spans="1:5" x14ac:dyDescent="0.25">
      <c r="A955" s="1222">
        <v>954</v>
      </c>
      <c r="B955" s="1222" t="s">
        <v>1618</v>
      </c>
      <c r="C955" s="1307" t="s">
        <v>1857</v>
      </c>
      <c r="D955" s="1307" t="s">
        <v>1698</v>
      </c>
      <c r="E955" s="1305" t="s">
        <v>1496</v>
      </c>
    </row>
    <row r="956" spans="1:5" x14ac:dyDescent="0.25">
      <c r="A956" s="1222">
        <v>955</v>
      </c>
      <c r="B956" s="1222" t="s">
        <v>1618</v>
      </c>
      <c r="C956" s="1307" t="s">
        <v>1857</v>
      </c>
      <c r="D956" s="1307" t="s">
        <v>1510</v>
      </c>
      <c r="E956" s="1305" t="s">
        <v>1481</v>
      </c>
    </row>
    <row r="957" spans="1:5" x14ac:dyDescent="0.25">
      <c r="A957" s="1222">
        <v>956</v>
      </c>
      <c r="B957" s="1222" t="s">
        <v>1618</v>
      </c>
      <c r="C957" s="1307" t="s">
        <v>1824</v>
      </c>
      <c r="D957" s="1307" t="s">
        <v>1698</v>
      </c>
      <c r="E957" s="1305" t="s">
        <v>1588</v>
      </c>
    </row>
    <row r="958" spans="1:5" x14ac:dyDescent="0.25">
      <c r="A958" s="1222">
        <v>957</v>
      </c>
      <c r="B958" s="1222" t="s">
        <v>1618</v>
      </c>
      <c r="C958" s="1307" t="s">
        <v>1824</v>
      </c>
      <c r="D958" s="1307" t="s">
        <v>1698</v>
      </c>
      <c r="E958" s="1305" t="s">
        <v>1589</v>
      </c>
    </row>
    <row r="959" spans="1:5" x14ac:dyDescent="0.25">
      <c r="A959" s="1222">
        <v>958</v>
      </c>
      <c r="B959" s="1222" t="s">
        <v>1618</v>
      </c>
      <c r="C959" s="1307" t="s">
        <v>1824</v>
      </c>
      <c r="D959" s="1307" t="s">
        <v>1510</v>
      </c>
      <c r="E959" s="1305" t="s">
        <v>1590</v>
      </c>
    </row>
    <row r="960" spans="1:5" ht="30" x14ac:dyDescent="0.25">
      <c r="A960" s="1222">
        <v>959</v>
      </c>
      <c r="B960" s="1222" t="s">
        <v>1618</v>
      </c>
      <c r="C960" s="1307" t="s">
        <v>1824</v>
      </c>
      <c r="D960" s="1307" t="s">
        <v>1646</v>
      </c>
      <c r="E960" s="1305" t="s">
        <v>1484</v>
      </c>
    </row>
    <row r="961" spans="1:5" ht="30" x14ac:dyDescent="0.25">
      <c r="A961" s="1222">
        <v>960</v>
      </c>
      <c r="B961" s="1222" t="s">
        <v>1618</v>
      </c>
      <c r="C961" s="1307" t="s">
        <v>1824</v>
      </c>
      <c r="D961" s="1307" t="s">
        <v>1646</v>
      </c>
      <c r="E961" s="1305" t="s">
        <v>1485</v>
      </c>
    </row>
    <row r="962" spans="1:5" ht="30" x14ac:dyDescent="0.25">
      <c r="A962" s="1222">
        <v>961</v>
      </c>
      <c r="B962" s="1222" t="s">
        <v>1618</v>
      </c>
      <c r="C962" s="1307" t="s">
        <v>1824</v>
      </c>
      <c r="D962" s="1307" t="s">
        <v>1646</v>
      </c>
      <c r="E962" s="1305" t="s">
        <v>1597</v>
      </c>
    </row>
    <row r="963" spans="1:5" x14ac:dyDescent="0.25">
      <c r="A963" s="1222">
        <v>962</v>
      </c>
      <c r="B963" s="1222" t="s">
        <v>1618</v>
      </c>
      <c r="C963" s="1307" t="s">
        <v>1824</v>
      </c>
      <c r="D963" s="1307" t="s">
        <v>1510</v>
      </c>
      <c r="E963" s="1305" t="s">
        <v>1594</v>
      </c>
    </row>
    <row r="964" spans="1:5" x14ac:dyDescent="0.25">
      <c r="A964" s="1222">
        <v>963</v>
      </c>
      <c r="B964" s="1222" t="s">
        <v>1618</v>
      </c>
      <c r="C964" s="1307" t="s">
        <v>1824</v>
      </c>
      <c r="D964" s="1307" t="s">
        <v>1698</v>
      </c>
      <c r="E964" s="1305" t="s">
        <v>1608</v>
      </c>
    </row>
    <row r="965" spans="1:5" x14ac:dyDescent="0.25">
      <c r="A965" s="1222">
        <v>964</v>
      </c>
      <c r="B965" s="1222" t="s">
        <v>1618</v>
      </c>
      <c r="C965" s="1307" t="s">
        <v>1825</v>
      </c>
      <c r="D965" s="1307" t="s">
        <v>1698</v>
      </c>
      <c r="E965" s="1305" t="s">
        <v>1486</v>
      </c>
    </row>
    <row r="966" spans="1:5" x14ac:dyDescent="0.25">
      <c r="A966" s="1222">
        <v>965</v>
      </c>
      <c r="B966" s="1222" t="s">
        <v>1618</v>
      </c>
      <c r="C966" s="1307" t="s">
        <v>1825</v>
      </c>
      <c r="D966" s="1307" t="s">
        <v>1698</v>
      </c>
      <c r="E966" s="1305" t="s">
        <v>1487</v>
      </c>
    </row>
    <row r="967" spans="1:5" x14ac:dyDescent="0.25">
      <c r="A967" s="1222">
        <v>966</v>
      </c>
      <c r="B967" s="1222" t="s">
        <v>1618</v>
      </c>
      <c r="C967" s="1307" t="s">
        <v>1825</v>
      </c>
      <c r="D967" s="1307" t="s">
        <v>1698</v>
      </c>
      <c r="E967" s="1305" t="s">
        <v>1175</v>
      </c>
    </row>
    <row r="968" spans="1:5" x14ac:dyDescent="0.25">
      <c r="A968" s="1222">
        <v>967</v>
      </c>
      <c r="B968" s="1222" t="s">
        <v>1618</v>
      </c>
      <c r="C968" s="1307" t="s">
        <v>1824</v>
      </c>
      <c r="D968" s="1307" t="s">
        <v>1698</v>
      </c>
      <c r="E968" s="1305" t="s">
        <v>1610</v>
      </c>
    </row>
    <row r="969" spans="1:5" x14ac:dyDescent="0.25">
      <c r="A969" s="1222">
        <v>968</v>
      </c>
      <c r="B969" s="1222" t="s">
        <v>1618</v>
      </c>
      <c r="C969" s="1307" t="s">
        <v>1858</v>
      </c>
      <c r="D969" s="1307" t="s">
        <v>1767</v>
      </c>
      <c r="E969" s="1222" t="s">
        <v>1593</v>
      </c>
    </row>
    <row r="970" spans="1:5" x14ac:dyDescent="0.25">
      <c r="A970" s="1222">
        <v>969</v>
      </c>
      <c r="B970" s="1222" t="s">
        <v>1618</v>
      </c>
      <c r="C970" s="1307" t="s">
        <v>1858</v>
      </c>
      <c r="D970" s="1307" t="s">
        <v>1767</v>
      </c>
      <c r="E970" s="1222" t="s">
        <v>1809</v>
      </c>
    </row>
    <row r="971" spans="1:5" x14ac:dyDescent="0.25">
      <c r="A971" s="1222">
        <v>970</v>
      </c>
      <c r="B971" s="1222" t="s">
        <v>1618</v>
      </c>
      <c r="C971" s="1307" t="s">
        <v>1858</v>
      </c>
      <c r="D971" s="1307" t="s">
        <v>1767</v>
      </c>
      <c r="E971" s="1222" t="s">
        <v>1482</v>
      </c>
    </row>
    <row r="972" spans="1:5" x14ac:dyDescent="0.25">
      <c r="A972" s="1222">
        <v>971</v>
      </c>
      <c r="B972" s="1222" t="s">
        <v>1618</v>
      </c>
      <c r="C972" s="1307" t="s">
        <v>1858</v>
      </c>
      <c r="D972" s="1307" t="s">
        <v>1767</v>
      </c>
      <c r="E972" s="1222" t="s">
        <v>1479</v>
      </c>
    </row>
    <row r="973" spans="1:5" x14ac:dyDescent="0.25">
      <c r="A973" s="1222">
        <v>972</v>
      </c>
      <c r="B973" s="1222" t="s">
        <v>1618</v>
      </c>
      <c r="C973" s="1307" t="s">
        <v>1858</v>
      </c>
      <c r="D973" s="1307" t="s">
        <v>1767</v>
      </c>
      <c r="E973" s="1222" t="s">
        <v>1480</v>
      </c>
    </row>
    <row r="974" spans="1:5" x14ac:dyDescent="0.25">
      <c r="A974" s="1222">
        <v>973</v>
      </c>
      <c r="B974" s="1222" t="s">
        <v>1618</v>
      </c>
      <c r="C974" s="1307" t="s">
        <v>1858</v>
      </c>
      <c r="D974" s="1307" t="s">
        <v>1767</v>
      </c>
      <c r="E974" s="1222" t="s">
        <v>1496</v>
      </c>
    </row>
    <row r="975" spans="1:5" x14ac:dyDescent="0.25">
      <c r="A975" s="1222">
        <v>974</v>
      </c>
      <c r="B975" s="1222" t="s">
        <v>1618</v>
      </c>
      <c r="C975" s="1307" t="s">
        <v>1858</v>
      </c>
      <c r="D975" s="1307" t="s">
        <v>1510</v>
      </c>
      <c r="E975" s="1222" t="s">
        <v>1481</v>
      </c>
    </row>
    <row r="976" spans="1:5" x14ac:dyDescent="0.25">
      <c r="A976" s="1222">
        <v>975</v>
      </c>
      <c r="B976" s="1222" t="s">
        <v>1618</v>
      </c>
      <c r="C976" s="1307" t="s">
        <v>1768</v>
      </c>
      <c r="D976" s="1307" t="s">
        <v>1767</v>
      </c>
      <c r="E976" s="1222" t="s">
        <v>1588</v>
      </c>
    </row>
    <row r="977" spans="1:5" x14ac:dyDescent="0.25">
      <c r="A977" s="1222">
        <v>976</v>
      </c>
      <c r="B977" s="1222" t="s">
        <v>1618</v>
      </c>
      <c r="C977" s="1307" t="s">
        <v>1768</v>
      </c>
      <c r="D977" s="1307" t="s">
        <v>1767</v>
      </c>
      <c r="E977" s="1222" t="s">
        <v>1589</v>
      </c>
    </row>
    <row r="978" spans="1:5" x14ac:dyDescent="0.25">
      <c r="A978" s="1222">
        <v>977</v>
      </c>
      <c r="B978" s="1222" t="s">
        <v>1618</v>
      </c>
      <c r="C978" s="1307" t="s">
        <v>1768</v>
      </c>
      <c r="D978" s="1307" t="s">
        <v>1510</v>
      </c>
      <c r="E978" s="1222" t="s">
        <v>1590</v>
      </c>
    </row>
    <row r="979" spans="1:5" ht="30" x14ac:dyDescent="0.25">
      <c r="A979" s="1222">
        <v>978</v>
      </c>
      <c r="B979" s="1222" t="s">
        <v>1618</v>
      </c>
      <c r="C979" s="1307" t="s">
        <v>1768</v>
      </c>
      <c r="D979" s="1307" t="s">
        <v>1646</v>
      </c>
      <c r="E979" s="1222" t="s">
        <v>1484</v>
      </c>
    </row>
    <row r="980" spans="1:5" ht="30" x14ac:dyDescent="0.25">
      <c r="A980" s="1222">
        <v>979</v>
      </c>
      <c r="B980" s="1222" t="s">
        <v>1618</v>
      </c>
      <c r="C980" s="1307" t="s">
        <v>1768</v>
      </c>
      <c r="D980" s="1307" t="s">
        <v>1646</v>
      </c>
      <c r="E980" s="1222" t="s">
        <v>1485</v>
      </c>
    </row>
    <row r="981" spans="1:5" ht="30" x14ac:dyDescent="0.25">
      <c r="A981" s="1222">
        <v>980</v>
      </c>
      <c r="B981" s="1222" t="s">
        <v>1618</v>
      </c>
      <c r="C981" s="1307" t="s">
        <v>1768</v>
      </c>
      <c r="D981" s="1307" t="s">
        <v>1646</v>
      </c>
      <c r="E981" s="1222" t="s">
        <v>1597</v>
      </c>
    </row>
    <row r="982" spans="1:5" x14ac:dyDescent="0.25">
      <c r="A982" s="1222">
        <v>981</v>
      </c>
      <c r="B982" s="1222" t="s">
        <v>1618</v>
      </c>
      <c r="C982" s="1307" t="s">
        <v>1768</v>
      </c>
      <c r="D982" s="1307" t="s">
        <v>1510</v>
      </c>
      <c r="E982" s="1222" t="s">
        <v>1594</v>
      </c>
    </row>
    <row r="983" spans="1:5" x14ac:dyDescent="0.25">
      <c r="A983" s="1222">
        <v>982</v>
      </c>
      <c r="B983" s="1222" t="s">
        <v>1618</v>
      </c>
      <c r="C983" s="1307" t="s">
        <v>1768</v>
      </c>
      <c r="D983" s="1307" t="s">
        <v>1767</v>
      </c>
      <c r="E983" s="1222" t="s">
        <v>1608</v>
      </c>
    </row>
    <row r="984" spans="1:5" x14ac:dyDescent="0.25">
      <c r="A984" s="1222">
        <v>983</v>
      </c>
      <c r="B984" s="1222" t="s">
        <v>1618</v>
      </c>
      <c r="C984" s="1307" t="s">
        <v>1769</v>
      </c>
      <c r="D984" s="1307" t="s">
        <v>1767</v>
      </c>
      <c r="E984" s="1222" t="s">
        <v>1486</v>
      </c>
    </row>
    <row r="985" spans="1:5" x14ac:dyDescent="0.25">
      <c r="A985" s="1222">
        <v>984</v>
      </c>
      <c r="B985" s="1222" t="s">
        <v>1618</v>
      </c>
      <c r="C985" s="1307" t="s">
        <v>1769</v>
      </c>
      <c r="D985" s="1307" t="s">
        <v>1767</v>
      </c>
      <c r="E985" s="1222" t="s">
        <v>1487</v>
      </c>
    </row>
    <row r="986" spans="1:5" x14ac:dyDescent="0.25">
      <c r="A986" s="1222">
        <v>985</v>
      </c>
      <c r="B986" s="1222" t="s">
        <v>1618</v>
      </c>
      <c r="C986" s="1307" t="s">
        <v>1769</v>
      </c>
      <c r="D986" s="1307" t="s">
        <v>1767</v>
      </c>
      <c r="E986" s="1222" t="s">
        <v>1175</v>
      </c>
    </row>
    <row r="987" spans="1:5" x14ac:dyDescent="0.25">
      <c r="A987" s="1222">
        <v>986</v>
      </c>
      <c r="B987" s="1222" t="s">
        <v>1618</v>
      </c>
      <c r="C987" s="1307" t="s">
        <v>1859</v>
      </c>
      <c r="D987" s="1307" t="s">
        <v>1770</v>
      </c>
      <c r="E987" s="1222" t="s">
        <v>1593</v>
      </c>
    </row>
    <row r="988" spans="1:5" x14ac:dyDescent="0.25">
      <c r="A988" s="1222">
        <v>987</v>
      </c>
      <c r="B988" s="1222" t="s">
        <v>1618</v>
      </c>
      <c r="C988" s="1307" t="s">
        <v>1859</v>
      </c>
      <c r="D988" s="1307" t="s">
        <v>1770</v>
      </c>
      <c r="E988" s="1222" t="s">
        <v>1809</v>
      </c>
    </row>
    <row r="989" spans="1:5" x14ac:dyDescent="0.25">
      <c r="A989" s="1222">
        <v>988</v>
      </c>
      <c r="B989" s="1222" t="s">
        <v>1618</v>
      </c>
      <c r="C989" s="1307" t="s">
        <v>1859</v>
      </c>
      <c r="D989" s="1307" t="s">
        <v>1770</v>
      </c>
      <c r="E989" s="1222" t="s">
        <v>1482</v>
      </c>
    </row>
    <row r="990" spans="1:5" x14ac:dyDescent="0.25">
      <c r="A990" s="1222">
        <v>989</v>
      </c>
      <c r="B990" s="1222" t="s">
        <v>1618</v>
      </c>
      <c r="C990" s="1307" t="s">
        <v>1859</v>
      </c>
      <c r="D990" s="1307" t="s">
        <v>1770</v>
      </c>
      <c r="E990" s="1222" t="s">
        <v>1480</v>
      </c>
    </row>
    <row r="991" spans="1:5" x14ac:dyDescent="0.25">
      <c r="A991" s="1222">
        <v>990</v>
      </c>
      <c r="B991" s="1222" t="s">
        <v>1618</v>
      </c>
      <c r="C991" s="1307" t="s">
        <v>1859</v>
      </c>
      <c r="D991" s="1307" t="s">
        <v>1770</v>
      </c>
      <c r="E991" s="1222" t="s">
        <v>1496</v>
      </c>
    </row>
    <row r="992" spans="1:5" x14ac:dyDescent="0.25">
      <c r="A992" s="1222">
        <v>991</v>
      </c>
      <c r="B992" s="1222" t="s">
        <v>1618</v>
      </c>
      <c r="C992" s="1307" t="s">
        <v>1859</v>
      </c>
      <c r="D992" s="1307" t="s">
        <v>1510</v>
      </c>
      <c r="E992" s="1222" t="s">
        <v>1481</v>
      </c>
    </row>
    <row r="993" spans="1:5" ht="30" x14ac:dyDescent="0.25">
      <c r="A993" s="1222">
        <v>992</v>
      </c>
      <c r="B993" s="1222" t="s">
        <v>1618</v>
      </c>
      <c r="C993" s="1307" t="s">
        <v>1771</v>
      </c>
      <c r="D993" s="1307" t="s">
        <v>1646</v>
      </c>
      <c r="E993" s="1222" t="s">
        <v>1484</v>
      </c>
    </row>
    <row r="994" spans="1:5" ht="30" x14ac:dyDescent="0.25">
      <c r="A994" s="1222">
        <v>993</v>
      </c>
      <c r="B994" s="1222" t="s">
        <v>1618</v>
      </c>
      <c r="C994" s="1307" t="s">
        <v>1771</v>
      </c>
      <c r="D994" s="1307" t="s">
        <v>1646</v>
      </c>
      <c r="E994" s="1222" t="s">
        <v>1485</v>
      </c>
    </row>
    <row r="995" spans="1:5" ht="30" x14ac:dyDescent="0.25">
      <c r="A995" s="1222">
        <v>994</v>
      </c>
      <c r="B995" s="1222" t="s">
        <v>1618</v>
      </c>
      <c r="C995" s="1307" t="s">
        <v>1771</v>
      </c>
      <c r="D995" s="1307" t="s">
        <v>1646</v>
      </c>
      <c r="E995" s="1222" t="s">
        <v>1597</v>
      </c>
    </row>
    <row r="996" spans="1:5" x14ac:dyDescent="0.25">
      <c r="A996" s="1222">
        <v>995</v>
      </c>
      <c r="B996" s="1222" t="s">
        <v>1618</v>
      </c>
      <c r="C996" s="1307" t="s">
        <v>1771</v>
      </c>
      <c r="D996" s="1307" t="s">
        <v>1510</v>
      </c>
      <c r="E996" s="1222" t="s">
        <v>1594</v>
      </c>
    </row>
    <row r="997" spans="1:5" x14ac:dyDescent="0.25">
      <c r="A997" s="1222">
        <v>996</v>
      </c>
      <c r="B997" s="1222" t="s">
        <v>1618</v>
      </c>
      <c r="C997" s="1307" t="s">
        <v>1771</v>
      </c>
      <c r="D997" s="1307" t="s">
        <v>1510</v>
      </c>
      <c r="E997" s="1222" t="s">
        <v>1495</v>
      </c>
    </row>
    <row r="998" spans="1:5" x14ac:dyDescent="0.25">
      <c r="A998" s="1222">
        <v>997</v>
      </c>
      <c r="B998" s="1222" t="s">
        <v>1618</v>
      </c>
      <c r="C998" s="1307" t="s">
        <v>1860</v>
      </c>
      <c r="D998" s="1307" t="s">
        <v>1770</v>
      </c>
      <c r="E998" s="1222" t="s">
        <v>1593</v>
      </c>
    </row>
    <row r="999" spans="1:5" x14ac:dyDescent="0.25">
      <c r="A999" s="1222">
        <v>998</v>
      </c>
      <c r="B999" s="1222" t="s">
        <v>1618</v>
      </c>
      <c r="C999" s="1307" t="s">
        <v>1860</v>
      </c>
      <c r="D999" s="1307" t="s">
        <v>1770</v>
      </c>
      <c r="E999" s="1222" t="s">
        <v>1809</v>
      </c>
    </row>
    <row r="1000" spans="1:5" x14ac:dyDescent="0.25">
      <c r="A1000" s="1222">
        <v>999</v>
      </c>
      <c r="B1000" s="1222" t="s">
        <v>1618</v>
      </c>
      <c r="C1000" s="1307" t="s">
        <v>1860</v>
      </c>
      <c r="D1000" s="1307" t="s">
        <v>1770</v>
      </c>
      <c r="E1000" s="1222" t="s">
        <v>1482</v>
      </c>
    </row>
    <row r="1001" spans="1:5" x14ac:dyDescent="0.25">
      <c r="A1001" s="1222">
        <v>1000</v>
      </c>
      <c r="B1001" s="1222" t="s">
        <v>1618</v>
      </c>
      <c r="C1001" s="1307" t="s">
        <v>1860</v>
      </c>
      <c r="D1001" s="1307" t="s">
        <v>1770</v>
      </c>
      <c r="E1001" s="1222" t="s">
        <v>1480</v>
      </c>
    </row>
    <row r="1002" spans="1:5" x14ac:dyDescent="0.25">
      <c r="A1002" s="1222">
        <v>1001</v>
      </c>
      <c r="B1002" s="1222" t="s">
        <v>1618</v>
      </c>
      <c r="C1002" s="1307" t="s">
        <v>1860</v>
      </c>
      <c r="D1002" s="1307" t="s">
        <v>1770</v>
      </c>
      <c r="E1002" s="1222" t="s">
        <v>1496</v>
      </c>
    </row>
    <row r="1003" spans="1:5" x14ac:dyDescent="0.25">
      <c r="A1003" s="1222">
        <v>1002</v>
      </c>
      <c r="B1003" s="1222" t="s">
        <v>1618</v>
      </c>
      <c r="C1003" s="1307" t="s">
        <v>1860</v>
      </c>
      <c r="D1003" s="1307" t="s">
        <v>1510</v>
      </c>
      <c r="E1003" s="1222" t="s">
        <v>1481</v>
      </c>
    </row>
    <row r="1004" spans="1:5" ht="30" x14ac:dyDescent="0.25">
      <c r="A1004" s="1222">
        <v>1003</v>
      </c>
      <c r="B1004" s="1222" t="s">
        <v>1618</v>
      </c>
      <c r="C1004" s="1307" t="s">
        <v>1772</v>
      </c>
      <c r="D1004" s="1307" t="s">
        <v>1646</v>
      </c>
      <c r="E1004" s="1222" t="s">
        <v>1484</v>
      </c>
    </row>
    <row r="1005" spans="1:5" ht="30" x14ac:dyDescent="0.25">
      <c r="A1005" s="1222">
        <v>1004</v>
      </c>
      <c r="B1005" s="1222" t="s">
        <v>1618</v>
      </c>
      <c r="C1005" s="1307" t="s">
        <v>1772</v>
      </c>
      <c r="D1005" s="1307" t="s">
        <v>1646</v>
      </c>
      <c r="E1005" s="1222" t="s">
        <v>1485</v>
      </c>
    </row>
    <row r="1006" spans="1:5" ht="30" x14ac:dyDescent="0.25">
      <c r="A1006" s="1222">
        <v>1005</v>
      </c>
      <c r="B1006" s="1222" t="s">
        <v>1618</v>
      </c>
      <c r="C1006" s="1307" t="s">
        <v>1772</v>
      </c>
      <c r="D1006" s="1307" t="s">
        <v>1646</v>
      </c>
      <c r="E1006" s="1222" t="s">
        <v>1597</v>
      </c>
    </row>
    <row r="1007" spans="1:5" x14ac:dyDescent="0.25">
      <c r="A1007" s="1222">
        <v>1006</v>
      </c>
      <c r="B1007" s="1222" t="s">
        <v>1618</v>
      </c>
      <c r="C1007" s="1307" t="s">
        <v>1772</v>
      </c>
      <c r="D1007" s="1307" t="s">
        <v>1510</v>
      </c>
      <c r="E1007" s="1222" t="s">
        <v>1594</v>
      </c>
    </row>
    <row r="1008" spans="1:5" x14ac:dyDescent="0.25">
      <c r="A1008" s="1222">
        <v>1007</v>
      </c>
      <c r="B1008" s="1222" t="s">
        <v>1618</v>
      </c>
      <c r="C1008" s="1307" t="s">
        <v>1772</v>
      </c>
      <c r="D1008" s="1307" t="s">
        <v>1510</v>
      </c>
      <c r="E1008" s="1222" t="s">
        <v>1495</v>
      </c>
    </row>
    <row r="1009" spans="1:5" x14ac:dyDescent="0.25">
      <c r="A1009" s="1222">
        <v>1008</v>
      </c>
      <c r="B1009" s="1222" t="s">
        <v>1618</v>
      </c>
      <c r="C1009" s="1307" t="s">
        <v>1861</v>
      </c>
      <c r="D1009" s="1307" t="s">
        <v>1770</v>
      </c>
      <c r="E1009" s="1222" t="s">
        <v>1593</v>
      </c>
    </row>
    <row r="1010" spans="1:5" x14ac:dyDescent="0.25">
      <c r="A1010" s="1222">
        <v>1009</v>
      </c>
      <c r="B1010" s="1222" t="s">
        <v>1618</v>
      </c>
      <c r="C1010" s="1307" t="s">
        <v>1861</v>
      </c>
      <c r="D1010" s="1307" t="s">
        <v>1770</v>
      </c>
      <c r="E1010" s="1222" t="s">
        <v>1809</v>
      </c>
    </row>
    <row r="1011" spans="1:5" x14ac:dyDescent="0.25">
      <c r="A1011" s="1222">
        <v>1010</v>
      </c>
      <c r="B1011" s="1222" t="s">
        <v>1618</v>
      </c>
      <c r="C1011" s="1307" t="s">
        <v>1861</v>
      </c>
      <c r="D1011" s="1307" t="s">
        <v>1770</v>
      </c>
      <c r="E1011" s="1222" t="s">
        <v>1482</v>
      </c>
    </row>
    <row r="1012" spans="1:5" x14ac:dyDescent="0.25">
      <c r="A1012" s="1222">
        <v>1011</v>
      </c>
      <c r="B1012" s="1222" t="s">
        <v>1618</v>
      </c>
      <c r="C1012" s="1307" t="s">
        <v>1861</v>
      </c>
      <c r="D1012" s="1307" t="s">
        <v>1770</v>
      </c>
      <c r="E1012" s="1222" t="s">
        <v>1480</v>
      </c>
    </row>
    <row r="1013" spans="1:5" x14ac:dyDescent="0.25">
      <c r="A1013" s="1222">
        <v>1012</v>
      </c>
      <c r="B1013" s="1222" t="s">
        <v>1618</v>
      </c>
      <c r="C1013" s="1307" t="s">
        <v>1861</v>
      </c>
      <c r="D1013" s="1307" t="s">
        <v>1770</v>
      </c>
      <c r="E1013" s="1222" t="s">
        <v>1496</v>
      </c>
    </row>
    <row r="1014" spans="1:5" x14ac:dyDescent="0.25">
      <c r="A1014" s="1222">
        <v>1013</v>
      </c>
      <c r="B1014" s="1222" t="s">
        <v>1618</v>
      </c>
      <c r="C1014" s="1307" t="s">
        <v>1861</v>
      </c>
      <c r="D1014" s="1307" t="s">
        <v>1510</v>
      </c>
      <c r="E1014" s="1222" t="s">
        <v>1481</v>
      </c>
    </row>
    <row r="1015" spans="1:5" ht="30" x14ac:dyDescent="0.25">
      <c r="A1015" s="1222">
        <v>1014</v>
      </c>
      <c r="B1015" s="1222" t="s">
        <v>1618</v>
      </c>
      <c r="C1015" s="1307" t="s">
        <v>1773</v>
      </c>
      <c r="D1015" s="1307" t="s">
        <v>1646</v>
      </c>
      <c r="E1015" s="1222" t="s">
        <v>1484</v>
      </c>
    </row>
    <row r="1016" spans="1:5" ht="30" x14ac:dyDescent="0.25">
      <c r="A1016" s="1222">
        <v>1015</v>
      </c>
      <c r="B1016" s="1222" t="s">
        <v>1618</v>
      </c>
      <c r="C1016" s="1307" t="s">
        <v>1773</v>
      </c>
      <c r="D1016" s="1307" t="s">
        <v>1646</v>
      </c>
      <c r="E1016" s="1222" t="s">
        <v>1485</v>
      </c>
    </row>
    <row r="1017" spans="1:5" ht="30" x14ac:dyDescent="0.25">
      <c r="A1017" s="1222">
        <v>1016</v>
      </c>
      <c r="B1017" s="1222" t="s">
        <v>1618</v>
      </c>
      <c r="C1017" s="1307" t="s">
        <v>1773</v>
      </c>
      <c r="D1017" s="1307" t="s">
        <v>1646</v>
      </c>
      <c r="E1017" s="1222" t="s">
        <v>1597</v>
      </c>
    </row>
    <row r="1018" spans="1:5" x14ac:dyDescent="0.25">
      <c r="A1018" s="1222">
        <v>1017</v>
      </c>
      <c r="B1018" s="1222" t="s">
        <v>1618</v>
      </c>
      <c r="C1018" s="1307" t="s">
        <v>1773</v>
      </c>
      <c r="D1018" s="1307" t="s">
        <v>1510</v>
      </c>
      <c r="E1018" s="1222" t="s">
        <v>1594</v>
      </c>
    </row>
    <row r="1019" spans="1:5" x14ac:dyDescent="0.25">
      <c r="A1019" s="1222">
        <v>1018</v>
      </c>
      <c r="B1019" s="1222" t="s">
        <v>1618</v>
      </c>
      <c r="C1019" s="1307" t="s">
        <v>1773</v>
      </c>
      <c r="D1019" s="1307" t="s">
        <v>1510</v>
      </c>
      <c r="E1019" s="1222" t="s">
        <v>1495</v>
      </c>
    </row>
    <row r="1020" spans="1:5" x14ac:dyDescent="0.25">
      <c r="A1020" s="1222">
        <v>1019</v>
      </c>
      <c r="B1020" s="1222" t="s">
        <v>1618</v>
      </c>
      <c r="C1020" s="1307" t="s">
        <v>1862</v>
      </c>
      <c r="D1020" s="1307" t="s">
        <v>1774</v>
      </c>
      <c r="E1020" s="1222" t="s">
        <v>1593</v>
      </c>
    </row>
    <row r="1021" spans="1:5" x14ac:dyDescent="0.25">
      <c r="A1021" s="1222">
        <v>1020</v>
      </c>
      <c r="B1021" s="1222" t="s">
        <v>1618</v>
      </c>
      <c r="C1021" s="1307" t="s">
        <v>1862</v>
      </c>
      <c r="D1021" s="1307" t="s">
        <v>1774</v>
      </c>
      <c r="E1021" s="1222" t="s">
        <v>1809</v>
      </c>
    </row>
    <row r="1022" spans="1:5" x14ac:dyDescent="0.25">
      <c r="A1022" s="1222">
        <v>1021</v>
      </c>
      <c r="B1022" s="1222" t="s">
        <v>1618</v>
      </c>
      <c r="C1022" s="1307" t="s">
        <v>1862</v>
      </c>
      <c r="D1022" s="1307" t="s">
        <v>1774</v>
      </c>
      <c r="E1022" s="1222" t="s">
        <v>1482</v>
      </c>
    </row>
    <row r="1023" spans="1:5" x14ac:dyDescent="0.25">
      <c r="A1023" s="1222">
        <v>1022</v>
      </c>
      <c r="B1023" s="1222" t="s">
        <v>1618</v>
      </c>
      <c r="C1023" s="1307" t="s">
        <v>1862</v>
      </c>
      <c r="D1023" s="1307" t="s">
        <v>1774</v>
      </c>
      <c r="E1023" s="1222" t="s">
        <v>1480</v>
      </c>
    </row>
    <row r="1024" spans="1:5" x14ac:dyDescent="0.25">
      <c r="A1024" s="1222">
        <v>1023</v>
      </c>
      <c r="B1024" s="1222" t="s">
        <v>1618</v>
      </c>
      <c r="C1024" s="1307" t="s">
        <v>1862</v>
      </c>
      <c r="D1024" s="1307" t="s">
        <v>1774</v>
      </c>
      <c r="E1024" s="1222" t="s">
        <v>1496</v>
      </c>
    </row>
    <row r="1025" spans="1:5" x14ac:dyDescent="0.25">
      <c r="A1025" s="1222">
        <v>1024</v>
      </c>
      <c r="B1025" s="1222" t="s">
        <v>1618</v>
      </c>
      <c r="C1025" s="1307" t="s">
        <v>1862</v>
      </c>
      <c r="D1025" s="1307" t="s">
        <v>1510</v>
      </c>
      <c r="E1025" s="1222" t="s">
        <v>1481</v>
      </c>
    </row>
    <row r="1026" spans="1:5" x14ac:dyDescent="0.25">
      <c r="A1026" s="1222">
        <v>1025</v>
      </c>
      <c r="B1026" s="1222" t="s">
        <v>1618</v>
      </c>
      <c r="C1026" s="1307" t="s">
        <v>1862</v>
      </c>
      <c r="D1026" s="1307" t="s">
        <v>1774</v>
      </c>
      <c r="E1026" s="1222" t="s">
        <v>1588</v>
      </c>
    </row>
    <row r="1027" spans="1:5" x14ac:dyDescent="0.25">
      <c r="A1027" s="1222">
        <v>1026</v>
      </c>
      <c r="B1027" s="1222" t="s">
        <v>1618</v>
      </c>
      <c r="C1027" s="1307" t="s">
        <v>1862</v>
      </c>
      <c r="D1027" s="1307" t="s">
        <v>1774</v>
      </c>
      <c r="E1027" s="1222" t="s">
        <v>1589</v>
      </c>
    </row>
    <row r="1028" spans="1:5" x14ac:dyDescent="0.25">
      <c r="A1028" s="1222">
        <v>1027</v>
      </c>
      <c r="B1028" s="1222" t="s">
        <v>1618</v>
      </c>
      <c r="C1028" s="1307" t="s">
        <v>1862</v>
      </c>
      <c r="D1028" s="1307" t="s">
        <v>1510</v>
      </c>
      <c r="E1028" s="1222" t="s">
        <v>1590</v>
      </c>
    </row>
    <row r="1029" spans="1:5" ht="30" x14ac:dyDescent="0.25">
      <c r="A1029" s="1222">
        <v>1028</v>
      </c>
      <c r="B1029" s="1222" t="s">
        <v>1618</v>
      </c>
      <c r="C1029" s="1307" t="s">
        <v>1862</v>
      </c>
      <c r="D1029" s="1307" t="s">
        <v>1646</v>
      </c>
      <c r="E1029" s="1222" t="s">
        <v>1484</v>
      </c>
    </row>
    <row r="1030" spans="1:5" ht="30" x14ac:dyDescent="0.25">
      <c r="A1030" s="1222">
        <v>1029</v>
      </c>
      <c r="B1030" s="1222" t="s">
        <v>1618</v>
      </c>
      <c r="C1030" s="1307" t="s">
        <v>1862</v>
      </c>
      <c r="D1030" s="1307" t="s">
        <v>1646</v>
      </c>
      <c r="E1030" s="1222" t="s">
        <v>1485</v>
      </c>
    </row>
    <row r="1031" spans="1:5" ht="30" x14ac:dyDescent="0.25">
      <c r="A1031" s="1222">
        <v>1030</v>
      </c>
      <c r="B1031" s="1222" t="s">
        <v>1618</v>
      </c>
      <c r="C1031" s="1307" t="s">
        <v>1862</v>
      </c>
      <c r="D1031" s="1307" t="s">
        <v>1646</v>
      </c>
      <c r="E1031" s="1222" t="s">
        <v>1597</v>
      </c>
    </row>
    <row r="1032" spans="1:5" x14ac:dyDescent="0.25">
      <c r="A1032" s="1222">
        <v>1031</v>
      </c>
      <c r="B1032" s="1222" t="s">
        <v>1618</v>
      </c>
      <c r="C1032" s="1307" t="s">
        <v>1862</v>
      </c>
      <c r="D1032" s="1307" t="s">
        <v>1510</v>
      </c>
      <c r="E1032" s="1222" t="s">
        <v>1594</v>
      </c>
    </row>
    <row r="1033" spans="1:5" x14ac:dyDescent="0.25">
      <c r="A1033" s="1222">
        <v>1032</v>
      </c>
      <c r="B1033" s="1222" t="s">
        <v>1618</v>
      </c>
      <c r="C1033" s="1307" t="s">
        <v>1862</v>
      </c>
      <c r="D1033" s="1307" t="s">
        <v>1774</v>
      </c>
      <c r="E1033" s="1222" t="s">
        <v>1488</v>
      </c>
    </row>
    <row r="1034" spans="1:5" x14ac:dyDescent="0.25">
      <c r="A1034" s="1222">
        <v>1033</v>
      </c>
      <c r="B1034" s="1222" t="s">
        <v>1618</v>
      </c>
      <c r="C1034" s="1307" t="s">
        <v>1863</v>
      </c>
      <c r="D1034" s="1307" t="s">
        <v>1775</v>
      </c>
      <c r="E1034" s="1222" t="s">
        <v>1593</v>
      </c>
    </row>
    <row r="1035" spans="1:5" x14ac:dyDescent="0.25">
      <c r="A1035" s="1222">
        <v>1034</v>
      </c>
      <c r="B1035" s="1222" t="s">
        <v>1618</v>
      </c>
      <c r="C1035" s="1307" t="s">
        <v>1863</v>
      </c>
      <c r="D1035" s="1307" t="s">
        <v>1775</v>
      </c>
      <c r="E1035" s="1222" t="s">
        <v>1809</v>
      </c>
    </row>
    <row r="1036" spans="1:5" x14ac:dyDescent="0.25">
      <c r="A1036" s="1222">
        <v>1035</v>
      </c>
      <c r="B1036" s="1222" t="s">
        <v>1618</v>
      </c>
      <c r="C1036" s="1307" t="s">
        <v>1863</v>
      </c>
      <c r="D1036" s="1307" t="s">
        <v>1775</v>
      </c>
      <c r="E1036" s="1222" t="s">
        <v>1482</v>
      </c>
    </row>
    <row r="1037" spans="1:5" x14ac:dyDescent="0.25">
      <c r="A1037" s="1222">
        <v>1036</v>
      </c>
      <c r="B1037" s="1222" t="s">
        <v>1618</v>
      </c>
      <c r="C1037" s="1307" t="s">
        <v>1863</v>
      </c>
      <c r="D1037" s="1307" t="s">
        <v>1775</v>
      </c>
      <c r="E1037" s="1222" t="s">
        <v>1480</v>
      </c>
    </row>
    <row r="1038" spans="1:5" x14ac:dyDescent="0.25">
      <c r="A1038" s="1222">
        <v>1037</v>
      </c>
      <c r="B1038" s="1222" t="s">
        <v>1618</v>
      </c>
      <c r="C1038" s="1307" t="s">
        <v>1863</v>
      </c>
      <c r="D1038" s="1307" t="s">
        <v>1510</v>
      </c>
      <c r="E1038" s="1222" t="s">
        <v>1481</v>
      </c>
    </row>
    <row r="1039" spans="1:5" ht="30" x14ac:dyDescent="0.25">
      <c r="A1039" s="1222">
        <v>1038</v>
      </c>
      <c r="B1039" s="1222" t="s">
        <v>1618</v>
      </c>
      <c r="C1039" s="1307" t="s">
        <v>1863</v>
      </c>
      <c r="D1039" s="1307" t="s">
        <v>1646</v>
      </c>
      <c r="E1039" s="1222" t="s">
        <v>1484</v>
      </c>
    </row>
    <row r="1040" spans="1:5" ht="30" x14ac:dyDescent="0.25">
      <c r="A1040" s="1222">
        <v>1039</v>
      </c>
      <c r="B1040" s="1222" t="s">
        <v>1618</v>
      </c>
      <c r="C1040" s="1307" t="s">
        <v>1863</v>
      </c>
      <c r="D1040" s="1307" t="s">
        <v>1646</v>
      </c>
      <c r="E1040" s="1222" t="s">
        <v>1485</v>
      </c>
    </row>
    <row r="1041" spans="1:5" ht="30" x14ac:dyDescent="0.25">
      <c r="A1041" s="1222">
        <v>1040</v>
      </c>
      <c r="B1041" s="1222" t="s">
        <v>1618</v>
      </c>
      <c r="C1041" s="1307" t="s">
        <v>1863</v>
      </c>
      <c r="D1041" s="1307" t="s">
        <v>1646</v>
      </c>
      <c r="E1041" s="1222" t="s">
        <v>1597</v>
      </c>
    </row>
    <row r="1042" spans="1:5" x14ac:dyDescent="0.25">
      <c r="A1042" s="1222">
        <v>1041</v>
      </c>
      <c r="B1042" s="1222" t="s">
        <v>1618</v>
      </c>
      <c r="C1042" s="1307" t="s">
        <v>1863</v>
      </c>
      <c r="D1042" s="1307" t="s">
        <v>1510</v>
      </c>
      <c r="E1042" s="1222" t="s">
        <v>1594</v>
      </c>
    </row>
    <row r="1043" spans="1:5" x14ac:dyDescent="0.25">
      <c r="A1043" s="1222">
        <v>1042</v>
      </c>
      <c r="B1043" s="1222" t="s">
        <v>1618</v>
      </c>
      <c r="C1043" s="1307" t="s">
        <v>1863</v>
      </c>
      <c r="D1043" s="1307" t="s">
        <v>1775</v>
      </c>
      <c r="E1043" s="1222" t="s">
        <v>1495</v>
      </c>
    </row>
    <row r="1044" spans="1:5" x14ac:dyDescent="0.25">
      <c r="A1044" s="1222">
        <v>1043</v>
      </c>
      <c r="B1044" s="1222" t="s">
        <v>1618</v>
      </c>
      <c r="C1044" s="1307" t="s">
        <v>1863</v>
      </c>
      <c r="D1044" s="1307" t="s">
        <v>1775</v>
      </c>
      <c r="E1044" s="1222" t="s">
        <v>1776</v>
      </c>
    </row>
    <row r="1045" spans="1:5" x14ac:dyDescent="0.25">
      <c r="A1045" s="1222">
        <v>1044</v>
      </c>
      <c r="B1045" s="1222" t="s">
        <v>1618</v>
      </c>
      <c r="C1045" s="1307" t="s">
        <v>1863</v>
      </c>
      <c r="D1045" s="1307" t="s">
        <v>1775</v>
      </c>
      <c r="E1045" s="1222" t="s">
        <v>1577</v>
      </c>
    </row>
    <row r="1046" spans="1:5" ht="30" x14ac:dyDescent="0.25">
      <c r="A1046" s="1222">
        <v>1045</v>
      </c>
      <c r="B1046" s="1222" t="s">
        <v>1618</v>
      </c>
      <c r="C1046" s="1307" t="s">
        <v>1863</v>
      </c>
      <c r="D1046" s="1307" t="s">
        <v>1510</v>
      </c>
      <c r="E1046" s="1306" t="s">
        <v>1581</v>
      </c>
    </row>
    <row r="1047" spans="1:5" x14ac:dyDescent="0.25">
      <c r="A1047" s="1222">
        <v>1046</v>
      </c>
      <c r="B1047" s="1222" t="s">
        <v>1618</v>
      </c>
      <c r="C1047" s="1307" t="s">
        <v>1863</v>
      </c>
      <c r="D1047" s="1307" t="s">
        <v>1775</v>
      </c>
      <c r="E1047" s="1306" t="s">
        <v>1212</v>
      </c>
    </row>
    <row r="1048" spans="1:5" x14ac:dyDescent="0.25">
      <c r="A1048" s="1222">
        <v>1047</v>
      </c>
      <c r="B1048" s="1222" t="s">
        <v>1618</v>
      </c>
      <c r="C1048" s="1307" t="s">
        <v>1863</v>
      </c>
      <c r="D1048" s="1307" t="s">
        <v>1775</v>
      </c>
      <c r="E1048" s="1306" t="s">
        <v>1501</v>
      </c>
    </row>
    <row r="1049" spans="1:5" x14ac:dyDescent="0.25">
      <c r="A1049" s="1222">
        <v>1048</v>
      </c>
      <c r="B1049" s="1222" t="s">
        <v>1618</v>
      </c>
      <c r="C1049" s="1307" t="s">
        <v>1863</v>
      </c>
      <c r="D1049" s="1307" t="s">
        <v>1510</v>
      </c>
      <c r="E1049" s="1306" t="s">
        <v>1582</v>
      </c>
    </row>
    <row r="1050" spans="1:5" x14ac:dyDescent="0.25">
      <c r="A1050" s="1222">
        <v>1049</v>
      </c>
      <c r="B1050" s="1222" t="s">
        <v>1618</v>
      </c>
      <c r="C1050" s="1307" t="s">
        <v>1863</v>
      </c>
      <c r="D1050" s="1307" t="s">
        <v>1775</v>
      </c>
      <c r="E1050" s="1306" t="s">
        <v>1211</v>
      </c>
    </row>
    <row r="1051" spans="1:5" x14ac:dyDescent="0.25">
      <c r="A1051" s="1222">
        <v>1050</v>
      </c>
      <c r="B1051" s="1222" t="s">
        <v>1618</v>
      </c>
      <c r="C1051" s="1307" t="s">
        <v>1864</v>
      </c>
      <c r="D1051" s="1307" t="s">
        <v>1777</v>
      </c>
      <c r="E1051" s="1222" t="s">
        <v>1593</v>
      </c>
    </row>
    <row r="1052" spans="1:5" x14ac:dyDescent="0.25">
      <c r="A1052" s="1222">
        <v>1051</v>
      </c>
      <c r="B1052" s="1222" t="s">
        <v>1618</v>
      </c>
      <c r="C1052" s="1307" t="s">
        <v>1864</v>
      </c>
      <c r="D1052" s="1307" t="s">
        <v>1777</v>
      </c>
      <c r="E1052" s="1222" t="s">
        <v>1809</v>
      </c>
    </row>
    <row r="1053" spans="1:5" x14ac:dyDescent="0.25">
      <c r="A1053" s="1222">
        <v>1052</v>
      </c>
      <c r="B1053" s="1222" t="s">
        <v>1618</v>
      </c>
      <c r="C1053" s="1307" t="s">
        <v>1864</v>
      </c>
      <c r="D1053" s="1307" t="s">
        <v>1777</v>
      </c>
      <c r="E1053" s="1222" t="s">
        <v>1482</v>
      </c>
    </row>
    <row r="1054" spans="1:5" x14ac:dyDescent="0.25">
      <c r="A1054" s="1222">
        <v>1053</v>
      </c>
      <c r="B1054" s="1222" t="s">
        <v>1618</v>
      </c>
      <c r="C1054" s="1307" t="s">
        <v>1864</v>
      </c>
      <c r="D1054" s="1307" t="s">
        <v>1777</v>
      </c>
      <c r="E1054" s="1222" t="s">
        <v>1480</v>
      </c>
    </row>
    <row r="1055" spans="1:5" x14ac:dyDescent="0.25">
      <c r="A1055" s="1222">
        <v>1054</v>
      </c>
      <c r="B1055" s="1222" t="s">
        <v>1618</v>
      </c>
      <c r="C1055" s="1307" t="s">
        <v>1864</v>
      </c>
      <c r="D1055" s="1307" t="s">
        <v>1510</v>
      </c>
      <c r="E1055" s="1222" t="s">
        <v>1481</v>
      </c>
    </row>
    <row r="1056" spans="1:5" ht="30" x14ac:dyDescent="0.25">
      <c r="A1056" s="1222">
        <v>1055</v>
      </c>
      <c r="B1056" s="1222" t="s">
        <v>1618</v>
      </c>
      <c r="C1056" s="1307" t="s">
        <v>1864</v>
      </c>
      <c r="D1056" s="1307" t="s">
        <v>1646</v>
      </c>
      <c r="E1056" s="1222" t="s">
        <v>1484</v>
      </c>
    </row>
    <row r="1057" spans="1:5" ht="30" x14ac:dyDescent="0.25">
      <c r="A1057" s="1222">
        <v>1056</v>
      </c>
      <c r="B1057" s="1222" t="s">
        <v>1618</v>
      </c>
      <c r="C1057" s="1307" t="s">
        <v>1864</v>
      </c>
      <c r="D1057" s="1307" t="s">
        <v>1646</v>
      </c>
      <c r="E1057" s="1222" t="s">
        <v>1485</v>
      </c>
    </row>
    <row r="1058" spans="1:5" ht="30" x14ac:dyDescent="0.25">
      <c r="A1058" s="1222">
        <v>1057</v>
      </c>
      <c r="B1058" s="1222" t="s">
        <v>1618</v>
      </c>
      <c r="C1058" s="1307" t="s">
        <v>1864</v>
      </c>
      <c r="D1058" s="1307" t="s">
        <v>1646</v>
      </c>
      <c r="E1058" s="1222" t="s">
        <v>1597</v>
      </c>
    </row>
    <row r="1059" spans="1:5" x14ac:dyDescent="0.25">
      <c r="A1059" s="1222">
        <v>1058</v>
      </c>
      <c r="B1059" s="1222" t="s">
        <v>1618</v>
      </c>
      <c r="C1059" s="1307" t="s">
        <v>1864</v>
      </c>
      <c r="D1059" s="1307" t="s">
        <v>1510</v>
      </c>
      <c r="E1059" s="1222" t="s">
        <v>1594</v>
      </c>
    </row>
    <row r="1060" spans="1:5" x14ac:dyDescent="0.25">
      <c r="A1060" s="1222">
        <v>1059</v>
      </c>
      <c r="B1060" s="1222" t="s">
        <v>1618</v>
      </c>
      <c r="C1060" s="1307" t="s">
        <v>1864</v>
      </c>
      <c r="D1060" s="1307" t="s">
        <v>1777</v>
      </c>
      <c r="E1060" s="1222" t="s">
        <v>1495</v>
      </c>
    </row>
    <row r="1061" spans="1:5" x14ac:dyDescent="0.25">
      <c r="A1061" s="1222">
        <v>1060</v>
      </c>
      <c r="B1061" s="1222" t="s">
        <v>1618</v>
      </c>
      <c r="C1061" s="1307" t="s">
        <v>1864</v>
      </c>
      <c r="D1061" s="1307" t="s">
        <v>1777</v>
      </c>
      <c r="E1061" s="1222" t="s">
        <v>1776</v>
      </c>
    </row>
    <row r="1062" spans="1:5" ht="30" x14ac:dyDescent="0.25">
      <c r="A1062" s="1222">
        <v>1061</v>
      </c>
      <c r="B1062" s="1222" t="s">
        <v>1618</v>
      </c>
      <c r="C1062" s="1307" t="s">
        <v>1864</v>
      </c>
      <c r="D1062" s="1307" t="s">
        <v>1510</v>
      </c>
      <c r="E1062" s="1306" t="s">
        <v>1581</v>
      </c>
    </row>
    <row r="1063" spans="1:5" x14ac:dyDescent="0.25">
      <c r="A1063" s="1222">
        <v>1062</v>
      </c>
      <c r="B1063" s="1222" t="s">
        <v>1618</v>
      </c>
      <c r="C1063" s="1307" t="s">
        <v>1864</v>
      </c>
      <c r="D1063" s="1307" t="s">
        <v>1775</v>
      </c>
      <c r="E1063" s="1306" t="s">
        <v>1212</v>
      </c>
    </row>
    <row r="1064" spans="1:5" x14ac:dyDescent="0.25">
      <c r="A1064" s="1222">
        <v>1063</v>
      </c>
      <c r="B1064" s="1222" t="s">
        <v>1618</v>
      </c>
      <c r="C1064" s="1307" t="s">
        <v>1864</v>
      </c>
      <c r="D1064" s="1307" t="s">
        <v>1775</v>
      </c>
      <c r="E1064" s="1306" t="s">
        <v>1501</v>
      </c>
    </row>
    <row r="1065" spans="1:5" x14ac:dyDescent="0.25">
      <c r="A1065" s="1222">
        <v>1064</v>
      </c>
      <c r="B1065" s="1222" t="s">
        <v>1618</v>
      </c>
      <c r="C1065" s="1307" t="s">
        <v>1864</v>
      </c>
      <c r="D1065" s="1307" t="s">
        <v>1510</v>
      </c>
      <c r="E1065" s="1306" t="s">
        <v>1582</v>
      </c>
    </row>
    <row r="1066" spans="1:5" x14ac:dyDescent="0.25">
      <c r="A1066" s="1222">
        <v>1065</v>
      </c>
      <c r="B1066" s="1222" t="s">
        <v>1618</v>
      </c>
      <c r="C1066" s="1307" t="s">
        <v>1864</v>
      </c>
      <c r="D1066" s="1307" t="s">
        <v>1775</v>
      </c>
      <c r="E1066" s="1306" t="s">
        <v>1211</v>
      </c>
    </row>
    <row r="1067" spans="1:5" x14ac:dyDescent="0.25">
      <c r="A1067" s="1222">
        <v>1066</v>
      </c>
      <c r="B1067" s="1222" t="s">
        <v>1618</v>
      </c>
      <c r="C1067" s="1307" t="s">
        <v>1865</v>
      </c>
      <c r="D1067" s="1307" t="s">
        <v>1778</v>
      </c>
      <c r="E1067" s="1222" t="s">
        <v>1593</v>
      </c>
    </row>
    <row r="1068" spans="1:5" x14ac:dyDescent="0.25">
      <c r="A1068" s="1222">
        <v>1067</v>
      </c>
      <c r="B1068" s="1222" t="s">
        <v>1618</v>
      </c>
      <c r="C1068" s="1307" t="s">
        <v>1865</v>
      </c>
      <c r="D1068" s="1307" t="s">
        <v>1778</v>
      </c>
      <c r="E1068" s="1222" t="s">
        <v>1809</v>
      </c>
    </row>
    <row r="1069" spans="1:5" x14ac:dyDescent="0.25">
      <c r="A1069" s="1222">
        <v>1068</v>
      </c>
      <c r="B1069" s="1222" t="s">
        <v>1618</v>
      </c>
      <c r="C1069" s="1307" t="s">
        <v>1865</v>
      </c>
      <c r="D1069" s="1307" t="s">
        <v>1778</v>
      </c>
      <c r="E1069" s="1222" t="s">
        <v>1482</v>
      </c>
    </row>
    <row r="1070" spans="1:5" x14ac:dyDescent="0.25">
      <c r="A1070" s="1222">
        <v>1069</v>
      </c>
      <c r="B1070" s="1222" t="s">
        <v>1618</v>
      </c>
      <c r="C1070" s="1307" t="s">
        <v>1865</v>
      </c>
      <c r="D1070" s="1307" t="s">
        <v>1778</v>
      </c>
      <c r="E1070" s="1222" t="s">
        <v>1480</v>
      </c>
    </row>
    <row r="1071" spans="1:5" x14ac:dyDescent="0.25">
      <c r="A1071" s="1222">
        <v>1070</v>
      </c>
      <c r="B1071" s="1222" t="s">
        <v>1618</v>
      </c>
      <c r="C1071" s="1307" t="s">
        <v>1865</v>
      </c>
      <c r="D1071" s="1307" t="s">
        <v>1510</v>
      </c>
      <c r="E1071" s="1222" t="s">
        <v>1481</v>
      </c>
    </row>
    <row r="1072" spans="1:5" ht="30" x14ac:dyDescent="0.25">
      <c r="A1072" s="1222">
        <v>1071</v>
      </c>
      <c r="B1072" s="1222" t="s">
        <v>1618</v>
      </c>
      <c r="C1072" s="1307" t="s">
        <v>1865</v>
      </c>
      <c r="D1072" s="1307" t="s">
        <v>1646</v>
      </c>
      <c r="E1072" s="1222" t="s">
        <v>1484</v>
      </c>
    </row>
    <row r="1073" spans="1:5" ht="30" x14ac:dyDescent="0.25">
      <c r="A1073" s="1222">
        <v>1072</v>
      </c>
      <c r="B1073" s="1222" t="s">
        <v>1618</v>
      </c>
      <c r="C1073" s="1307" t="s">
        <v>1865</v>
      </c>
      <c r="D1073" s="1307" t="s">
        <v>1646</v>
      </c>
      <c r="E1073" s="1222" t="s">
        <v>1485</v>
      </c>
    </row>
    <row r="1074" spans="1:5" ht="30" x14ac:dyDescent="0.25">
      <c r="A1074" s="1222">
        <v>1073</v>
      </c>
      <c r="B1074" s="1222" t="s">
        <v>1618</v>
      </c>
      <c r="C1074" s="1307" t="s">
        <v>1865</v>
      </c>
      <c r="D1074" s="1307" t="s">
        <v>1646</v>
      </c>
      <c r="E1074" s="1222" t="s">
        <v>1597</v>
      </c>
    </row>
    <row r="1075" spans="1:5" x14ac:dyDescent="0.25">
      <c r="A1075" s="1222">
        <v>1074</v>
      </c>
      <c r="B1075" s="1222" t="s">
        <v>1618</v>
      </c>
      <c r="C1075" s="1307" t="s">
        <v>1865</v>
      </c>
      <c r="D1075" s="1307" t="s">
        <v>1510</v>
      </c>
      <c r="E1075" s="1222" t="s">
        <v>1594</v>
      </c>
    </row>
    <row r="1076" spans="1:5" x14ac:dyDescent="0.25">
      <c r="A1076" s="1222">
        <v>1075</v>
      </c>
      <c r="B1076" s="1222" t="s">
        <v>1618</v>
      </c>
      <c r="C1076" s="1307" t="s">
        <v>1865</v>
      </c>
      <c r="D1076" s="1307" t="s">
        <v>1778</v>
      </c>
      <c r="E1076" s="1222" t="s">
        <v>1495</v>
      </c>
    </row>
    <row r="1077" spans="1:5" x14ac:dyDescent="0.25">
      <c r="A1077" s="1222">
        <v>1076</v>
      </c>
      <c r="B1077" s="1222" t="s">
        <v>1618</v>
      </c>
      <c r="C1077" s="1307" t="s">
        <v>1866</v>
      </c>
      <c r="D1077" s="1307" t="s">
        <v>1778</v>
      </c>
      <c r="E1077" s="1222" t="s">
        <v>1593</v>
      </c>
    </row>
    <row r="1078" spans="1:5" x14ac:dyDescent="0.25">
      <c r="A1078" s="1222">
        <v>1077</v>
      </c>
      <c r="B1078" s="1222" t="s">
        <v>1618</v>
      </c>
      <c r="C1078" s="1307" t="s">
        <v>1866</v>
      </c>
      <c r="D1078" s="1307" t="s">
        <v>1778</v>
      </c>
      <c r="E1078" s="1222" t="s">
        <v>1809</v>
      </c>
    </row>
    <row r="1079" spans="1:5" x14ac:dyDescent="0.25">
      <c r="A1079" s="1222">
        <v>1078</v>
      </c>
      <c r="B1079" s="1222" t="s">
        <v>1618</v>
      </c>
      <c r="C1079" s="1307" t="s">
        <v>1866</v>
      </c>
      <c r="D1079" s="1307" t="s">
        <v>1778</v>
      </c>
      <c r="E1079" s="1222" t="s">
        <v>1482</v>
      </c>
    </row>
    <row r="1080" spans="1:5" x14ac:dyDescent="0.25">
      <c r="A1080" s="1222">
        <v>1079</v>
      </c>
      <c r="B1080" s="1222" t="s">
        <v>1618</v>
      </c>
      <c r="C1080" s="1307" t="s">
        <v>1866</v>
      </c>
      <c r="D1080" s="1307" t="s">
        <v>1778</v>
      </c>
      <c r="E1080" s="1222" t="s">
        <v>1480</v>
      </c>
    </row>
    <row r="1081" spans="1:5" x14ac:dyDescent="0.25">
      <c r="A1081" s="1222">
        <v>1080</v>
      </c>
      <c r="B1081" s="1222" t="s">
        <v>1618</v>
      </c>
      <c r="C1081" s="1307" t="s">
        <v>1866</v>
      </c>
      <c r="D1081" s="1307" t="s">
        <v>1510</v>
      </c>
      <c r="E1081" s="1222" t="s">
        <v>1481</v>
      </c>
    </row>
    <row r="1082" spans="1:5" ht="30" x14ac:dyDescent="0.25">
      <c r="A1082" s="1222">
        <v>1081</v>
      </c>
      <c r="B1082" s="1222" t="s">
        <v>1618</v>
      </c>
      <c r="C1082" s="1307" t="s">
        <v>1866</v>
      </c>
      <c r="D1082" s="1307" t="s">
        <v>1646</v>
      </c>
      <c r="E1082" s="1222" t="s">
        <v>1484</v>
      </c>
    </row>
    <row r="1083" spans="1:5" ht="30" x14ac:dyDescent="0.25">
      <c r="A1083" s="1222">
        <v>1082</v>
      </c>
      <c r="B1083" s="1222" t="s">
        <v>1618</v>
      </c>
      <c r="C1083" s="1307" t="s">
        <v>1866</v>
      </c>
      <c r="D1083" s="1307" t="s">
        <v>1646</v>
      </c>
      <c r="E1083" s="1222" t="s">
        <v>1485</v>
      </c>
    </row>
    <row r="1084" spans="1:5" ht="30" x14ac:dyDescent="0.25">
      <c r="A1084" s="1222">
        <v>1083</v>
      </c>
      <c r="B1084" s="1222" t="s">
        <v>1618</v>
      </c>
      <c r="C1084" s="1307" t="s">
        <v>1866</v>
      </c>
      <c r="D1084" s="1307" t="s">
        <v>1646</v>
      </c>
      <c r="E1084" s="1222" t="s">
        <v>1597</v>
      </c>
    </row>
    <row r="1085" spans="1:5" x14ac:dyDescent="0.25">
      <c r="A1085" s="1222">
        <v>1084</v>
      </c>
      <c r="B1085" s="1222" t="s">
        <v>1618</v>
      </c>
      <c r="C1085" s="1307" t="s">
        <v>1866</v>
      </c>
      <c r="D1085" s="1307" t="s">
        <v>1510</v>
      </c>
      <c r="E1085" s="1222" t="s">
        <v>1594</v>
      </c>
    </row>
    <row r="1086" spans="1:5" x14ac:dyDescent="0.25">
      <c r="A1086" s="1222">
        <v>1085</v>
      </c>
      <c r="B1086" s="1222" t="s">
        <v>1618</v>
      </c>
      <c r="C1086" s="1307" t="s">
        <v>1866</v>
      </c>
      <c r="D1086" s="1307" t="s">
        <v>1778</v>
      </c>
      <c r="E1086" s="1222" t="s">
        <v>1495</v>
      </c>
    </row>
    <row r="1087" spans="1:5" x14ac:dyDescent="0.25">
      <c r="A1087" s="1222">
        <v>1086</v>
      </c>
      <c r="B1087" s="1222" t="s">
        <v>1618</v>
      </c>
      <c r="C1087" s="1307" t="s">
        <v>1867</v>
      </c>
      <c r="D1087" s="1307" t="s">
        <v>1779</v>
      </c>
      <c r="E1087" s="1222" t="s">
        <v>1593</v>
      </c>
    </row>
    <row r="1088" spans="1:5" x14ac:dyDescent="0.25">
      <c r="A1088" s="1222">
        <v>1087</v>
      </c>
      <c r="B1088" s="1222" t="s">
        <v>1618</v>
      </c>
      <c r="C1088" s="1307" t="s">
        <v>1867</v>
      </c>
      <c r="D1088" s="1307" t="s">
        <v>1779</v>
      </c>
      <c r="E1088" s="1222" t="s">
        <v>1809</v>
      </c>
    </row>
    <row r="1089" spans="1:5" x14ac:dyDescent="0.25">
      <c r="A1089" s="1222">
        <v>1088</v>
      </c>
      <c r="B1089" s="1222" t="s">
        <v>1618</v>
      </c>
      <c r="C1089" s="1307" t="s">
        <v>1867</v>
      </c>
      <c r="D1089" s="1307" t="s">
        <v>1779</v>
      </c>
      <c r="E1089" s="1222" t="s">
        <v>1482</v>
      </c>
    </row>
    <row r="1090" spans="1:5" x14ac:dyDescent="0.25">
      <c r="A1090" s="1222">
        <v>1089</v>
      </c>
      <c r="B1090" s="1222" t="s">
        <v>1618</v>
      </c>
      <c r="C1090" s="1307" t="s">
        <v>1867</v>
      </c>
      <c r="D1090" s="1307" t="s">
        <v>1778</v>
      </c>
      <c r="E1090" s="1222" t="s">
        <v>1479</v>
      </c>
    </row>
    <row r="1091" spans="1:5" x14ac:dyDescent="0.25">
      <c r="A1091" s="1222">
        <v>1090</v>
      </c>
      <c r="B1091" s="1222" t="s">
        <v>1618</v>
      </c>
      <c r="C1091" s="1307" t="s">
        <v>1867</v>
      </c>
      <c r="D1091" s="1307" t="s">
        <v>1779</v>
      </c>
      <c r="E1091" s="1222" t="s">
        <v>1480</v>
      </c>
    </row>
    <row r="1092" spans="1:5" x14ac:dyDescent="0.25">
      <c r="A1092" s="1222">
        <v>1091</v>
      </c>
      <c r="B1092" s="1222" t="s">
        <v>1618</v>
      </c>
      <c r="C1092" s="1307" t="s">
        <v>1867</v>
      </c>
      <c r="D1092" s="1307" t="s">
        <v>1510</v>
      </c>
      <c r="E1092" s="1222" t="s">
        <v>1481</v>
      </c>
    </row>
    <row r="1093" spans="1:5" x14ac:dyDescent="0.25">
      <c r="A1093" s="1222">
        <v>1092</v>
      </c>
      <c r="B1093" s="1222" t="s">
        <v>1618</v>
      </c>
      <c r="C1093" s="1307" t="s">
        <v>1867</v>
      </c>
      <c r="D1093" s="1307" t="s">
        <v>1779</v>
      </c>
      <c r="E1093" s="1222" t="s">
        <v>1589</v>
      </c>
    </row>
    <row r="1094" spans="1:5" x14ac:dyDescent="0.25">
      <c r="A1094" s="1222">
        <v>1093</v>
      </c>
      <c r="B1094" s="1222" t="s">
        <v>1618</v>
      </c>
      <c r="C1094" s="1307" t="s">
        <v>1867</v>
      </c>
      <c r="D1094" s="1307" t="s">
        <v>1510</v>
      </c>
      <c r="E1094" s="1222" t="s">
        <v>1590</v>
      </c>
    </row>
    <row r="1095" spans="1:5" ht="30" x14ac:dyDescent="0.25">
      <c r="A1095" s="1222">
        <v>1094</v>
      </c>
      <c r="B1095" s="1222" t="s">
        <v>1618</v>
      </c>
      <c r="C1095" s="1307" t="s">
        <v>1867</v>
      </c>
      <c r="D1095" s="1307" t="s">
        <v>1646</v>
      </c>
      <c r="E1095" s="1222" t="s">
        <v>1484</v>
      </c>
    </row>
    <row r="1096" spans="1:5" ht="30" x14ac:dyDescent="0.25">
      <c r="A1096" s="1222">
        <v>1095</v>
      </c>
      <c r="B1096" s="1222" t="s">
        <v>1618</v>
      </c>
      <c r="C1096" s="1307" t="s">
        <v>1867</v>
      </c>
      <c r="D1096" s="1307" t="s">
        <v>1646</v>
      </c>
      <c r="E1096" s="1222" t="s">
        <v>1485</v>
      </c>
    </row>
    <row r="1097" spans="1:5" ht="30" x14ac:dyDescent="0.25">
      <c r="A1097" s="1222">
        <v>1096</v>
      </c>
      <c r="B1097" s="1222" t="s">
        <v>1618</v>
      </c>
      <c r="C1097" s="1307" t="s">
        <v>1867</v>
      </c>
      <c r="D1097" s="1307" t="s">
        <v>1646</v>
      </c>
      <c r="E1097" s="1222" t="s">
        <v>1597</v>
      </c>
    </row>
    <row r="1098" spans="1:5" x14ac:dyDescent="0.25">
      <c r="A1098" s="1222">
        <v>1097</v>
      </c>
      <c r="B1098" s="1222" t="s">
        <v>1618</v>
      </c>
      <c r="C1098" s="1307" t="s">
        <v>1867</v>
      </c>
      <c r="D1098" s="1307" t="s">
        <v>1510</v>
      </c>
      <c r="E1098" s="1222" t="s">
        <v>1594</v>
      </c>
    </row>
    <row r="1099" spans="1:5" x14ac:dyDescent="0.25">
      <c r="A1099" s="1222">
        <v>1098</v>
      </c>
      <c r="B1099" s="1222" t="s">
        <v>1618</v>
      </c>
      <c r="C1099" s="1307" t="s">
        <v>1867</v>
      </c>
      <c r="D1099" s="1307" t="s">
        <v>1779</v>
      </c>
      <c r="E1099" s="1222" t="s">
        <v>1488</v>
      </c>
    </row>
    <row r="1100" spans="1:5" x14ac:dyDescent="0.25">
      <c r="A1100" s="1222">
        <v>1099</v>
      </c>
      <c r="B1100" s="1222" t="s">
        <v>1618</v>
      </c>
      <c r="C1100" s="1307" t="s">
        <v>1867</v>
      </c>
      <c r="D1100" s="1307" t="s">
        <v>1779</v>
      </c>
      <c r="E1100" s="1222" t="s">
        <v>1495</v>
      </c>
    </row>
    <row r="1101" spans="1:5" x14ac:dyDescent="0.25">
      <c r="A1101" s="1222">
        <v>1100</v>
      </c>
      <c r="B1101" s="1222" t="s">
        <v>1618</v>
      </c>
      <c r="C1101" s="1307" t="s">
        <v>1868</v>
      </c>
      <c r="D1101" s="1307" t="s">
        <v>1779</v>
      </c>
      <c r="E1101" s="1222" t="s">
        <v>1583</v>
      </c>
    </row>
    <row r="1102" spans="1:5" x14ac:dyDescent="0.25">
      <c r="A1102" s="1222">
        <v>1101</v>
      </c>
      <c r="B1102" s="1222" t="s">
        <v>1618</v>
      </c>
      <c r="C1102" s="1307" t="s">
        <v>1868</v>
      </c>
      <c r="D1102" s="1307" t="s">
        <v>1779</v>
      </c>
      <c r="E1102" s="1222" t="s">
        <v>751</v>
      </c>
    </row>
    <row r="1103" spans="1:5" x14ac:dyDescent="0.25">
      <c r="A1103" s="1222">
        <v>1102</v>
      </c>
      <c r="B1103" s="1222" t="s">
        <v>1618</v>
      </c>
      <c r="C1103" s="1307" t="s">
        <v>1868</v>
      </c>
      <c r="D1103" s="1307" t="s">
        <v>1779</v>
      </c>
      <c r="E1103" s="1222" t="s">
        <v>1584</v>
      </c>
    </row>
    <row r="1104" spans="1:5" x14ac:dyDescent="0.25">
      <c r="A1104" s="1222">
        <v>1103</v>
      </c>
      <c r="B1104" s="1222" t="s">
        <v>1618</v>
      </c>
      <c r="C1104" s="1307" t="s">
        <v>1869</v>
      </c>
      <c r="D1104" s="1307" t="s">
        <v>1779</v>
      </c>
      <c r="E1104" s="1222" t="s">
        <v>1583</v>
      </c>
    </row>
    <row r="1105" spans="1:5" x14ac:dyDescent="0.25">
      <c r="A1105" s="1222">
        <v>1104</v>
      </c>
      <c r="B1105" s="1222" t="s">
        <v>1618</v>
      </c>
      <c r="C1105" s="1307" t="s">
        <v>1869</v>
      </c>
      <c r="D1105" s="1307" t="s">
        <v>1779</v>
      </c>
      <c r="E1105" s="1222" t="s">
        <v>751</v>
      </c>
    </row>
    <row r="1106" spans="1:5" x14ac:dyDescent="0.25">
      <c r="A1106" s="1222">
        <v>1105</v>
      </c>
      <c r="B1106" s="1222" t="s">
        <v>1618</v>
      </c>
      <c r="C1106" s="1307" t="s">
        <v>1869</v>
      </c>
      <c r="D1106" s="1307" t="s">
        <v>1779</v>
      </c>
      <c r="E1106" s="1222" t="s">
        <v>1584</v>
      </c>
    </row>
    <row r="1107" spans="1:5" x14ac:dyDescent="0.25">
      <c r="A1107" s="1222">
        <v>1106</v>
      </c>
      <c r="B1107" s="1222" t="s">
        <v>1618</v>
      </c>
      <c r="C1107" s="1307" t="s">
        <v>1870</v>
      </c>
      <c r="D1107" s="1307" t="s">
        <v>1779</v>
      </c>
      <c r="E1107" s="1222" t="s">
        <v>1583</v>
      </c>
    </row>
    <row r="1108" spans="1:5" x14ac:dyDescent="0.25">
      <c r="A1108" s="1222">
        <v>1107</v>
      </c>
      <c r="B1108" s="1222" t="s">
        <v>1618</v>
      </c>
      <c r="C1108" s="1307" t="s">
        <v>1870</v>
      </c>
      <c r="D1108" s="1307" t="s">
        <v>1779</v>
      </c>
      <c r="E1108" s="1222" t="s">
        <v>751</v>
      </c>
    </row>
    <row r="1109" spans="1:5" x14ac:dyDescent="0.25">
      <c r="A1109" s="1222">
        <v>1108</v>
      </c>
      <c r="B1109" s="1222" t="s">
        <v>1618</v>
      </c>
      <c r="C1109" s="1307" t="s">
        <v>1870</v>
      </c>
      <c r="D1109" s="1307" t="s">
        <v>1779</v>
      </c>
      <c r="E1109" s="1222" t="s">
        <v>1584</v>
      </c>
    </row>
    <row r="1110" spans="1:5" x14ac:dyDescent="0.25">
      <c r="A1110" s="1222">
        <v>1109</v>
      </c>
      <c r="B1110" s="1222" t="s">
        <v>1618</v>
      </c>
      <c r="C1110" s="1307" t="s">
        <v>1871</v>
      </c>
      <c r="D1110" s="1307" t="s">
        <v>1779</v>
      </c>
      <c r="E1110" s="1222" t="s">
        <v>1583</v>
      </c>
    </row>
    <row r="1111" spans="1:5" x14ac:dyDescent="0.25">
      <c r="A1111" s="1222">
        <v>1110</v>
      </c>
      <c r="B1111" s="1222" t="s">
        <v>1618</v>
      </c>
      <c r="C1111" s="1307" t="s">
        <v>1871</v>
      </c>
      <c r="D1111" s="1307" t="s">
        <v>1779</v>
      </c>
      <c r="E1111" s="1222" t="s">
        <v>751</v>
      </c>
    </row>
    <row r="1112" spans="1:5" x14ac:dyDescent="0.25">
      <c r="A1112" s="1222">
        <v>1111</v>
      </c>
      <c r="B1112" s="1222" t="s">
        <v>1618</v>
      </c>
      <c r="C1112" s="1307" t="s">
        <v>1871</v>
      </c>
      <c r="D1112" s="1307" t="s">
        <v>1779</v>
      </c>
      <c r="E1112" s="1222" t="s">
        <v>1584</v>
      </c>
    </row>
    <row r="1113" spans="1:5" x14ac:dyDescent="0.25">
      <c r="A1113" s="1222">
        <v>1112</v>
      </c>
      <c r="B1113" s="1222" t="s">
        <v>1618</v>
      </c>
      <c r="C1113" s="1307" t="s">
        <v>1872</v>
      </c>
      <c r="D1113" s="1307" t="s">
        <v>1779</v>
      </c>
      <c r="E1113" s="1222" t="s">
        <v>1583</v>
      </c>
    </row>
    <row r="1114" spans="1:5" x14ac:dyDescent="0.25">
      <c r="A1114" s="1222">
        <v>1113</v>
      </c>
      <c r="B1114" s="1222" t="s">
        <v>1618</v>
      </c>
      <c r="C1114" s="1307" t="s">
        <v>1872</v>
      </c>
      <c r="D1114" s="1307" t="s">
        <v>1779</v>
      </c>
      <c r="E1114" s="1222" t="s">
        <v>751</v>
      </c>
    </row>
    <row r="1115" spans="1:5" x14ac:dyDescent="0.25">
      <c r="A1115" s="1222">
        <v>1114</v>
      </c>
      <c r="B1115" s="1222" t="s">
        <v>1618</v>
      </c>
      <c r="C1115" s="1307" t="s">
        <v>1872</v>
      </c>
      <c r="D1115" s="1307" t="s">
        <v>1779</v>
      </c>
      <c r="E1115" s="1222" t="s">
        <v>1584</v>
      </c>
    </row>
    <row r="1116" spans="1:5" x14ac:dyDescent="0.25">
      <c r="A1116" s="1222">
        <v>1115</v>
      </c>
      <c r="B1116" s="1222" t="s">
        <v>1618</v>
      </c>
      <c r="C1116" s="1307" t="s">
        <v>1873</v>
      </c>
      <c r="D1116" s="1307" t="s">
        <v>1779</v>
      </c>
      <c r="E1116" s="1222" t="s">
        <v>1593</v>
      </c>
    </row>
    <row r="1117" spans="1:5" x14ac:dyDescent="0.25">
      <c r="A1117" s="1222">
        <v>1116</v>
      </c>
      <c r="B1117" s="1222" t="s">
        <v>1618</v>
      </c>
      <c r="C1117" s="1307" t="s">
        <v>1873</v>
      </c>
      <c r="D1117" s="1307" t="s">
        <v>1779</v>
      </c>
      <c r="E1117" s="1222" t="s">
        <v>1809</v>
      </c>
    </row>
    <row r="1118" spans="1:5" x14ac:dyDescent="0.25">
      <c r="A1118" s="1222">
        <v>1117</v>
      </c>
      <c r="B1118" s="1222" t="s">
        <v>1618</v>
      </c>
      <c r="C1118" s="1307" t="s">
        <v>1873</v>
      </c>
      <c r="D1118" s="1307" t="s">
        <v>1779</v>
      </c>
      <c r="E1118" s="1222" t="s">
        <v>1482</v>
      </c>
    </row>
    <row r="1119" spans="1:5" x14ac:dyDescent="0.25">
      <c r="A1119" s="1222">
        <v>1118</v>
      </c>
      <c r="B1119" s="1222" t="s">
        <v>1618</v>
      </c>
      <c r="C1119" s="1307" t="s">
        <v>1873</v>
      </c>
      <c r="D1119" s="1307" t="s">
        <v>1778</v>
      </c>
      <c r="E1119" s="1222" t="s">
        <v>1479</v>
      </c>
    </row>
    <row r="1120" spans="1:5" x14ac:dyDescent="0.25">
      <c r="A1120" s="1222">
        <v>1119</v>
      </c>
      <c r="B1120" s="1222" t="s">
        <v>1618</v>
      </c>
      <c r="C1120" s="1307" t="s">
        <v>1873</v>
      </c>
      <c r="D1120" s="1307" t="s">
        <v>1779</v>
      </c>
      <c r="E1120" s="1222" t="s">
        <v>1480</v>
      </c>
    </row>
    <row r="1121" spans="1:5" x14ac:dyDescent="0.25">
      <c r="A1121" s="1222">
        <v>1120</v>
      </c>
      <c r="B1121" s="1222" t="s">
        <v>1618</v>
      </c>
      <c r="C1121" s="1307" t="s">
        <v>1873</v>
      </c>
      <c r="D1121" s="1307" t="s">
        <v>1510</v>
      </c>
      <c r="E1121" s="1222" t="s">
        <v>1481</v>
      </c>
    </row>
    <row r="1122" spans="1:5" x14ac:dyDescent="0.25">
      <c r="A1122" s="1222">
        <v>1121</v>
      </c>
      <c r="B1122" s="1222" t="s">
        <v>1618</v>
      </c>
      <c r="C1122" s="1307" t="s">
        <v>1873</v>
      </c>
      <c r="D1122" s="1307" t="s">
        <v>1779</v>
      </c>
      <c r="E1122" s="1222" t="s">
        <v>1589</v>
      </c>
    </row>
    <row r="1123" spans="1:5" x14ac:dyDescent="0.25">
      <c r="A1123" s="1222">
        <v>1122</v>
      </c>
      <c r="B1123" s="1222" t="s">
        <v>1618</v>
      </c>
      <c r="C1123" s="1307" t="s">
        <v>1873</v>
      </c>
      <c r="D1123" s="1307" t="s">
        <v>1510</v>
      </c>
      <c r="E1123" s="1222" t="s">
        <v>1590</v>
      </c>
    </row>
    <row r="1124" spans="1:5" ht="30" x14ac:dyDescent="0.25">
      <c r="A1124" s="1222">
        <v>1123</v>
      </c>
      <c r="B1124" s="1222" t="s">
        <v>1618</v>
      </c>
      <c r="C1124" s="1307" t="s">
        <v>1873</v>
      </c>
      <c r="D1124" s="1307" t="s">
        <v>1646</v>
      </c>
      <c r="E1124" s="1222" t="s">
        <v>1484</v>
      </c>
    </row>
    <row r="1125" spans="1:5" ht="30" x14ac:dyDescent="0.25">
      <c r="A1125" s="1222">
        <v>1124</v>
      </c>
      <c r="B1125" s="1222" t="s">
        <v>1618</v>
      </c>
      <c r="C1125" s="1307" t="s">
        <v>1873</v>
      </c>
      <c r="D1125" s="1307" t="s">
        <v>1646</v>
      </c>
      <c r="E1125" s="1222" t="s">
        <v>1485</v>
      </c>
    </row>
    <row r="1126" spans="1:5" ht="30" x14ac:dyDescent="0.25">
      <c r="A1126" s="1222">
        <v>1125</v>
      </c>
      <c r="B1126" s="1222" t="s">
        <v>1618</v>
      </c>
      <c r="C1126" s="1307" t="s">
        <v>1873</v>
      </c>
      <c r="D1126" s="1307" t="s">
        <v>1646</v>
      </c>
      <c r="E1126" s="1222" t="s">
        <v>1597</v>
      </c>
    </row>
    <row r="1127" spans="1:5" x14ac:dyDescent="0.25">
      <c r="A1127" s="1222">
        <v>1126</v>
      </c>
      <c r="B1127" s="1222" t="s">
        <v>1618</v>
      </c>
      <c r="C1127" s="1307" t="s">
        <v>1873</v>
      </c>
      <c r="D1127" s="1307" t="s">
        <v>1510</v>
      </c>
      <c r="E1127" s="1222" t="s">
        <v>1594</v>
      </c>
    </row>
    <row r="1128" spans="1:5" x14ac:dyDescent="0.25">
      <c r="A1128" s="1222">
        <v>1127</v>
      </c>
      <c r="B1128" s="1222" t="s">
        <v>1618</v>
      </c>
      <c r="C1128" s="1307" t="s">
        <v>1873</v>
      </c>
      <c r="D1128" s="1307" t="s">
        <v>1779</v>
      </c>
      <c r="E1128" s="1222" t="s">
        <v>1488</v>
      </c>
    </row>
    <row r="1129" spans="1:5" x14ac:dyDescent="0.25">
      <c r="A1129" s="1222">
        <v>1128</v>
      </c>
      <c r="B1129" s="1222" t="s">
        <v>1618</v>
      </c>
      <c r="C1129" s="1307" t="s">
        <v>1873</v>
      </c>
      <c r="D1129" s="1307" t="s">
        <v>1779</v>
      </c>
      <c r="E1129" s="1222" t="s">
        <v>1495</v>
      </c>
    </row>
    <row r="1130" spans="1:5" x14ac:dyDescent="0.25">
      <c r="A1130" s="1222">
        <v>1129</v>
      </c>
      <c r="B1130" s="1222" t="s">
        <v>1618</v>
      </c>
      <c r="C1130" s="1307" t="s">
        <v>1874</v>
      </c>
      <c r="D1130" s="1307" t="s">
        <v>1779</v>
      </c>
      <c r="E1130" s="1222" t="s">
        <v>1583</v>
      </c>
    </row>
    <row r="1131" spans="1:5" x14ac:dyDescent="0.25">
      <c r="A1131" s="1222">
        <v>1130</v>
      </c>
      <c r="B1131" s="1222" t="s">
        <v>1618</v>
      </c>
      <c r="C1131" s="1307" t="s">
        <v>1874</v>
      </c>
      <c r="D1131" s="1307" t="s">
        <v>1779</v>
      </c>
      <c r="E1131" s="1222" t="s">
        <v>751</v>
      </c>
    </row>
    <row r="1132" spans="1:5" x14ac:dyDescent="0.25">
      <c r="A1132" s="1222">
        <v>1131</v>
      </c>
      <c r="B1132" s="1222" t="s">
        <v>1618</v>
      </c>
      <c r="C1132" s="1307" t="s">
        <v>1874</v>
      </c>
      <c r="D1132" s="1307" t="s">
        <v>1779</v>
      </c>
      <c r="E1132" s="1222" t="s">
        <v>1584</v>
      </c>
    </row>
    <row r="1133" spans="1:5" x14ac:dyDescent="0.25">
      <c r="A1133" s="1222">
        <v>1132</v>
      </c>
      <c r="B1133" s="1222" t="s">
        <v>1618</v>
      </c>
      <c r="C1133" s="1307" t="s">
        <v>1875</v>
      </c>
      <c r="D1133" s="1307" t="s">
        <v>1779</v>
      </c>
      <c r="E1133" s="1222" t="s">
        <v>1583</v>
      </c>
    </row>
    <row r="1134" spans="1:5" x14ac:dyDescent="0.25">
      <c r="A1134" s="1222">
        <v>1133</v>
      </c>
      <c r="B1134" s="1222" t="s">
        <v>1618</v>
      </c>
      <c r="C1134" s="1307" t="s">
        <v>1875</v>
      </c>
      <c r="D1134" s="1307" t="s">
        <v>1779</v>
      </c>
      <c r="E1134" s="1222" t="s">
        <v>751</v>
      </c>
    </row>
    <row r="1135" spans="1:5" x14ac:dyDescent="0.25">
      <c r="A1135" s="1222">
        <v>1134</v>
      </c>
      <c r="B1135" s="1222" t="s">
        <v>1618</v>
      </c>
      <c r="C1135" s="1307" t="s">
        <v>1875</v>
      </c>
      <c r="D1135" s="1307" t="s">
        <v>1779</v>
      </c>
      <c r="E1135" s="1222" t="s">
        <v>1584</v>
      </c>
    </row>
    <row r="1136" spans="1:5" x14ac:dyDescent="0.25">
      <c r="A1136" s="1222">
        <v>1135</v>
      </c>
      <c r="B1136" s="1222" t="s">
        <v>1618</v>
      </c>
      <c r="C1136" s="1307" t="s">
        <v>1876</v>
      </c>
      <c r="D1136" s="1307" t="s">
        <v>1779</v>
      </c>
      <c r="E1136" s="1222" t="s">
        <v>1583</v>
      </c>
    </row>
    <row r="1137" spans="1:5" x14ac:dyDescent="0.25">
      <c r="A1137" s="1222">
        <v>1136</v>
      </c>
      <c r="B1137" s="1222" t="s">
        <v>1618</v>
      </c>
      <c r="C1137" s="1307" t="s">
        <v>1876</v>
      </c>
      <c r="D1137" s="1307" t="s">
        <v>1779</v>
      </c>
      <c r="E1137" s="1222" t="s">
        <v>751</v>
      </c>
    </row>
    <row r="1138" spans="1:5" x14ac:dyDescent="0.25">
      <c r="A1138" s="1222">
        <v>1137</v>
      </c>
      <c r="B1138" s="1222" t="s">
        <v>1618</v>
      </c>
      <c r="C1138" s="1307" t="s">
        <v>1876</v>
      </c>
      <c r="D1138" s="1307" t="s">
        <v>1779</v>
      </c>
      <c r="E1138" s="1222" t="s">
        <v>1584</v>
      </c>
    </row>
    <row r="1139" spans="1:5" x14ac:dyDescent="0.25">
      <c r="A1139" s="1222">
        <v>1138</v>
      </c>
      <c r="B1139" s="1222" t="s">
        <v>1618</v>
      </c>
      <c r="C1139" s="1307" t="s">
        <v>1877</v>
      </c>
      <c r="D1139" s="1307" t="s">
        <v>1779</v>
      </c>
      <c r="E1139" s="1222" t="s">
        <v>1583</v>
      </c>
    </row>
    <row r="1140" spans="1:5" x14ac:dyDescent="0.25">
      <c r="A1140" s="1222">
        <v>1139</v>
      </c>
      <c r="B1140" s="1222" t="s">
        <v>1618</v>
      </c>
      <c r="C1140" s="1307" t="s">
        <v>1877</v>
      </c>
      <c r="D1140" s="1307" t="s">
        <v>1779</v>
      </c>
      <c r="E1140" s="1222" t="s">
        <v>751</v>
      </c>
    </row>
    <row r="1141" spans="1:5" x14ac:dyDescent="0.25">
      <c r="A1141" s="1222">
        <v>1140</v>
      </c>
      <c r="B1141" s="1222" t="s">
        <v>1618</v>
      </c>
      <c r="C1141" s="1307" t="s">
        <v>1877</v>
      </c>
      <c r="D1141" s="1307" t="s">
        <v>1779</v>
      </c>
      <c r="E1141" s="1222" t="s">
        <v>1584</v>
      </c>
    </row>
    <row r="1142" spans="1:5" x14ac:dyDescent="0.25">
      <c r="A1142" s="1222">
        <v>1141</v>
      </c>
      <c r="B1142" s="1222" t="s">
        <v>1618</v>
      </c>
      <c r="C1142" s="1307" t="s">
        <v>1878</v>
      </c>
      <c r="D1142" s="1307" t="s">
        <v>1779</v>
      </c>
      <c r="E1142" s="1222" t="s">
        <v>1583</v>
      </c>
    </row>
    <row r="1143" spans="1:5" x14ac:dyDescent="0.25">
      <c r="A1143" s="1222">
        <v>1142</v>
      </c>
      <c r="B1143" s="1222" t="s">
        <v>1618</v>
      </c>
      <c r="C1143" s="1307" t="s">
        <v>1878</v>
      </c>
      <c r="D1143" s="1307" t="s">
        <v>1779</v>
      </c>
      <c r="E1143" s="1222" t="s">
        <v>751</v>
      </c>
    </row>
    <row r="1144" spans="1:5" x14ac:dyDescent="0.25">
      <c r="A1144" s="1222">
        <v>1143</v>
      </c>
      <c r="B1144" s="1222" t="s">
        <v>1618</v>
      </c>
      <c r="C1144" s="1307" t="s">
        <v>1878</v>
      </c>
      <c r="D1144" s="1307" t="s">
        <v>1779</v>
      </c>
      <c r="E1144" s="1222" t="s">
        <v>1584</v>
      </c>
    </row>
    <row r="1145" spans="1:5" x14ac:dyDescent="0.25">
      <c r="A1145" s="1222">
        <v>1144</v>
      </c>
      <c r="B1145" s="1222" t="s">
        <v>1618</v>
      </c>
      <c r="C1145" s="1307" t="s">
        <v>1879</v>
      </c>
      <c r="D1145" s="1307" t="s">
        <v>1780</v>
      </c>
      <c r="E1145" s="1222" t="s">
        <v>1593</v>
      </c>
    </row>
    <row r="1146" spans="1:5" x14ac:dyDescent="0.25">
      <c r="A1146" s="1222">
        <v>1145</v>
      </c>
      <c r="B1146" s="1222" t="s">
        <v>1618</v>
      </c>
      <c r="C1146" s="1307" t="s">
        <v>1879</v>
      </c>
      <c r="D1146" s="1307" t="s">
        <v>1780</v>
      </c>
      <c r="E1146" s="1222" t="s">
        <v>1809</v>
      </c>
    </row>
    <row r="1147" spans="1:5" x14ac:dyDescent="0.25">
      <c r="A1147" s="1222">
        <v>1146</v>
      </c>
      <c r="B1147" s="1222" t="s">
        <v>1618</v>
      </c>
      <c r="C1147" s="1307" t="s">
        <v>1879</v>
      </c>
      <c r="D1147" s="1307" t="s">
        <v>1780</v>
      </c>
      <c r="E1147" s="1222" t="s">
        <v>1482</v>
      </c>
    </row>
    <row r="1148" spans="1:5" x14ac:dyDescent="0.25">
      <c r="A1148" s="1222">
        <v>1147</v>
      </c>
      <c r="B1148" s="1222" t="s">
        <v>1618</v>
      </c>
      <c r="C1148" s="1307" t="s">
        <v>1879</v>
      </c>
      <c r="D1148" s="1307" t="s">
        <v>1780</v>
      </c>
      <c r="E1148" s="1222" t="s">
        <v>1480</v>
      </c>
    </row>
    <row r="1149" spans="1:5" x14ac:dyDescent="0.25">
      <c r="A1149" s="1222">
        <v>1148</v>
      </c>
      <c r="B1149" s="1222" t="s">
        <v>1618</v>
      </c>
      <c r="C1149" s="1307" t="s">
        <v>1879</v>
      </c>
      <c r="D1149" s="1307" t="s">
        <v>1510</v>
      </c>
      <c r="E1149" s="1222" t="s">
        <v>1481</v>
      </c>
    </row>
    <row r="1150" spans="1:5" ht="30" x14ac:dyDescent="0.25">
      <c r="A1150" s="1222">
        <v>1149</v>
      </c>
      <c r="B1150" s="1222" t="s">
        <v>1618</v>
      </c>
      <c r="C1150" s="1307" t="s">
        <v>1879</v>
      </c>
      <c r="D1150" s="1307" t="s">
        <v>1646</v>
      </c>
      <c r="E1150" s="1222" t="s">
        <v>1484</v>
      </c>
    </row>
    <row r="1151" spans="1:5" ht="30" x14ac:dyDescent="0.25">
      <c r="A1151" s="1222">
        <v>1150</v>
      </c>
      <c r="B1151" s="1222" t="s">
        <v>1618</v>
      </c>
      <c r="C1151" s="1307" t="s">
        <v>1879</v>
      </c>
      <c r="D1151" s="1307" t="s">
        <v>1646</v>
      </c>
      <c r="E1151" s="1222" t="s">
        <v>1485</v>
      </c>
    </row>
    <row r="1152" spans="1:5" ht="30" x14ac:dyDescent="0.25">
      <c r="A1152" s="1222">
        <v>1151</v>
      </c>
      <c r="B1152" s="1222" t="s">
        <v>1618</v>
      </c>
      <c r="C1152" s="1307" t="s">
        <v>1879</v>
      </c>
      <c r="D1152" s="1307" t="s">
        <v>1646</v>
      </c>
      <c r="E1152" s="1222" t="s">
        <v>1597</v>
      </c>
    </row>
    <row r="1153" spans="1:5" x14ac:dyDescent="0.25">
      <c r="A1153" s="1222">
        <v>1152</v>
      </c>
      <c r="B1153" s="1222" t="s">
        <v>1618</v>
      </c>
      <c r="C1153" s="1307" t="s">
        <v>1879</v>
      </c>
      <c r="D1153" s="1307" t="s">
        <v>1510</v>
      </c>
      <c r="E1153" s="1222" t="s">
        <v>1594</v>
      </c>
    </row>
    <row r="1154" spans="1:5" x14ac:dyDescent="0.25">
      <c r="A1154" s="1222">
        <v>1153</v>
      </c>
      <c r="B1154" s="1222" t="s">
        <v>1618</v>
      </c>
      <c r="C1154" s="1307" t="s">
        <v>1879</v>
      </c>
      <c r="D1154" s="1307" t="s">
        <v>1780</v>
      </c>
      <c r="E1154" s="1222" t="s">
        <v>1495</v>
      </c>
    </row>
    <row r="1155" spans="1:5" x14ac:dyDescent="0.25">
      <c r="A1155" s="1222">
        <v>1154</v>
      </c>
      <c r="B1155" s="1222" t="s">
        <v>1618</v>
      </c>
      <c r="C1155" s="1307" t="s">
        <v>1880</v>
      </c>
      <c r="D1155" s="1307" t="s">
        <v>1780</v>
      </c>
      <c r="E1155" s="1222" t="s">
        <v>1583</v>
      </c>
    </row>
    <row r="1156" spans="1:5" x14ac:dyDescent="0.25">
      <c r="A1156" s="1222">
        <v>1155</v>
      </c>
      <c r="B1156" s="1222" t="s">
        <v>1618</v>
      </c>
      <c r="C1156" s="1307" t="s">
        <v>1880</v>
      </c>
      <c r="D1156" s="1307" t="s">
        <v>1780</v>
      </c>
      <c r="E1156" s="1222" t="s">
        <v>751</v>
      </c>
    </row>
    <row r="1157" spans="1:5" x14ac:dyDescent="0.25">
      <c r="A1157" s="1222">
        <v>1156</v>
      </c>
      <c r="B1157" s="1222" t="s">
        <v>1618</v>
      </c>
      <c r="C1157" s="1307" t="s">
        <v>1880</v>
      </c>
      <c r="D1157" s="1307" t="s">
        <v>1780</v>
      </c>
      <c r="E1157" s="1222" t="s">
        <v>1781</v>
      </c>
    </row>
    <row r="1158" spans="1:5" x14ac:dyDescent="0.25">
      <c r="A1158" s="1222">
        <v>1157</v>
      </c>
      <c r="B1158" s="1222" t="s">
        <v>1618</v>
      </c>
      <c r="C1158" s="1307" t="s">
        <v>1881</v>
      </c>
      <c r="D1158" s="1307" t="s">
        <v>1780</v>
      </c>
      <c r="E1158" s="1222" t="s">
        <v>1583</v>
      </c>
    </row>
    <row r="1159" spans="1:5" x14ac:dyDescent="0.25">
      <c r="A1159" s="1222">
        <v>1158</v>
      </c>
      <c r="B1159" s="1222" t="s">
        <v>1618</v>
      </c>
      <c r="C1159" s="1307" t="s">
        <v>1881</v>
      </c>
      <c r="D1159" s="1307" t="s">
        <v>1780</v>
      </c>
      <c r="E1159" s="1222" t="s">
        <v>751</v>
      </c>
    </row>
    <row r="1160" spans="1:5" x14ac:dyDescent="0.25">
      <c r="A1160" s="1222">
        <v>1159</v>
      </c>
      <c r="B1160" s="1222" t="s">
        <v>1618</v>
      </c>
      <c r="C1160" s="1307" t="s">
        <v>1881</v>
      </c>
      <c r="D1160" s="1307" t="s">
        <v>1780</v>
      </c>
      <c r="E1160" s="1222" t="s">
        <v>1781</v>
      </c>
    </row>
    <row r="1161" spans="1:5" x14ac:dyDescent="0.25">
      <c r="A1161" s="1222">
        <v>1160</v>
      </c>
      <c r="B1161" s="1222" t="s">
        <v>1618</v>
      </c>
      <c r="C1161" s="1307" t="s">
        <v>1882</v>
      </c>
      <c r="D1161" s="1307" t="s">
        <v>1780</v>
      </c>
      <c r="E1161" s="1222" t="s">
        <v>1583</v>
      </c>
    </row>
    <row r="1162" spans="1:5" x14ac:dyDescent="0.25">
      <c r="A1162" s="1222">
        <v>1161</v>
      </c>
      <c r="B1162" s="1222" t="s">
        <v>1618</v>
      </c>
      <c r="C1162" s="1307" t="s">
        <v>1882</v>
      </c>
      <c r="D1162" s="1307" t="s">
        <v>1780</v>
      </c>
      <c r="E1162" s="1222" t="s">
        <v>751</v>
      </c>
    </row>
    <row r="1163" spans="1:5" x14ac:dyDescent="0.25">
      <c r="A1163" s="1222">
        <v>1162</v>
      </c>
      <c r="B1163" s="1222" t="s">
        <v>1618</v>
      </c>
      <c r="C1163" s="1307" t="s">
        <v>1882</v>
      </c>
      <c r="D1163" s="1307" t="s">
        <v>1780</v>
      </c>
      <c r="E1163" s="1222" t="s">
        <v>1781</v>
      </c>
    </row>
    <row r="1164" spans="1:5" x14ac:dyDescent="0.25">
      <c r="A1164" s="1222">
        <v>1163</v>
      </c>
      <c r="B1164" s="1222" t="s">
        <v>1618</v>
      </c>
      <c r="C1164" s="1307" t="s">
        <v>1883</v>
      </c>
      <c r="D1164" s="1307" t="s">
        <v>1780</v>
      </c>
      <c r="E1164" s="1222" t="s">
        <v>1583</v>
      </c>
    </row>
    <row r="1165" spans="1:5" x14ac:dyDescent="0.25">
      <c r="A1165" s="1222">
        <v>1164</v>
      </c>
      <c r="B1165" s="1222" t="s">
        <v>1618</v>
      </c>
      <c r="C1165" s="1307" t="s">
        <v>1883</v>
      </c>
      <c r="D1165" s="1307" t="s">
        <v>1780</v>
      </c>
      <c r="E1165" s="1222" t="s">
        <v>751</v>
      </c>
    </row>
    <row r="1166" spans="1:5" x14ac:dyDescent="0.25">
      <c r="A1166" s="1222">
        <v>1165</v>
      </c>
      <c r="B1166" s="1222" t="s">
        <v>1618</v>
      </c>
      <c r="C1166" s="1307" t="s">
        <v>1883</v>
      </c>
      <c r="D1166" s="1307" t="s">
        <v>1780</v>
      </c>
      <c r="E1166" s="1222" t="s">
        <v>1781</v>
      </c>
    </row>
    <row r="1167" spans="1:5" x14ac:dyDescent="0.25">
      <c r="A1167" s="1222">
        <v>1166</v>
      </c>
      <c r="B1167" s="1222" t="s">
        <v>1618</v>
      </c>
      <c r="C1167" s="1307" t="s">
        <v>1884</v>
      </c>
      <c r="D1167" s="1307" t="s">
        <v>1780</v>
      </c>
      <c r="E1167" s="1222" t="s">
        <v>1583</v>
      </c>
    </row>
    <row r="1168" spans="1:5" x14ac:dyDescent="0.25">
      <c r="A1168" s="1222">
        <v>1167</v>
      </c>
      <c r="B1168" s="1222" t="s">
        <v>1618</v>
      </c>
      <c r="C1168" s="1307" t="s">
        <v>1884</v>
      </c>
      <c r="D1168" s="1307" t="s">
        <v>1780</v>
      </c>
      <c r="E1168" s="1222" t="s">
        <v>751</v>
      </c>
    </row>
    <row r="1169" spans="1:5" x14ac:dyDescent="0.25">
      <c r="A1169" s="1222">
        <v>1168</v>
      </c>
      <c r="B1169" s="1222" t="s">
        <v>1618</v>
      </c>
      <c r="C1169" s="1307" t="s">
        <v>1884</v>
      </c>
      <c r="D1169" s="1307" t="s">
        <v>1780</v>
      </c>
      <c r="E1169" s="1222" t="s">
        <v>1781</v>
      </c>
    </row>
    <row r="1170" spans="1:5" x14ac:dyDescent="0.25">
      <c r="A1170" s="1222">
        <v>1169</v>
      </c>
      <c r="B1170" s="1222" t="s">
        <v>1618</v>
      </c>
      <c r="C1170" s="1307" t="s">
        <v>1885</v>
      </c>
      <c r="D1170" s="1307" t="s">
        <v>1780</v>
      </c>
      <c r="E1170" s="1222" t="s">
        <v>1593</v>
      </c>
    </row>
    <row r="1171" spans="1:5" x14ac:dyDescent="0.25">
      <c r="A1171" s="1222">
        <v>1170</v>
      </c>
      <c r="B1171" s="1222" t="s">
        <v>1618</v>
      </c>
      <c r="C1171" s="1307" t="s">
        <v>1885</v>
      </c>
      <c r="D1171" s="1307" t="s">
        <v>1780</v>
      </c>
      <c r="E1171" s="1222" t="s">
        <v>1809</v>
      </c>
    </row>
    <row r="1172" spans="1:5" x14ac:dyDescent="0.25">
      <c r="A1172" s="1222">
        <v>1171</v>
      </c>
      <c r="B1172" s="1222" t="s">
        <v>1618</v>
      </c>
      <c r="C1172" s="1307" t="s">
        <v>1885</v>
      </c>
      <c r="D1172" s="1307" t="s">
        <v>1780</v>
      </c>
      <c r="E1172" s="1222" t="s">
        <v>1482</v>
      </c>
    </row>
    <row r="1173" spans="1:5" x14ac:dyDescent="0.25">
      <c r="A1173" s="1222">
        <v>1172</v>
      </c>
      <c r="B1173" s="1222" t="s">
        <v>1618</v>
      </c>
      <c r="C1173" s="1307" t="s">
        <v>1885</v>
      </c>
      <c r="D1173" s="1307" t="s">
        <v>1780</v>
      </c>
      <c r="E1173" s="1222" t="s">
        <v>1480</v>
      </c>
    </row>
    <row r="1174" spans="1:5" x14ac:dyDescent="0.25">
      <c r="A1174" s="1222">
        <v>1173</v>
      </c>
      <c r="B1174" s="1222" t="s">
        <v>1618</v>
      </c>
      <c r="C1174" s="1307" t="s">
        <v>1885</v>
      </c>
      <c r="D1174" s="1307" t="s">
        <v>1510</v>
      </c>
      <c r="E1174" s="1222" t="s">
        <v>1481</v>
      </c>
    </row>
    <row r="1175" spans="1:5" ht="30" x14ac:dyDescent="0.25">
      <c r="A1175" s="1222">
        <v>1174</v>
      </c>
      <c r="B1175" s="1222" t="s">
        <v>1618</v>
      </c>
      <c r="C1175" s="1307" t="s">
        <v>1885</v>
      </c>
      <c r="D1175" s="1307" t="s">
        <v>1646</v>
      </c>
      <c r="E1175" s="1222" t="s">
        <v>1484</v>
      </c>
    </row>
    <row r="1176" spans="1:5" ht="30" x14ac:dyDescent="0.25">
      <c r="A1176" s="1222">
        <v>1175</v>
      </c>
      <c r="B1176" s="1222" t="s">
        <v>1618</v>
      </c>
      <c r="C1176" s="1307" t="s">
        <v>1885</v>
      </c>
      <c r="D1176" s="1307" t="s">
        <v>1646</v>
      </c>
      <c r="E1176" s="1222" t="s">
        <v>1485</v>
      </c>
    </row>
    <row r="1177" spans="1:5" ht="30" x14ac:dyDescent="0.25">
      <c r="A1177" s="1222">
        <v>1176</v>
      </c>
      <c r="B1177" s="1222" t="s">
        <v>1618</v>
      </c>
      <c r="C1177" s="1307" t="s">
        <v>1885</v>
      </c>
      <c r="D1177" s="1307" t="s">
        <v>1646</v>
      </c>
      <c r="E1177" s="1222" t="s">
        <v>1597</v>
      </c>
    </row>
    <row r="1178" spans="1:5" x14ac:dyDescent="0.25">
      <c r="A1178" s="1222">
        <v>1177</v>
      </c>
      <c r="B1178" s="1222" t="s">
        <v>1618</v>
      </c>
      <c r="C1178" s="1307" t="s">
        <v>1885</v>
      </c>
      <c r="D1178" s="1307" t="s">
        <v>1510</v>
      </c>
      <c r="E1178" s="1222" t="s">
        <v>1594</v>
      </c>
    </row>
    <row r="1179" spans="1:5" x14ac:dyDescent="0.25">
      <c r="A1179" s="1222">
        <v>1178</v>
      </c>
      <c r="B1179" s="1222" t="s">
        <v>1618</v>
      </c>
      <c r="C1179" s="1307" t="s">
        <v>1885</v>
      </c>
      <c r="D1179" s="1307" t="s">
        <v>1780</v>
      </c>
      <c r="E1179" s="1222" t="s">
        <v>1495</v>
      </c>
    </row>
    <row r="1180" spans="1:5" x14ac:dyDescent="0.25">
      <c r="A1180" s="1222">
        <v>1179</v>
      </c>
      <c r="B1180" s="1222" t="s">
        <v>1618</v>
      </c>
      <c r="C1180" s="1307" t="s">
        <v>1886</v>
      </c>
      <c r="D1180" s="1307" t="s">
        <v>1780</v>
      </c>
      <c r="E1180" s="1222" t="s">
        <v>1583</v>
      </c>
    </row>
    <row r="1181" spans="1:5" x14ac:dyDescent="0.25">
      <c r="A1181" s="1222">
        <v>1180</v>
      </c>
      <c r="B1181" s="1222" t="s">
        <v>1618</v>
      </c>
      <c r="C1181" s="1307" t="s">
        <v>1886</v>
      </c>
      <c r="D1181" s="1307" t="s">
        <v>1780</v>
      </c>
      <c r="E1181" s="1222" t="s">
        <v>751</v>
      </c>
    </row>
    <row r="1182" spans="1:5" x14ac:dyDescent="0.25">
      <c r="A1182" s="1222">
        <v>1181</v>
      </c>
      <c r="B1182" s="1222" t="s">
        <v>1618</v>
      </c>
      <c r="C1182" s="1307" t="s">
        <v>1886</v>
      </c>
      <c r="D1182" s="1307" t="s">
        <v>1780</v>
      </c>
      <c r="E1182" s="1222" t="s">
        <v>1781</v>
      </c>
    </row>
    <row r="1183" spans="1:5" x14ac:dyDescent="0.25">
      <c r="A1183" s="1222">
        <v>1182</v>
      </c>
      <c r="B1183" s="1222" t="s">
        <v>1618</v>
      </c>
      <c r="C1183" s="1307" t="s">
        <v>1887</v>
      </c>
      <c r="D1183" s="1307" t="s">
        <v>1780</v>
      </c>
      <c r="E1183" s="1222" t="s">
        <v>1583</v>
      </c>
    </row>
    <row r="1184" spans="1:5" x14ac:dyDescent="0.25">
      <c r="A1184" s="1222">
        <v>1183</v>
      </c>
      <c r="B1184" s="1222" t="s">
        <v>1618</v>
      </c>
      <c r="C1184" s="1307" t="s">
        <v>1887</v>
      </c>
      <c r="D1184" s="1307" t="s">
        <v>1780</v>
      </c>
      <c r="E1184" s="1222" t="s">
        <v>751</v>
      </c>
    </row>
    <row r="1185" spans="1:5" x14ac:dyDescent="0.25">
      <c r="A1185" s="1222">
        <v>1184</v>
      </c>
      <c r="B1185" s="1222" t="s">
        <v>1618</v>
      </c>
      <c r="C1185" s="1307" t="s">
        <v>1887</v>
      </c>
      <c r="D1185" s="1307" t="s">
        <v>1780</v>
      </c>
      <c r="E1185" s="1222" t="s">
        <v>1781</v>
      </c>
    </row>
    <row r="1186" spans="1:5" x14ac:dyDescent="0.25">
      <c r="A1186" s="1222">
        <v>1185</v>
      </c>
      <c r="B1186" s="1222" t="s">
        <v>1618</v>
      </c>
      <c r="C1186" s="1307" t="s">
        <v>1888</v>
      </c>
      <c r="D1186" s="1307" t="s">
        <v>1780</v>
      </c>
      <c r="E1186" s="1222" t="s">
        <v>1583</v>
      </c>
    </row>
    <row r="1187" spans="1:5" x14ac:dyDescent="0.25">
      <c r="A1187" s="1222">
        <v>1186</v>
      </c>
      <c r="B1187" s="1222" t="s">
        <v>1618</v>
      </c>
      <c r="C1187" s="1307" t="s">
        <v>1888</v>
      </c>
      <c r="D1187" s="1307" t="s">
        <v>1780</v>
      </c>
      <c r="E1187" s="1222" t="s">
        <v>751</v>
      </c>
    </row>
    <row r="1188" spans="1:5" x14ac:dyDescent="0.25">
      <c r="A1188" s="1222">
        <v>1187</v>
      </c>
      <c r="B1188" s="1222" t="s">
        <v>1618</v>
      </c>
      <c r="C1188" s="1307" t="s">
        <v>1888</v>
      </c>
      <c r="D1188" s="1307" t="s">
        <v>1780</v>
      </c>
      <c r="E1188" s="1222" t="s">
        <v>1781</v>
      </c>
    </row>
    <row r="1189" spans="1:5" x14ac:dyDescent="0.25">
      <c r="A1189" s="1222">
        <v>1188</v>
      </c>
      <c r="B1189" s="1222" t="s">
        <v>1618</v>
      </c>
      <c r="C1189" s="1307" t="s">
        <v>1889</v>
      </c>
      <c r="D1189" s="1307" t="s">
        <v>1780</v>
      </c>
      <c r="E1189" s="1222" t="s">
        <v>1583</v>
      </c>
    </row>
    <row r="1190" spans="1:5" x14ac:dyDescent="0.25">
      <c r="A1190" s="1222">
        <v>1189</v>
      </c>
      <c r="B1190" s="1222" t="s">
        <v>1618</v>
      </c>
      <c r="C1190" s="1307" t="s">
        <v>1889</v>
      </c>
      <c r="D1190" s="1307" t="s">
        <v>1780</v>
      </c>
      <c r="E1190" s="1222" t="s">
        <v>751</v>
      </c>
    </row>
    <row r="1191" spans="1:5" x14ac:dyDescent="0.25">
      <c r="A1191" s="1222">
        <v>1190</v>
      </c>
      <c r="B1191" s="1222" t="s">
        <v>1618</v>
      </c>
      <c r="C1191" s="1307" t="s">
        <v>1889</v>
      </c>
      <c r="D1191" s="1307" t="s">
        <v>1780</v>
      </c>
      <c r="E1191" s="1222" t="s">
        <v>1781</v>
      </c>
    </row>
    <row r="1192" spans="1:5" x14ac:dyDescent="0.25">
      <c r="A1192" s="1222">
        <v>1191</v>
      </c>
      <c r="B1192" s="1222" t="s">
        <v>1618</v>
      </c>
      <c r="C1192" s="1307" t="s">
        <v>1890</v>
      </c>
      <c r="D1192" s="1307" t="s">
        <v>1780</v>
      </c>
      <c r="E1192" s="1222" t="s">
        <v>1583</v>
      </c>
    </row>
    <row r="1193" spans="1:5" x14ac:dyDescent="0.25">
      <c r="A1193" s="1222">
        <v>1192</v>
      </c>
      <c r="B1193" s="1222" t="s">
        <v>1618</v>
      </c>
      <c r="C1193" s="1307" t="s">
        <v>1890</v>
      </c>
      <c r="D1193" s="1307" t="s">
        <v>1780</v>
      </c>
      <c r="E1193" s="1222" t="s">
        <v>751</v>
      </c>
    </row>
    <row r="1194" spans="1:5" x14ac:dyDescent="0.25">
      <c r="A1194" s="1222">
        <v>1193</v>
      </c>
      <c r="B1194" s="1222" t="s">
        <v>1618</v>
      </c>
      <c r="C1194" s="1307" t="s">
        <v>1890</v>
      </c>
      <c r="D1194" s="1307" t="s">
        <v>1780</v>
      </c>
      <c r="E1194" s="1222" t="s">
        <v>1781</v>
      </c>
    </row>
    <row r="1195" spans="1:5" ht="30" x14ac:dyDescent="0.25">
      <c r="A1195" s="1222">
        <v>1194</v>
      </c>
      <c r="B1195" s="1222" t="s">
        <v>1618</v>
      </c>
      <c r="C1195" s="1307" t="s">
        <v>1891</v>
      </c>
      <c r="D1195" s="1307" t="s">
        <v>1782</v>
      </c>
      <c r="E1195" s="1222" t="s">
        <v>1593</v>
      </c>
    </row>
    <row r="1196" spans="1:5" ht="30" x14ac:dyDescent="0.25">
      <c r="A1196" s="1222">
        <v>1195</v>
      </c>
      <c r="B1196" s="1222" t="s">
        <v>1618</v>
      </c>
      <c r="C1196" s="1307" t="s">
        <v>1891</v>
      </c>
      <c r="D1196" s="1307" t="s">
        <v>1782</v>
      </c>
      <c r="E1196" s="1222" t="s">
        <v>1809</v>
      </c>
    </row>
    <row r="1197" spans="1:5" ht="30" x14ac:dyDescent="0.25">
      <c r="A1197" s="1222">
        <v>1196</v>
      </c>
      <c r="B1197" s="1222" t="s">
        <v>1618</v>
      </c>
      <c r="C1197" s="1307" t="s">
        <v>1891</v>
      </c>
      <c r="D1197" s="1307" t="s">
        <v>1782</v>
      </c>
      <c r="E1197" s="1222" t="s">
        <v>1482</v>
      </c>
    </row>
    <row r="1198" spans="1:5" ht="30" x14ac:dyDescent="0.25">
      <c r="A1198" s="1222">
        <v>1197</v>
      </c>
      <c r="B1198" s="1222" t="s">
        <v>1618</v>
      </c>
      <c r="C1198" s="1307" t="s">
        <v>1891</v>
      </c>
      <c r="D1198" s="1307" t="s">
        <v>1782</v>
      </c>
      <c r="E1198" s="1222" t="s">
        <v>1480</v>
      </c>
    </row>
    <row r="1199" spans="1:5" ht="30" x14ac:dyDescent="0.25">
      <c r="A1199" s="1222">
        <v>1198</v>
      </c>
      <c r="B1199" s="1222" t="s">
        <v>1618</v>
      </c>
      <c r="C1199" s="1307" t="s">
        <v>1891</v>
      </c>
      <c r="D1199" s="1307" t="s">
        <v>1646</v>
      </c>
      <c r="E1199" s="1222" t="s">
        <v>1484</v>
      </c>
    </row>
    <row r="1200" spans="1:5" ht="30" x14ac:dyDescent="0.25">
      <c r="A1200" s="1222">
        <v>1199</v>
      </c>
      <c r="B1200" s="1222" t="s">
        <v>1618</v>
      </c>
      <c r="C1200" s="1307" t="s">
        <v>1891</v>
      </c>
      <c r="D1200" s="1307" t="s">
        <v>1646</v>
      </c>
      <c r="E1200" s="1222" t="s">
        <v>1485</v>
      </c>
    </row>
    <row r="1201" spans="1:5" ht="30" x14ac:dyDescent="0.25">
      <c r="A1201" s="1222">
        <v>1200</v>
      </c>
      <c r="B1201" s="1222" t="s">
        <v>1618</v>
      </c>
      <c r="C1201" s="1307" t="s">
        <v>1891</v>
      </c>
      <c r="D1201" s="1307" t="s">
        <v>1646</v>
      </c>
      <c r="E1201" s="1222" t="s">
        <v>1597</v>
      </c>
    </row>
    <row r="1202" spans="1:5" ht="30" x14ac:dyDescent="0.25">
      <c r="A1202" s="1222">
        <v>1201</v>
      </c>
      <c r="B1202" s="1222" t="s">
        <v>1618</v>
      </c>
      <c r="C1202" s="1307" t="s">
        <v>1891</v>
      </c>
      <c r="D1202" s="1307" t="s">
        <v>1782</v>
      </c>
      <c r="E1202" s="1222" t="s">
        <v>1488</v>
      </c>
    </row>
    <row r="1203" spans="1:5" x14ac:dyDescent="0.25">
      <c r="A1203" s="1222">
        <v>1202</v>
      </c>
      <c r="B1203" s="1410" t="s">
        <v>1893</v>
      </c>
      <c r="C1203" s="1410" t="s">
        <v>1893</v>
      </c>
      <c r="D1203" s="1411" t="s">
        <v>1919</v>
      </c>
      <c r="E1203" s="1410" t="s">
        <v>1919</v>
      </c>
    </row>
    <row r="1204" spans="1:5" x14ac:dyDescent="0.25">
      <c r="A1204" s="1222">
        <v>1203</v>
      </c>
      <c r="B1204" s="1410" t="s">
        <v>1893</v>
      </c>
      <c r="C1204" s="1410" t="s">
        <v>1893</v>
      </c>
      <c r="D1204" s="1411" t="s">
        <v>1510</v>
      </c>
      <c r="E1204" s="1410" t="s">
        <v>1920</v>
      </c>
    </row>
    <row r="1205" spans="1:5" x14ac:dyDescent="0.25">
      <c r="A1205" s="1413"/>
      <c r="B1205" s="1413"/>
      <c r="C1205" s="1414"/>
      <c r="D1205" s="1414"/>
      <c r="E1205" s="1414"/>
    </row>
    <row r="1206" spans="1:5" x14ac:dyDescent="0.25">
      <c r="E1206" s="1371"/>
    </row>
  </sheetData>
  <sheetProtection algorithmName="SHA-512" hashValue="zqul2CSm1WOVQ/h6+mmnMTYZUD/g4HG0yGC2EOMkeL5jG70RHHHGQA7h8Btgnmny7dI+vmD94rCmLa6YPBRskg==" saltValue="2fDeeeJjcILBW3w0AjWk/g==" spinCount="100000" sheet="1" objects="1" scenarios="1"/>
  <conditionalFormatting sqref="E248:E250">
    <cfRule type="expression" dxfId="94" priority="27">
      <formula>$G248="EXCLUDE"</formula>
    </cfRule>
  </conditionalFormatting>
  <conditionalFormatting sqref="E261:E262">
    <cfRule type="expression" dxfId="93" priority="26">
      <formula>$G261="EXCLUDE"</formula>
    </cfRule>
  </conditionalFormatting>
  <conditionalFormatting sqref="E285:E286">
    <cfRule type="expression" dxfId="92" priority="25">
      <formula>$G285="EXCLUDE"</formula>
    </cfRule>
  </conditionalFormatting>
  <conditionalFormatting sqref="E297:E298">
    <cfRule type="expression" dxfId="91" priority="24">
      <formula>$G297="EXCLUDE"</formula>
    </cfRule>
  </conditionalFormatting>
  <conditionalFormatting sqref="E309:E310">
    <cfRule type="expression" dxfId="90" priority="23">
      <formula>$G309="EXCLUDE"</formula>
    </cfRule>
  </conditionalFormatting>
  <conditionalFormatting sqref="E321:E322">
    <cfRule type="expression" dxfId="89" priority="22">
      <formula>$G321="EXCLUDE"</formula>
    </cfRule>
  </conditionalFormatting>
  <conditionalFormatting sqref="E333:E334">
    <cfRule type="expression" dxfId="88" priority="21">
      <formula>$G333="EXCLUDE"</formula>
    </cfRule>
  </conditionalFormatting>
  <conditionalFormatting sqref="E345:E346">
    <cfRule type="expression" dxfId="87" priority="20">
      <formula>$G345="EXCLUDE"</formula>
    </cfRule>
  </conditionalFormatting>
  <conditionalFormatting sqref="E357:E358">
    <cfRule type="expression" dxfId="86" priority="19">
      <formula>$G357="EXCLUDE"</formula>
    </cfRule>
  </conditionalFormatting>
  <conditionalFormatting sqref="E369:E370">
    <cfRule type="expression" dxfId="85" priority="18">
      <formula>$G369="EXCLUDE"</formula>
    </cfRule>
  </conditionalFormatting>
  <conditionalFormatting sqref="E381:E382">
    <cfRule type="expression" dxfId="84" priority="17">
      <formula>$G381="EXCLUDE"</formula>
    </cfRule>
  </conditionalFormatting>
  <conditionalFormatting sqref="E7:E8">
    <cfRule type="expression" dxfId="83" priority="28">
      <formula>#REF!="EXCLUDE"</formula>
    </cfRule>
  </conditionalFormatting>
  <conditionalFormatting sqref="E503:E505">
    <cfRule type="expression" dxfId="82" priority="29">
      <formula>#REF!="EXCLUDE"</formula>
    </cfRule>
  </conditionalFormatting>
  <conditionalFormatting sqref="E502">
    <cfRule type="expression" dxfId="81" priority="30">
      <formula>#REF!="EXCLUDE"</formula>
    </cfRule>
  </conditionalFormatting>
  <conditionalFormatting sqref="E506:E508">
    <cfRule type="expression" dxfId="80" priority="31">
      <formula>#REF!="EXCLUDE"</formula>
    </cfRule>
  </conditionalFormatting>
  <conditionalFormatting sqref="E393:E394">
    <cfRule type="expression" dxfId="79" priority="16">
      <formula>$G393="EXCLUDE"</formula>
    </cfRule>
  </conditionalFormatting>
  <conditionalFormatting sqref="E405:E406">
    <cfRule type="expression" dxfId="78" priority="15">
      <formula>$G405="EXCLUDE"</formula>
    </cfRule>
  </conditionalFormatting>
  <conditionalFormatting sqref="E417:E418">
    <cfRule type="expression" dxfId="77" priority="14">
      <formula>$G417="EXCLUDE"</formula>
    </cfRule>
  </conditionalFormatting>
  <conditionalFormatting sqref="E429:E430">
    <cfRule type="expression" dxfId="76" priority="13">
      <formula>$G429="EXCLUDE"</formula>
    </cfRule>
  </conditionalFormatting>
  <conditionalFormatting sqref="E441:E442">
    <cfRule type="expression" dxfId="75" priority="12">
      <formula>$G441="EXCLUDE"</formula>
    </cfRule>
  </conditionalFormatting>
  <conditionalFormatting sqref="E453:E454">
    <cfRule type="expression" dxfId="74" priority="11">
      <formula>$G453="EXCLUDE"</formula>
    </cfRule>
  </conditionalFormatting>
  <conditionalFormatting sqref="E465:E466">
    <cfRule type="expression" dxfId="73" priority="10">
      <formula>$G465="EXCLUDE"</formula>
    </cfRule>
  </conditionalFormatting>
  <conditionalFormatting sqref="E477:E478">
    <cfRule type="expression" dxfId="72" priority="9">
      <formula>$G477="EXCLUDE"</formula>
    </cfRule>
  </conditionalFormatting>
  <conditionalFormatting sqref="E489:E490">
    <cfRule type="expression" dxfId="71" priority="8">
      <formula>$G489="EXCLUDE"</formula>
    </cfRule>
  </conditionalFormatting>
  <conditionalFormatting sqref="E273:E274">
    <cfRule type="expression" dxfId="70"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Z1553"/>
  <sheetViews>
    <sheetView showGridLines="0" workbookViewId="0">
      <selection activeCell="A11" sqref="A11"/>
    </sheetView>
  </sheetViews>
  <sheetFormatPr defaultRowHeight="15" x14ac:dyDescent="0.25"/>
  <cols>
    <col min="1" max="1" width="40.5703125" customWidth="1"/>
    <col min="2" max="2" width="11.85546875" customWidth="1"/>
    <col min="3" max="3" width="13" customWidth="1"/>
    <col min="4" max="4" width="12.28515625" customWidth="1"/>
    <col min="5" max="5" width="28" customWidth="1"/>
    <col min="6" max="6" width="37.5703125" hidden="1" customWidth="1"/>
    <col min="7" max="7" width="12.85546875" hidden="1" customWidth="1"/>
    <col min="8" max="8" width="31.42578125" hidden="1" customWidth="1"/>
    <col min="9" max="9" width="41.140625" style="242" customWidth="1"/>
    <col min="10" max="10" width="15.5703125" customWidth="1"/>
    <col min="11" max="11" width="26.5703125" customWidth="1"/>
    <col min="12" max="12" width="40.28515625" customWidth="1"/>
    <col min="13" max="13" width="15.42578125" customWidth="1"/>
    <col min="14" max="14" width="19" customWidth="1"/>
    <col min="15" max="15" width="9.140625" style="1334" hidden="1" customWidth="1"/>
    <col min="16" max="18" width="9.140625" hidden="1" customWidth="1"/>
    <col min="19" max="19" width="23.85546875" hidden="1" customWidth="1"/>
    <col min="20" max="20" width="9.140625" hidden="1" customWidth="1"/>
    <col min="21" max="21" width="19.85546875" hidden="1" customWidth="1"/>
    <col min="22" max="22" width="9.140625" hidden="1" customWidth="1"/>
    <col min="23" max="23" width="20.85546875" hidden="1" customWidth="1"/>
    <col min="24" max="26" width="9.140625" hidden="1" customWidth="1"/>
  </cols>
  <sheetData>
    <row r="1" spans="1:18" s="1370" customFormat="1" ht="18.75" x14ac:dyDescent="0.3">
      <c r="A1" s="1799" t="s">
        <v>1439</v>
      </c>
      <c r="B1" s="1799"/>
      <c r="C1" s="1799"/>
      <c r="D1" s="1799"/>
      <c r="E1" s="1799"/>
      <c r="F1" s="1799" t="s">
        <v>1440</v>
      </c>
      <c r="G1" s="1799"/>
      <c r="H1" s="1799"/>
      <c r="I1" s="1799" t="s">
        <v>1441</v>
      </c>
      <c r="J1" s="1799"/>
      <c r="K1" s="1799"/>
      <c r="L1" s="1799" t="s">
        <v>1442</v>
      </c>
      <c r="M1" s="1799"/>
      <c r="N1" s="1799"/>
      <c r="O1" s="134">
        <v>4</v>
      </c>
      <c r="P1" s="1354">
        <f>IFERROR(MATCH("Copied Agreement",Audit!2:2,0),0)</f>
        <v>0</v>
      </c>
      <c r="Q1" s="1354" t="str">
        <f>IFERROR(SUBSTITUTE(ADDRESS(1,P1,4),"1",""),"")</f>
        <v/>
      </c>
      <c r="R1" s="1376"/>
    </row>
    <row r="2" spans="1:18" s="1370" customFormat="1" x14ac:dyDescent="0.25">
      <c r="A2" s="1024" t="s">
        <v>1443</v>
      </c>
      <c r="B2" s="1024" t="s">
        <v>1444</v>
      </c>
      <c r="C2" s="1024" t="s">
        <v>1445</v>
      </c>
      <c r="D2" s="1024" t="s">
        <v>131</v>
      </c>
      <c r="E2" s="1024" t="s">
        <v>1446</v>
      </c>
      <c r="F2" s="1024" t="s">
        <v>1443</v>
      </c>
      <c r="G2" s="1024" t="s">
        <v>1447</v>
      </c>
      <c r="H2" s="1024" t="s">
        <v>1446</v>
      </c>
      <c r="I2" s="1024" t="s">
        <v>1443</v>
      </c>
      <c r="J2" s="1025" t="s">
        <v>1447</v>
      </c>
      <c r="K2" s="1025" t="s">
        <v>1446</v>
      </c>
      <c r="L2" s="1025" t="s">
        <v>1443</v>
      </c>
      <c r="M2" s="1025" t="s">
        <v>1571</v>
      </c>
      <c r="N2" s="1025" t="s">
        <v>1446</v>
      </c>
      <c r="O2" s="134"/>
      <c r="P2" s="1354">
        <v>10</v>
      </c>
      <c r="Q2" s="1354" t="str">
        <f>IFERROR(SUBSTITUTE(ADDRESS(1,P2,4),"1",""),"")</f>
        <v>J</v>
      </c>
      <c r="R2" s="1376"/>
    </row>
    <row r="3" spans="1:18" s="1370" customFormat="1" x14ac:dyDescent="0.25">
      <c r="A3" s="1026" t="s">
        <v>376</v>
      </c>
      <c r="B3" s="1029" t="str">
        <f ca="1">_xlfn.CONCAT(IFERROR(SUBSTITUTE(ADDRESS(1,MATCH('[2]Mapping Sheet'!A3,INDIRECT("'"&amp;E3&amp;"'"&amp;"!A4:Z4"),0),4),1,""),IFERROR(SUBSTITUTE(ADDRESS(1,MATCH('[2]Mapping Sheet'!A3,INDIRECT("'"&amp;E3&amp;"'"&amp;"!A9:Z9"),0),4),1,""),IFERROR(SUBSTITUTE(ADDRESS(1,MATCH('[2]Mapping Sheet'!A3,INDIRECT("'"&amp;E3&amp;"'"&amp;"!A12:Z12"),0),4),1,""),IFERROR(SUBSTITUTE(ADDRESS(1,MATCH('[2]Mapping Sheet'!A3,INDIRECT("'"&amp;E3&amp;"'"&amp;"!A15:Z15"),0),4),1,""),IFERROR(SUBSTITUTE(ADDRESS(1,MATCH('[2]Mapping Sheet'!A3,INDIRECT("'"&amp;E3&amp;"'"&amp;"!A17:Z17"),0),4),1,""),""))))),4)</f>
        <v>B4</v>
      </c>
      <c r="C3" s="1029" t="str">
        <f ca="1">_xlfn.CONCAT(IFERROR(SUBSTITUTE(ADDRESS(1,MATCH('[2]Mapping Sheet'!A3,INDIRECT("'"&amp;E3&amp;"'"&amp;"!A4:Z4"),0),4),1,""),IFERROR(SUBSTITUTE(ADDRESS(1,MATCH('[2]Mapping Sheet'!A3,INDIRECT("'"&amp;E3&amp;"'"&amp;"!A9:Z9"),0),4),1,""),IFERROR(SUBSTITUTE(ADDRESS(1,MATCH('[2]Mapping Sheet'!A3,INDIRECT("'"&amp;E3&amp;"'"&amp;"!A12:Z12"),0),4),1,""),IFERROR(SUBSTITUTE(ADDRESS(1,MATCH('[2]Mapping Sheet'!A3,INDIRECT("'"&amp;E3&amp;"'"&amp;"!A15:Z15"),0),4),1,""),"")))),5)</f>
        <v>B5</v>
      </c>
      <c r="D3" s="1026" t="s">
        <v>1448</v>
      </c>
      <c r="E3" s="1029" t="s">
        <v>1449</v>
      </c>
      <c r="F3" s="1026" t="s">
        <v>1450</v>
      </c>
      <c r="G3" s="1026" t="s">
        <v>1451</v>
      </c>
      <c r="H3" s="1026" t="s">
        <v>1452</v>
      </c>
      <c r="I3" s="1026" t="str">
        <f>IF(J3&lt;&gt;"",A3,"")</f>
        <v/>
      </c>
      <c r="J3" s="1376"/>
      <c r="K3" s="1376" t="str">
        <f>IF(J3&lt;&gt;"",E3,"")</f>
        <v/>
      </c>
      <c r="L3" s="1376"/>
      <c r="M3" s="1376"/>
      <c r="N3" s="1376"/>
      <c r="O3" s="134"/>
      <c r="P3" s="1354">
        <v>9</v>
      </c>
      <c r="Q3" s="1354" t="str">
        <f>IFERROR(SUBSTITUTE(ADDRESS(1,P3,4),"1",""),"")</f>
        <v>I</v>
      </c>
    </row>
    <row r="4" spans="1:18" s="1370" customFormat="1" x14ac:dyDescent="0.25">
      <c r="A4" s="1026" t="s">
        <v>1292</v>
      </c>
      <c r="B4" s="1029" t="str">
        <f ca="1">_xlfn.CONCAT(IFERROR(SUBSTITUTE(ADDRESS(1,MATCH('[2]Mapping Sheet'!A4,INDIRECT("'"&amp;E4&amp;"'"&amp;"!A4:Z4"),0),4),1,""),IFERROR(SUBSTITUTE(ADDRESS(1,MATCH('[2]Mapping Sheet'!A4,INDIRECT("'"&amp;E4&amp;"'"&amp;"!A9:Z9"),0),4),1,""),IFERROR(SUBSTITUTE(ADDRESS(1,MATCH('[2]Mapping Sheet'!A4,INDIRECT("'"&amp;E4&amp;"'"&amp;"!A12:Z12"),0),4),1,""),IFERROR(SUBSTITUTE(ADDRESS(1,MATCH('[2]Mapping Sheet'!A4,INDIRECT("'"&amp;E4&amp;"'"&amp;"!A15:Z15"),0),4),1,""),IFERROR(SUBSTITUTE(ADDRESS(1,MATCH('[2]Mapping Sheet'!A4,INDIRECT("'"&amp;E4&amp;"'"&amp;"!A17:Z17"),0),4),1,""),""))))),4)</f>
        <v>C4</v>
      </c>
      <c r="C4" s="1029" t="str">
        <f ca="1">_xlfn.CONCAT(IFERROR(SUBSTITUTE(ADDRESS(1,MATCH('[2]Mapping Sheet'!A4,INDIRECT("'"&amp;E4&amp;"'"&amp;"!A4:Z4"),0),4),1,""),IFERROR(SUBSTITUTE(ADDRESS(1,MATCH('[2]Mapping Sheet'!A4,INDIRECT("'"&amp;E4&amp;"'"&amp;"!A9:Z9"),0),4),1,""),IFERROR(SUBSTITUTE(ADDRESS(1,MATCH('[2]Mapping Sheet'!A4,INDIRECT("'"&amp;E4&amp;"'"&amp;"!A12:Z12"),0),4),1,""),IFERROR(SUBSTITUTE(ADDRESS(1,MATCH('[2]Mapping Sheet'!A4,INDIRECT("'"&amp;E4&amp;"'"&amp;"!A15:Z15"),0),4),1,""),"")))),5)</f>
        <v>C5</v>
      </c>
      <c r="D4" s="1026" t="s">
        <v>1448</v>
      </c>
      <c r="E4" s="1026" t="s">
        <v>1449</v>
      </c>
      <c r="F4" s="1027" t="s">
        <v>1292</v>
      </c>
      <c r="G4" s="1026" t="s">
        <v>1453</v>
      </c>
      <c r="H4" s="1026" t="s">
        <v>1452</v>
      </c>
      <c r="I4" s="1026" t="str">
        <f t="shared" ref="I4:I67" si="0">IF(J4&lt;&gt;"",A4,"")</f>
        <v/>
      </c>
      <c r="J4" s="1376" t="str">
        <f t="shared" ref="J4:J65" si="1">IF(M4&lt;&gt;"",Q$1&amp;M4,"")</f>
        <v/>
      </c>
      <c r="K4" s="1376" t="str">
        <f t="shared" ref="K4:K67" si="2">IF(J4&lt;&gt;"",E4,"")</f>
        <v/>
      </c>
      <c r="L4" s="1376"/>
      <c r="M4" s="1376"/>
      <c r="N4" s="1376"/>
    </row>
    <row r="5" spans="1:18" s="1370" customFormat="1" x14ac:dyDescent="0.25">
      <c r="A5" s="1028" t="s">
        <v>1270</v>
      </c>
      <c r="B5" s="1029" t="str">
        <f ca="1">_xlfn.IFNA(_xlfn.CONCAT(SUBSTITUTE(ADDRESS(1,MATCH(A5,INDIRECT("'"&amp;E5&amp;"'"&amp;"!A22:Z22"),0),4),1,""),23),"")</f>
        <v>E23</v>
      </c>
      <c r="C5" s="1029" t="str">
        <f ca="1">_xlfn.IFNA(SUBSTITUTE(ADDRESS(1,MATCH(A5,INDIRECT("'"&amp;E5&amp;"'"&amp;"!A22:Z22"),0),4),1,""),"")</f>
        <v>E</v>
      </c>
      <c r="D5" s="1026" t="s">
        <v>1455</v>
      </c>
      <c r="E5" s="1026" t="s">
        <v>1456</v>
      </c>
      <c r="F5" s="1028" t="s">
        <v>1270</v>
      </c>
      <c r="G5" s="1026" t="s">
        <v>1454</v>
      </c>
      <c r="H5" s="1026" t="s">
        <v>1457</v>
      </c>
      <c r="I5" s="1026" t="str">
        <f t="shared" si="0"/>
        <v/>
      </c>
      <c r="J5" s="1376"/>
      <c r="K5" s="1376" t="str">
        <f t="shared" si="2"/>
        <v/>
      </c>
      <c r="L5" s="1376"/>
      <c r="M5" s="1376"/>
      <c r="N5" s="1376"/>
    </row>
    <row r="6" spans="1:18" s="1370" customFormat="1" x14ac:dyDescent="0.25">
      <c r="A6" s="1028" t="s">
        <v>793</v>
      </c>
      <c r="B6" s="1029" t="str">
        <f ca="1">_xlfn.IFNA(_xlfn.CONCAT(SUBSTITUTE(ADDRESS(1,MATCH(A6,INDIRECT("'"&amp;E6&amp;"'"&amp;"!A22:Z22"),0),4),1,""),23),"")</f>
        <v>K23</v>
      </c>
      <c r="C6" s="1029" t="str">
        <f ca="1">_xlfn.IFNA(SUBSTITUTE(ADDRESS(1,MATCH(A6,INDIRECT("'"&amp;E6&amp;"'"&amp;"!A22:Z22"),0),4),1,""),"")</f>
        <v>K</v>
      </c>
      <c r="D6" s="1026" t="s">
        <v>1455</v>
      </c>
      <c r="E6" s="1026" t="s">
        <v>1456</v>
      </c>
      <c r="F6" s="1028" t="s">
        <v>793</v>
      </c>
      <c r="G6" s="1026" t="s">
        <v>1459</v>
      </c>
      <c r="H6" s="1026" t="s">
        <v>1457</v>
      </c>
      <c r="I6" s="1026" t="str">
        <f t="shared" si="0"/>
        <v>Effective Date</v>
      </c>
      <c r="J6" s="1376" t="str">
        <f t="shared" si="1"/>
        <v>46</v>
      </c>
      <c r="K6" s="1376" t="str">
        <f t="shared" si="2"/>
        <v>Required Info to Submit</v>
      </c>
      <c r="L6" s="1376" t="s">
        <v>793</v>
      </c>
      <c r="M6" s="1376">
        <v>46</v>
      </c>
      <c r="N6" s="1376"/>
    </row>
    <row r="7" spans="1:18" s="1370" customFormat="1" x14ac:dyDescent="0.25">
      <c r="A7" s="1028" t="s">
        <v>1271</v>
      </c>
      <c r="B7" s="1029" t="str">
        <f ca="1">_xlfn.IFNA(_xlfn.CONCAT(SUBSTITUTE(ADDRESS(1,MATCH(A7,INDIRECT("'"&amp;E7&amp;"'"&amp;"!A22:Z22"),0),4),1,""),23),"")</f>
        <v>L23</v>
      </c>
      <c r="C7" s="1029" t="str">
        <f ca="1">_xlfn.IFNA(SUBSTITUTE(ADDRESS(1,MATCH(A7,INDIRECT("'"&amp;E7&amp;"'"&amp;"!A22:Z22"),0),4),1,""),"")</f>
        <v>L</v>
      </c>
      <c r="D7" s="1026" t="s">
        <v>1455</v>
      </c>
      <c r="E7" s="1026" t="s">
        <v>1456</v>
      </c>
      <c r="F7" s="1028" t="s">
        <v>1271</v>
      </c>
      <c r="G7" s="1026" t="s">
        <v>1460</v>
      </c>
      <c r="H7" s="1026" t="s">
        <v>1457</v>
      </c>
      <c r="I7" s="1026" t="str">
        <f t="shared" si="0"/>
        <v>Expiration Date</v>
      </c>
      <c r="J7" s="1376" t="str">
        <f t="shared" si="1"/>
        <v>47</v>
      </c>
      <c r="K7" s="1376" t="str">
        <f t="shared" si="2"/>
        <v>Required Info to Submit</v>
      </c>
      <c r="L7" s="1376"/>
      <c r="M7" s="1376">
        <v>47</v>
      </c>
      <c r="N7" s="1376"/>
    </row>
    <row r="8" spans="1:18" s="1370" customFormat="1" x14ac:dyDescent="0.25">
      <c r="A8" s="1028" t="s">
        <v>1272</v>
      </c>
      <c r="B8" s="1029" t="str">
        <f ca="1">_xlfn.IFNA(_xlfn.CONCAT(SUBSTITUTE(ADDRESS(1,MATCH(A8,INDIRECT("'"&amp;E8&amp;"'"&amp;"!A22:Z22"),0),4),1,""),23),"")</f>
        <v>M23</v>
      </c>
      <c r="C8" s="1029" t="str">
        <f ca="1">_xlfn.IFNA(SUBSTITUTE(ADDRESS(1,MATCH(A8,INDIRECT("'"&amp;E8&amp;"'"&amp;"!A22:Z22"),0),4),1,""),"")</f>
        <v>M</v>
      </c>
      <c r="D8" s="1026" t="s">
        <v>1455</v>
      </c>
      <c r="E8" s="1026" t="s">
        <v>1456</v>
      </c>
      <c r="F8" s="1028" t="s">
        <v>1272</v>
      </c>
      <c r="G8" s="1026" t="s">
        <v>1461</v>
      </c>
      <c r="H8" s="1026" t="s">
        <v>1457</v>
      </c>
      <c r="I8" s="1026" t="str">
        <f t="shared" si="0"/>
        <v/>
      </c>
      <c r="J8" s="1376"/>
      <c r="K8" s="1376" t="str">
        <f t="shared" si="2"/>
        <v/>
      </c>
      <c r="L8" s="1376"/>
      <c r="M8" s="1376"/>
      <c r="N8" s="1376"/>
    </row>
    <row r="9" spans="1:18" s="1370" customFormat="1" x14ac:dyDescent="0.25">
      <c r="A9" s="1028" t="s">
        <v>1358</v>
      </c>
      <c r="B9" s="1026" t="str">
        <f ca="1">_xlfn.CONCAT(IFERROR(SUBSTITUTE(ADDRESS(1,MATCH(A9,INDIRECT("'"&amp;E9&amp;"'"&amp;"!A4:Z4"),0),4),1,""),""),4)</f>
        <v>B4</v>
      </c>
      <c r="C9" s="1026" t="str">
        <f ca="1">_xlfn.CONCAT(IFERROR(SUBSTITUTE(ADDRESS(1,MATCH(A9,INDIRECT("'"&amp;E9&amp;"'"&amp;"!A4:Z4"),0),4),1,""),""),5)</f>
        <v>B5</v>
      </c>
      <c r="D9" s="1026" t="s">
        <v>1448</v>
      </c>
      <c r="E9" s="1026" t="s">
        <v>1372</v>
      </c>
      <c r="F9" s="1028" t="s">
        <v>1358</v>
      </c>
      <c r="G9" s="1026" t="s">
        <v>1462</v>
      </c>
      <c r="H9" s="1026" t="s">
        <v>1457</v>
      </c>
      <c r="I9" s="1026" t="str">
        <f t="shared" si="0"/>
        <v/>
      </c>
      <c r="J9" s="1376"/>
      <c r="K9" s="1376" t="str">
        <f t="shared" si="2"/>
        <v/>
      </c>
      <c r="L9" s="1376"/>
      <c r="M9" s="1376"/>
      <c r="N9" s="1376"/>
    </row>
    <row r="10" spans="1:18" s="1370" customFormat="1" x14ac:dyDescent="0.25">
      <c r="A10" s="1028" t="s">
        <v>1390</v>
      </c>
      <c r="B10" s="1029" t="str">
        <f ca="1">_xlfn.IFNA(_xlfn.CONCAT(SUBSTITUTE(ADDRESS(1,MATCH(A10,INDIRECT("'"&amp;E10&amp;"'"&amp;"!A22:Z22"),0),4),1,""),23),"")</f>
        <v>O23</v>
      </c>
      <c r="C10" s="1029" t="str">
        <f ca="1">_xlfn.IFNA(SUBSTITUTE(ADDRESS(1,MATCH(A10,INDIRECT("'"&amp;E10&amp;"'"&amp;"!A22:Z22"),0),4),1,""),"")</f>
        <v>O</v>
      </c>
      <c r="D10" s="1026" t="s">
        <v>1455</v>
      </c>
      <c r="E10" s="1026" t="s">
        <v>1456</v>
      </c>
      <c r="F10" s="1028" t="s">
        <v>1390</v>
      </c>
      <c r="G10" s="1026" t="s">
        <v>1464</v>
      </c>
      <c r="H10" s="1026" t="s">
        <v>1457</v>
      </c>
      <c r="I10" s="1026" t="str">
        <f t="shared" si="0"/>
        <v/>
      </c>
      <c r="J10" s="1376"/>
      <c r="K10" s="1376" t="str">
        <f t="shared" si="2"/>
        <v/>
      </c>
      <c r="L10" s="1376"/>
      <c r="M10" s="1376"/>
      <c r="N10" s="1376"/>
    </row>
    <row r="11" spans="1:18" s="1370" customFormat="1" x14ac:dyDescent="0.25">
      <c r="A11" s="1028" t="s">
        <v>1273</v>
      </c>
      <c r="B11" s="1029" t="str">
        <f ca="1">_xlfn.IFNA(_xlfn.CONCAT(SUBSTITUTE(ADDRESS(1,MATCH(A11,INDIRECT("'"&amp;E11&amp;"'"&amp;"!A22:Z22"),0),4),1,""),23),"")</f>
        <v>N23</v>
      </c>
      <c r="C11" s="1029" t="str">
        <f ca="1">_xlfn.IFNA(SUBSTITUTE(ADDRESS(1,MATCH(A11,INDIRECT("'"&amp;E11&amp;"'"&amp;"!A22:Z22"),0),4),1,""),"")</f>
        <v>N</v>
      </c>
      <c r="D11" s="1026" t="s">
        <v>1455</v>
      </c>
      <c r="E11" s="1026" t="s">
        <v>1456</v>
      </c>
      <c r="F11" s="1028" t="s">
        <v>1465</v>
      </c>
      <c r="G11" s="1026" t="s">
        <v>1458</v>
      </c>
      <c r="H11" s="1026" t="s">
        <v>1457</v>
      </c>
      <c r="I11" s="1026" t="str">
        <f t="shared" si="0"/>
        <v/>
      </c>
      <c r="J11" s="1376"/>
      <c r="K11" s="1376" t="str">
        <f t="shared" si="2"/>
        <v/>
      </c>
      <c r="L11" s="1376"/>
      <c r="M11" s="1376"/>
      <c r="N11" s="1376"/>
    </row>
    <row r="12" spans="1:18" s="1370" customFormat="1" ht="30" x14ac:dyDescent="0.25">
      <c r="A12" s="1029" t="s">
        <v>1306</v>
      </c>
      <c r="B12" s="1029" t="str">
        <f ca="1">_xlfn.CONCAT(IFERROR(SUBSTITUTE(ADDRESS(1,MATCH('[2]Mapping Sheet'!A12,INDIRECT("'"&amp;E12&amp;"'"&amp;"!A4:Z4"),0),4),1,""),IFERROR(SUBSTITUTE(ADDRESS(1,MATCH('[2]Mapping Sheet'!A12,INDIRECT("'"&amp;E12&amp;"'"&amp;"!A9:Z9"),0),4),1,""),IFERROR(SUBSTITUTE(ADDRESS(1,MATCH('[2]Mapping Sheet'!A12,INDIRECT("'"&amp;E12&amp;"'"&amp;"!A12:Z12"),0),4),1,""),IFERROR(SUBSTITUTE(ADDRESS(1,MATCH('[2]Mapping Sheet'!A12,INDIRECT("'"&amp;E12&amp;"'"&amp;"!A15:Z15"),0),4),1,""),"")))),9)</f>
        <v>B9</v>
      </c>
      <c r="C12" s="1029" t="str">
        <f ca="1">_xlfn.CONCAT(IFERROR(SUBSTITUTE(ADDRESS(1,MATCH('[2]Mapping Sheet'!A12,INDIRECT("'"&amp;E12&amp;"'"&amp;"!A4:Z4"),0),4),1,""),IFERROR(SUBSTITUTE(ADDRESS(1,MATCH('[2]Mapping Sheet'!A12,INDIRECT("'"&amp;E12&amp;"'"&amp;"!A9:Z9"),0),4),1,""),IFERROR(SUBSTITUTE(ADDRESS(1,MATCH('[2]Mapping Sheet'!A12,INDIRECT("'"&amp;E12&amp;"'"&amp;"!A12:Z12"),0),4),1,""),IFERROR(SUBSTITUTE(ADDRESS(1,MATCH('[2]Mapping Sheet'!A12,INDIRECT("'"&amp;E12&amp;"'"&amp;"!A15:Z15"),0),4),1,""),"")))),10)</f>
        <v>B10</v>
      </c>
      <c r="D12" s="1029" t="s">
        <v>1448</v>
      </c>
      <c r="E12" s="1029" t="s">
        <v>1449</v>
      </c>
      <c r="F12" s="1029" t="s">
        <v>1306</v>
      </c>
      <c r="G12" s="1029" t="s">
        <v>1451</v>
      </c>
      <c r="H12" s="1029" t="s">
        <v>1466</v>
      </c>
      <c r="I12" s="1026" t="str">
        <f t="shared" si="0"/>
        <v>Minimum Percentage of Purchases to be Directed to USF</v>
      </c>
      <c r="J12" s="1376" t="str">
        <f t="shared" si="1"/>
        <v>9</v>
      </c>
      <c r="K12" s="1376" t="str">
        <f t="shared" si="2"/>
        <v>Agreement Worksheet</v>
      </c>
      <c r="L12" s="1029" t="s">
        <v>1306</v>
      </c>
      <c r="M12" s="1376">
        <v>9</v>
      </c>
      <c r="N12" s="1376"/>
    </row>
    <row r="13" spans="1:18" s="1370" customFormat="1" x14ac:dyDescent="0.25">
      <c r="A13" s="1029" t="s">
        <v>1254</v>
      </c>
      <c r="B13" s="1376" t="str">
        <f>IFERROR(_xlfn.CONCAT("D",MATCH(A13,'[2]Tracking &amp; Profitability'!C$1:C$60,0)),"")</f>
        <v>D8</v>
      </c>
      <c r="C13" s="1376" t="str">
        <f>IFERROR(_xlfn.CONCAT("E",MATCH(A13,'[2]Tracking &amp; Profitability'!C$1:C$60,0)),"")</f>
        <v>E8</v>
      </c>
      <c r="D13" s="1029" t="s">
        <v>1448</v>
      </c>
      <c r="E13" s="1029" t="s">
        <v>129</v>
      </c>
      <c r="F13" s="1029" t="s">
        <v>1467</v>
      </c>
      <c r="G13" s="1029" t="s">
        <v>1453</v>
      </c>
      <c r="H13" s="1029" t="s">
        <v>1466</v>
      </c>
      <c r="I13" s="1026" t="str">
        <f t="shared" si="0"/>
        <v/>
      </c>
      <c r="J13" s="1376" t="str">
        <f t="shared" si="1"/>
        <v/>
      </c>
      <c r="K13" s="1376" t="str">
        <f t="shared" si="2"/>
        <v/>
      </c>
      <c r="L13" s="1376"/>
      <c r="M13" s="1376"/>
      <c r="N13" s="1376"/>
    </row>
    <row r="14" spans="1:18" s="1370" customFormat="1" x14ac:dyDescent="0.25">
      <c r="A14" s="1305" t="s">
        <v>1294</v>
      </c>
      <c r="B14" s="1029" t="str">
        <f ca="1">_xlfn.CONCAT(IFERROR(SUBSTITUTE(ADDRESS(1,MATCH('[2]Mapping Sheet'!A14,INDIRECT("'"&amp;E14&amp;"'"&amp;"!A4:Z4"),0),4),1,""),IFERROR(SUBSTITUTE(ADDRESS(1,MATCH('[2]Mapping Sheet'!A14,INDIRECT("'"&amp;E14&amp;"'"&amp;"!A9:Z9"),0),4),1,""),IFERROR(SUBSTITUTE(ADDRESS(1,MATCH('[2]Mapping Sheet'!A14,INDIRECT("'"&amp;E14&amp;"'"&amp;"!A12:Z12"),0),4),1,""),IFERROR(SUBSTITUTE(ADDRESS(1,MATCH('[2]Mapping Sheet'!A14,INDIRECT("'"&amp;E14&amp;"'"&amp;"!A15:Z15"),0),4),1,""),"")))),4)</f>
        <v>E4</v>
      </c>
      <c r="C14" s="1029" t="str">
        <f ca="1">_xlfn.CONCAT(IFERROR(SUBSTITUTE(ADDRESS(1,MATCH('[2]Mapping Sheet'!A14,INDIRECT("'"&amp;E14&amp;"'"&amp;"!A4:Z4"),0),4),1,""),IFERROR(SUBSTITUTE(ADDRESS(1,MATCH('[2]Mapping Sheet'!A14,INDIRECT("'"&amp;E14&amp;"'"&amp;"!A9:Z9"),0),4),1,""),IFERROR(SUBSTITUTE(ADDRESS(1,MATCH('[2]Mapping Sheet'!A14,INDIRECT("'"&amp;E14&amp;"'"&amp;"!A12:Z12"),0),4),1,""),IFERROR(SUBSTITUTE(ADDRESS(1,MATCH('[2]Mapping Sheet'!A14,INDIRECT("'"&amp;E14&amp;"'"&amp;"!A15:Z15"),0),4),1,""),"")))),5)</f>
        <v>E5</v>
      </c>
      <c r="D14" s="1029" t="s">
        <v>1448</v>
      </c>
      <c r="E14" s="1029" t="s">
        <v>1449</v>
      </c>
      <c r="F14" s="1029" t="s">
        <v>1296</v>
      </c>
      <c r="G14" s="1029" t="s">
        <v>1468</v>
      </c>
      <c r="H14" s="1029" t="s">
        <v>1466</v>
      </c>
      <c r="I14" s="1026" t="str">
        <f t="shared" si="0"/>
        <v/>
      </c>
      <c r="J14" s="1376" t="str">
        <f t="shared" si="1"/>
        <v/>
      </c>
      <c r="K14" s="1376" t="str">
        <f t="shared" si="2"/>
        <v/>
      </c>
      <c r="L14" s="1376"/>
      <c r="M14" s="1376"/>
      <c r="N14" s="1376"/>
    </row>
    <row r="15" spans="1:18" s="1370" customFormat="1" x14ac:dyDescent="0.25">
      <c r="A15" s="1305" t="s">
        <v>1293</v>
      </c>
      <c r="B15" s="1029" t="str">
        <f ca="1">_xlfn.CONCAT(IFERROR(SUBSTITUTE(ADDRESS(1,MATCH('[2]Mapping Sheet'!A15,INDIRECT("'"&amp;E15&amp;"'"&amp;"!A4:Z4"),0),4),1,""),IFERROR(SUBSTITUTE(ADDRESS(1,MATCH('[2]Mapping Sheet'!A15,INDIRECT("'"&amp;E15&amp;"'"&amp;"!A9:Z9"),0),4),1,""),IFERROR(SUBSTITUTE(ADDRESS(1,MATCH('[2]Mapping Sheet'!A15,INDIRECT("'"&amp;E15&amp;"'"&amp;"!A12:Z12"),0),4),1,""),IFERROR(SUBSTITUTE(ADDRESS(1,MATCH('[2]Mapping Sheet'!A15,INDIRECT("'"&amp;E15&amp;"'"&amp;"!A15:Z15"),0),4),1,""),"")))),4)</f>
        <v>D4</v>
      </c>
      <c r="C15" s="1029" t="str">
        <f ca="1">_xlfn.CONCAT(IFERROR(SUBSTITUTE(ADDRESS(1,MATCH('[2]Mapping Sheet'!A15,INDIRECT("'"&amp;E15&amp;"'"&amp;"!A4:Z4"),0),4),1,""),IFERROR(SUBSTITUTE(ADDRESS(1,MATCH('[2]Mapping Sheet'!A15,INDIRECT("'"&amp;E15&amp;"'"&amp;"!A9:Z9"),0),4),1,""),IFERROR(SUBSTITUTE(ADDRESS(1,MATCH('[2]Mapping Sheet'!A15,INDIRECT("'"&amp;E15&amp;"'"&amp;"!A12:Z12"),0),4),1,""),IFERROR(SUBSTITUTE(ADDRESS(1,MATCH('[2]Mapping Sheet'!A15,INDIRECT("'"&amp;E15&amp;"'"&amp;"!A15:Z15"),0),4),1,""),"")))),5)</f>
        <v>D5</v>
      </c>
      <c r="D15" s="1029" t="s">
        <v>1448</v>
      </c>
      <c r="E15" s="1029" t="s">
        <v>1449</v>
      </c>
      <c r="F15" s="1029" t="s">
        <v>1297</v>
      </c>
      <c r="G15" s="1030" t="s">
        <v>662</v>
      </c>
      <c r="H15" s="1029" t="s">
        <v>1466</v>
      </c>
      <c r="I15" s="1026" t="str">
        <f t="shared" si="0"/>
        <v/>
      </c>
      <c r="J15" s="1376" t="str">
        <f t="shared" si="1"/>
        <v/>
      </c>
      <c r="K15" s="1376" t="str">
        <f t="shared" si="2"/>
        <v/>
      </c>
      <c r="L15" s="1376"/>
      <c r="M15" s="1376"/>
      <c r="N15" s="1376"/>
    </row>
    <row r="16" spans="1:18" s="1370" customFormat="1" x14ac:dyDescent="0.25">
      <c r="A16" s="1029" t="s">
        <v>1298</v>
      </c>
      <c r="B16" s="1029" t="str">
        <f ca="1">_xlfn.CONCAT(IFERROR(SUBSTITUTE(ADDRESS(1,MATCH('[2]Mapping Sheet'!A16,INDIRECT("'"&amp;E16&amp;"'"&amp;"!A4:Z4"),0),4),1,""),IFERROR(SUBSTITUTE(ADDRESS(1,MATCH('[2]Mapping Sheet'!A16,INDIRECT("'"&amp;E16&amp;"'"&amp;"!A9:Z9"),0),4),1,""),IFERROR(SUBSTITUTE(ADDRESS(1,MATCH('[2]Mapping Sheet'!A16,INDIRECT("'"&amp;E16&amp;"'"&amp;"!A12:Z12"),0),4),1,""),IFERROR(SUBSTITUTE(ADDRESS(1,MATCH('[2]Mapping Sheet'!A16,INDIRECT("'"&amp;E16&amp;"'"&amp;"!A15:Z15"),0),4),1,""),"")))),4)</f>
        <v>I4</v>
      </c>
      <c r="C16" s="1029" t="str">
        <f ca="1">_xlfn.CONCAT(IFERROR(SUBSTITUTE(ADDRESS(1,MATCH('[2]Mapping Sheet'!A16,INDIRECT("'"&amp;E16&amp;"'"&amp;"!A4:Z4"),0),4),1,""),IFERROR(SUBSTITUTE(ADDRESS(1,MATCH('[2]Mapping Sheet'!A16,INDIRECT("'"&amp;E16&amp;"'"&amp;"!A9:Z9"),0),4),1,""),IFERROR(SUBSTITUTE(ADDRESS(1,MATCH('[2]Mapping Sheet'!A16,INDIRECT("'"&amp;E16&amp;"'"&amp;"!A12:Z12"),0),4),1,""),IFERROR(SUBSTITUTE(ADDRESS(1,MATCH('[2]Mapping Sheet'!A16,INDIRECT("'"&amp;E16&amp;"'"&amp;"!A15:Z15"),0),4),1,""),"")))),5)</f>
        <v>I5</v>
      </c>
      <c r="D16" s="1029" t="s">
        <v>1448</v>
      </c>
      <c r="E16" s="1029" t="s">
        <v>1449</v>
      </c>
      <c r="F16" s="1029" t="s">
        <v>1298</v>
      </c>
      <c r="G16" s="1029" t="s">
        <v>1454</v>
      </c>
      <c r="H16" s="1029" t="s">
        <v>1466</v>
      </c>
      <c r="I16" s="1026" t="str">
        <f t="shared" si="0"/>
        <v/>
      </c>
      <c r="J16" s="1376"/>
      <c r="K16" s="1376" t="str">
        <f t="shared" si="2"/>
        <v/>
      </c>
      <c r="L16" s="1376"/>
      <c r="M16" s="1376"/>
      <c r="N16" s="1376"/>
    </row>
    <row r="17" spans="1:14" s="1370" customFormat="1" x14ac:dyDescent="0.25">
      <c r="A17" s="1029" t="s">
        <v>1253</v>
      </c>
      <c r="B17" s="1376" t="str">
        <f>IFERROR(_xlfn.CONCAT("D",MATCH(A17,'[2]Tracking &amp; Profitability'!C$1:C$60,0)),"")</f>
        <v>D7</v>
      </c>
      <c r="C17" s="1376" t="str">
        <f>IFERROR(_xlfn.CONCAT("E",MATCH(A17,'[2]Tracking &amp; Profitability'!C$1:C$60,0)),"")</f>
        <v>E7</v>
      </c>
      <c r="D17" s="1029" t="s">
        <v>1448</v>
      </c>
      <c r="E17" s="1029" t="s">
        <v>129</v>
      </c>
      <c r="F17" s="1029" t="s">
        <v>1278</v>
      </c>
      <c r="G17" s="1029" t="s">
        <v>1459</v>
      </c>
      <c r="H17" s="1029" t="s">
        <v>1466</v>
      </c>
      <c r="I17" s="1026" t="str">
        <f t="shared" si="0"/>
        <v/>
      </c>
      <c r="J17" s="1376" t="str">
        <f t="shared" si="1"/>
        <v/>
      </c>
      <c r="K17" s="1376" t="str">
        <f t="shared" si="2"/>
        <v/>
      </c>
      <c r="L17" s="1376"/>
      <c r="M17" s="1376"/>
      <c r="N17" s="1376"/>
    </row>
    <row r="18" spans="1:14" s="1370" customFormat="1" ht="30" x14ac:dyDescent="0.25">
      <c r="A18" s="1029" t="s">
        <v>1307</v>
      </c>
      <c r="B18" s="1029" t="str">
        <f ca="1">_xlfn.CONCAT(IFERROR(SUBSTITUTE(ADDRESS(1,MATCH('[2]Mapping Sheet'!A18,INDIRECT("'"&amp;E18&amp;"'"&amp;"!A4:Z4"),0),4),1,""),IFERROR(SUBSTITUTE(ADDRESS(1,MATCH('[2]Mapping Sheet'!A18,INDIRECT("'"&amp;E18&amp;"'"&amp;"!A9:Z9"),0),4),1,""),IFERROR(SUBSTITUTE(ADDRESS(1,MATCH('[2]Mapping Sheet'!A18,INDIRECT("'"&amp;E18&amp;"'"&amp;"!A12:Z12"),0),4),1,""),IFERROR(SUBSTITUTE(ADDRESS(1,MATCH('[2]Mapping Sheet'!A18,INDIRECT("'"&amp;E18&amp;"'"&amp;"!A15:Z15"),0),4),1,""),IFERROR(SUBSTITUTE(ADDRESS(1,MATCH('[2]Mapping Sheet'!A18,INDIRECT("'"&amp;E18&amp;"'"&amp;"!A17:Z17"),0),4),1,""),""))))),9)</f>
        <v>C9</v>
      </c>
      <c r="C18" s="1029" t="str">
        <f ca="1">_xlfn.CONCAT(IFERROR(SUBSTITUTE(ADDRESS(1,MATCH('[2]Mapping Sheet'!A18,INDIRECT("'"&amp;E18&amp;"'"&amp;"!A4:Z4"),0),4),1,""),IFERROR(SUBSTITUTE(ADDRESS(1,MATCH('[2]Mapping Sheet'!A18,INDIRECT("'"&amp;E18&amp;"'"&amp;"!A9:Z9"),0),4),1,""),IFERROR(SUBSTITUTE(ADDRESS(1,MATCH('[2]Mapping Sheet'!A18,INDIRECT("'"&amp;E18&amp;"'"&amp;"!A12:Z12"),0),4),1,""),IFERROR(SUBSTITUTE(ADDRESS(1,MATCH('[2]Mapping Sheet'!A18,INDIRECT("'"&amp;E18&amp;"'"&amp;"!A15:Z15"),0),4),1,""),IFERROR(SUBSTITUTE(ADDRESS(1,MATCH('[2]Mapping Sheet'!A18,INDIRECT("'"&amp;E18&amp;"'"&amp;"!A17:Z17"),0),4),1,""),""))))),10)</f>
        <v>C10</v>
      </c>
      <c r="D18" s="1029" t="s">
        <v>1448</v>
      </c>
      <c r="E18" s="1029" t="s">
        <v>1449</v>
      </c>
      <c r="F18" s="1029" t="s">
        <v>1307</v>
      </c>
      <c r="G18" s="1029" t="s">
        <v>1460</v>
      </c>
      <c r="H18" s="1029" t="s">
        <v>1466</v>
      </c>
      <c r="I18" s="1026" t="str">
        <f t="shared" si="0"/>
        <v>Maximum Distance From USF DC to Shipping Locations (miles)</v>
      </c>
      <c r="J18" s="1376" t="str">
        <f t="shared" si="1"/>
        <v>10</v>
      </c>
      <c r="K18" s="1376" t="str">
        <f t="shared" si="2"/>
        <v>Agreement Worksheet</v>
      </c>
      <c r="L18" s="1029" t="s">
        <v>1307</v>
      </c>
      <c r="M18" s="1376">
        <v>10</v>
      </c>
      <c r="N18" s="1376"/>
    </row>
    <row r="19" spans="1:14" s="1370" customFormat="1" x14ac:dyDescent="0.25">
      <c r="A19" s="1029" t="s">
        <v>1309</v>
      </c>
      <c r="B19" s="1029" t="str">
        <f ca="1">_xlfn.CONCAT(IFERROR(SUBSTITUTE(ADDRESS(1,MATCH('[2]Mapping Sheet'!A19,INDIRECT("'"&amp;E19&amp;"'"&amp;"!A4:Z4"),0),4),1,""),IFERROR(SUBSTITUTE(ADDRESS(1,MATCH('[2]Mapping Sheet'!A19,INDIRECT("'"&amp;E19&amp;"'"&amp;"!A9:Z9"),0),4),1,""),IFERROR(SUBSTITUTE(ADDRESS(1,MATCH('[2]Mapping Sheet'!A19,INDIRECT("'"&amp;E19&amp;"'"&amp;"!A12:Z12"),0),4),1,""),IFERROR(SUBSTITUTE(ADDRESS(1,MATCH('[2]Mapping Sheet'!A19,INDIRECT("'"&amp;E19&amp;"'"&amp;"!A15:Z15"),0),4),1,""),IFERROR(SUBSTITUTE(ADDRESS(1,MATCH('[2]Mapping Sheet'!A19,INDIRECT("'"&amp;E19&amp;"'"&amp;"!A17:Z17"),0),4),1,""),""))))),9)</f>
        <v>E9</v>
      </c>
      <c r="C19" s="1029" t="str">
        <f ca="1">_xlfn.CONCAT(IFERROR(SUBSTITUTE(ADDRESS(1,MATCH('[2]Mapping Sheet'!A19,INDIRECT("'"&amp;E19&amp;"'"&amp;"!A4:Z4"),0),4),1,""),IFERROR(SUBSTITUTE(ADDRESS(1,MATCH('[2]Mapping Sheet'!A19,INDIRECT("'"&amp;E19&amp;"'"&amp;"!A9:Z9"),0),4),1,""),IFERROR(SUBSTITUTE(ADDRESS(1,MATCH('[2]Mapping Sheet'!A19,INDIRECT("'"&amp;E19&amp;"'"&amp;"!A12:Z12"),0),4),1,""),IFERROR(SUBSTITUTE(ADDRESS(1,MATCH('[2]Mapping Sheet'!A19,INDIRECT("'"&amp;E19&amp;"'"&amp;"!A15:Z15"),0),4),1,""),IFERROR(SUBSTITUTE(ADDRESS(1,MATCH('[2]Mapping Sheet'!A19,INDIRECT("'"&amp;E19&amp;"'"&amp;"!A17:Z17"),0),4),1,""),""))))),10)</f>
        <v>E10</v>
      </c>
      <c r="D19" s="1029" t="s">
        <v>1448</v>
      </c>
      <c r="E19" s="1029" t="s">
        <v>1449</v>
      </c>
      <c r="F19" s="1029" t="s">
        <v>1309</v>
      </c>
      <c r="G19" s="1029" t="s">
        <v>1461</v>
      </c>
      <c r="H19" s="1029" t="s">
        <v>1466</v>
      </c>
      <c r="I19" s="1026" t="str">
        <f t="shared" si="0"/>
        <v/>
      </c>
      <c r="J19" s="1376" t="str">
        <f t="shared" si="1"/>
        <v/>
      </c>
      <c r="K19" s="1376" t="str">
        <f t="shared" si="2"/>
        <v/>
      </c>
      <c r="L19" s="1376"/>
      <c r="M19" s="1376"/>
      <c r="N19" s="1376"/>
    </row>
    <row r="20" spans="1:14" s="1370" customFormat="1" x14ac:dyDescent="0.25">
      <c r="A20" s="1029" t="s">
        <v>1310</v>
      </c>
      <c r="B20" s="1029" t="str">
        <f ca="1">_xlfn.CONCAT(IFERROR(SUBSTITUTE(ADDRESS(1,MATCH('[2]Mapping Sheet'!A20,INDIRECT("'"&amp;E20&amp;"'"&amp;"!A4:Z4"),0),4),1,""),IFERROR(SUBSTITUTE(ADDRESS(1,MATCH('[2]Mapping Sheet'!A20,INDIRECT("'"&amp;E20&amp;"'"&amp;"!A9:Z9"),0),4),1,""),IFERROR(SUBSTITUTE(ADDRESS(1,MATCH('[2]Mapping Sheet'!A20,INDIRECT("'"&amp;E20&amp;"'"&amp;"!A12:Z12"),0),4),1,""),IFERROR(SUBSTITUTE(ADDRESS(1,MATCH('[2]Mapping Sheet'!A20,INDIRECT("'"&amp;E20&amp;"'"&amp;"!A15:Z15"),0),4),1,""),IFERROR(SUBSTITUTE(ADDRESS(1,MATCH('[2]Mapping Sheet'!A20,INDIRECT("'"&amp;E20&amp;"'"&amp;"!A17:Z17"),0),4),1,""),""))))),9)</f>
        <v>F9</v>
      </c>
      <c r="C20" s="1029" t="str">
        <f ca="1">_xlfn.CONCAT(IFERROR(SUBSTITUTE(ADDRESS(1,MATCH('[2]Mapping Sheet'!A20,INDIRECT("'"&amp;E20&amp;"'"&amp;"!A4:Z4"),0),4),1,""),IFERROR(SUBSTITUTE(ADDRESS(1,MATCH('[2]Mapping Sheet'!A20,INDIRECT("'"&amp;E20&amp;"'"&amp;"!A9:Z9"),0),4),1,""),IFERROR(SUBSTITUTE(ADDRESS(1,MATCH('[2]Mapping Sheet'!A20,INDIRECT("'"&amp;E20&amp;"'"&amp;"!A12:Z12"),0),4),1,""),IFERROR(SUBSTITUTE(ADDRESS(1,MATCH('[2]Mapping Sheet'!A20,INDIRECT("'"&amp;E20&amp;"'"&amp;"!A15:Z15"),0),4),1,""),IFERROR(SUBSTITUTE(ADDRESS(1,MATCH('[2]Mapping Sheet'!A20,INDIRECT("'"&amp;E20&amp;"'"&amp;"!A17:Z17"),0),4),1,""),""))))),10)</f>
        <v>F10</v>
      </c>
      <c r="D20" s="1029" t="s">
        <v>1448</v>
      </c>
      <c r="E20" s="1029" t="s">
        <v>1449</v>
      </c>
      <c r="F20" s="1029" t="s">
        <v>1310</v>
      </c>
      <c r="G20" s="1029" t="s">
        <v>1462</v>
      </c>
      <c r="H20" s="1029" t="s">
        <v>1466</v>
      </c>
      <c r="I20" s="1026" t="str">
        <f t="shared" si="0"/>
        <v/>
      </c>
      <c r="J20" s="1376" t="str">
        <f t="shared" si="1"/>
        <v/>
      </c>
      <c r="K20" s="1376" t="str">
        <f t="shared" si="2"/>
        <v/>
      </c>
      <c r="L20" s="1376"/>
      <c r="M20" s="1376"/>
      <c r="N20" s="1376"/>
    </row>
    <row r="21" spans="1:14" s="1370" customFormat="1" x14ac:dyDescent="0.25">
      <c r="A21" s="1029" t="s">
        <v>1319</v>
      </c>
      <c r="B21" s="1029" t="str">
        <f ca="1">_xlfn.CONCAT(IFERROR(SUBSTITUTE(ADDRESS(1,MATCH('[2]Mapping Sheet'!A21,INDIRECT("'"&amp;E21&amp;"'"&amp;"!A4:Z4"),0),4),1,""),IFERROR(SUBSTITUTE(ADDRESS(1,MATCH('[2]Mapping Sheet'!A21,INDIRECT("'"&amp;E21&amp;"'"&amp;"!A9:Z9"),0),4),1,""),IFERROR(SUBSTITUTE(ADDRESS(1,MATCH('[2]Mapping Sheet'!A21,INDIRECT("'"&amp;E21&amp;"'"&amp;"!A12:Z12"),0),4),1,""),IFERROR(SUBSTITUTE(ADDRESS(1,MATCH('[2]Mapping Sheet'!A21,INDIRECT("'"&amp;E21&amp;"'"&amp;"!A15:Z15"),0),4),1,""),IFERROR(SUBSTITUTE(ADDRESS(1,MATCH('[2]Mapping Sheet'!A21,INDIRECT("'"&amp;E21&amp;"'"&amp;"!A17:Z17"),0),4),1,""),""))))),12)</f>
        <v>C12</v>
      </c>
      <c r="C21" s="1029" t="str">
        <f ca="1">_xlfn.CONCAT(IFERROR(SUBSTITUTE(ADDRESS(1,MATCH('[2]Mapping Sheet'!A21,INDIRECT("'"&amp;E21&amp;"'"&amp;"!A4:Z4"),0),4),1,""),IFERROR(SUBSTITUTE(ADDRESS(1,MATCH('[2]Mapping Sheet'!A21,INDIRECT("'"&amp;E21&amp;"'"&amp;"!A9:Z9"),0),4),1,""),IFERROR(SUBSTITUTE(ADDRESS(1,MATCH('[2]Mapping Sheet'!A21,INDIRECT("'"&amp;E21&amp;"'"&amp;"!A12:Z12"),0),4),1,""),IFERROR(SUBSTITUTE(ADDRESS(1,MATCH('[2]Mapping Sheet'!A21,INDIRECT("'"&amp;E21&amp;"'"&amp;"!A15:Z15"),0),4),1,""),IFERROR(SUBSTITUTE(ADDRESS(1,MATCH('[2]Mapping Sheet'!A21,INDIRECT("'"&amp;E21&amp;"'"&amp;"!A17:Z17"),0),4),1,""),""))))),13)</f>
        <v>C13</v>
      </c>
      <c r="D21" s="1029" t="s">
        <v>1448</v>
      </c>
      <c r="E21" s="1029" t="s">
        <v>1449</v>
      </c>
      <c r="F21" s="1029" t="s">
        <v>1319</v>
      </c>
      <c r="G21" s="1029" t="s">
        <v>1464</v>
      </c>
      <c r="H21" s="1029" t="s">
        <v>1466</v>
      </c>
      <c r="I21" s="1026" t="str">
        <f t="shared" si="0"/>
        <v>Split Case Surcharge Amount</v>
      </c>
      <c r="J21" s="1376" t="str">
        <f t="shared" si="1"/>
        <v>13</v>
      </c>
      <c r="K21" s="1376" t="str">
        <f t="shared" si="2"/>
        <v>Agreement Worksheet</v>
      </c>
      <c r="L21" s="1029" t="s">
        <v>1319</v>
      </c>
      <c r="M21" s="1376">
        <v>13</v>
      </c>
      <c r="N21" s="1376"/>
    </row>
    <row r="22" spans="1:14" s="1370" customFormat="1" x14ac:dyDescent="0.25">
      <c r="A22" s="1029" t="s">
        <v>1320</v>
      </c>
      <c r="B22" s="1029" t="str">
        <f ca="1">_xlfn.CONCAT(IFERROR(SUBSTITUTE(ADDRESS(1,MATCH('[2]Mapping Sheet'!A22,INDIRECT("'"&amp;E22&amp;"'"&amp;"!A4:Z4"),0),4),1,""),IFERROR(SUBSTITUTE(ADDRESS(1,MATCH('[2]Mapping Sheet'!A22,INDIRECT("'"&amp;E22&amp;"'"&amp;"!A9:Z9"),0),4),1,""),IFERROR(SUBSTITUTE(ADDRESS(1,MATCH('[2]Mapping Sheet'!A22,INDIRECT("'"&amp;E22&amp;"'"&amp;"!A12:Z12"),0),4),1,""),IFERROR(SUBSTITUTE(ADDRESS(1,MATCH('[2]Mapping Sheet'!A22,INDIRECT("'"&amp;E22&amp;"'"&amp;"!A15:Z15"),0),4),1,""),IFERROR(SUBSTITUTE(ADDRESS(1,MATCH('[2]Mapping Sheet'!A22,INDIRECT("'"&amp;E22&amp;"'"&amp;"!A17:Z17"),0),4),1,""),""))))),12)</f>
        <v>D12</v>
      </c>
      <c r="C22" s="1029" t="str">
        <f ca="1">_xlfn.CONCAT(IFERROR(SUBSTITUTE(ADDRESS(1,MATCH('[2]Mapping Sheet'!A22,INDIRECT("'"&amp;E22&amp;"'"&amp;"!A4:Z4"),0),4),1,""),IFERROR(SUBSTITUTE(ADDRESS(1,MATCH('[2]Mapping Sheet'!A22,INDIRECT("'"&amp;E22&amp;"'"&amp;"!A9:Z9"),0),4),1,""),IFERROR(SUBSTITUTE(ADDRESS(1,MATCH('[2]Mapping Sheet'!A22,INDIRECT("'"&amp;E22&amp;"'"&amp;"!A12:Z12"),0),4),1,""),IFERROR(SUBSTITUTE(ADDRESS(1,MATCH('[2]Mapping Sheet'!A22,INDIRECT("'"&amp;E22&amp;"'"&amp;"!A15:Z15"),0),4),1,""),IFERROR(SUBSTITUTE(ADDRESS(1,MATCH('[2]Mapping Sheet'!A22,INDIRECT("'"&amp;E22&amp;"'"&amp;"!A17:Z17"),0),4),1,""),""))))),13)</f>
        <v>D13</v>
      </c>
      <c r="D22" s="1029" t="s">
        <v>1448</v>
      </c>
      <c r="E22" s="1029" t="s">
        <v>1449</v>
      </c>
      <c r="F22" s="1029" t="s">
        <v>1320</v>
      </c>
      <c r="G22" s="1029" t="s">
        <v>1458</v>
      </c>
      <c r="H22" s="1029" t="s">
        <v>1466</v>
      </c>
      <c r="I22" s="1026" t="str">
        <f t="shared" si="0"/>
        <v>Split Case Per</v>
      </c>
      <c r="J22" s="1376" t="str">
        <f t="shared" si="1"/>
        <v>14</v>
      </c>
      <c r="K22" s="1376" t="str">
        <f t="shared" si="2"/>
        <v>Agreement Worksheet</v>
      </c>
      <c r="L22" s="1029" t="s">
        <v>1320</v>
      </c>
      <c r="M22" s="1376">
        <v>14</v>
      </c>
      <c r="N22" s="1376"/>
    </row>
    <row r="23" spans="1:14" s="1370" customFormat="1" x14ac:dyDescent="0.25">
      <c r="A23" s="1029" t="s">
        <v>1469</v>
      </c>
      <c r="B23" s="1029" t="str">
        <f ca="1">_xlfn.CONCAT(IFERROR(SUBSTITUTE(ADDRESS(1,MATCH('[2]Mapping Sheet'!A23,INDIRECT("'"&amp;E23&amp;"'"&amp;"!A4:Z4"),0),4),1,""),IFERROR(SUBSTITUTE(ADDRESS(1,MATCH('[2]Mapping Sheet'!A23,INDIRECT("'"&amp;E23&amp;"'"&amp;"!A9:Z9"),0),4),1,""),IFERROR(SUBSTITUTE(ADDRESS(1,MATCH('[2]Mapping Sheet'!A23,INDIRECT("'"&amp;E23&amp;"'"&amp;"!A12:Z12"),0),4),1,""),IFERROR(SUBSTITUTE(ADDRESS(1,MATCH('[2]Mapping Sheet'!A23,INDIRECT("'"&amp;E23&amp;"'"&amp;"!A15:Z15"),0),4),1,""),IFERROR(SUBSTITUTE(ADDRESS(1,MATCH('[2]Mapping Sheet'!A23,INDIRECT("'"&amp;E23&amp;"'"&amp;"!A17:Z17"),0),4),1,""),""))))),12)</f>
        <v>F12</v>
      </c>
      <c r="C23" s="1029" t="str">
        <f ca="1">_xlfn.CONCAT(IFERROR(SUBSTITUTE(ADDRESS(1,MATCH('[2]Mapping Sheet'!A23,INDIRECT("'"&amp;E23&amp;"'"&amp;"!A4:Z4"),0),4),1,""),IFERROR(SUBSTITUTE(ADDRESS(1,MATCH('[2]Mapping Sheet'!A23,INDIRECT("'"&amp;E23&amp;"'"&amp;"!A9:Z9"),0),4),1,""),IFERROR(SUBSTITUTE(ADDRESS(1,MATCH('[2]Mapping Sheet'!A23,INDIRECT("'"&amp;E23&amp;"'"&amp;"!A12:Z12"),0),4),1,""),IFERROR(SUBSTITUTE(ADDRESS(1,MATCH('[2]Mapping Sheet'!A23,INDIRECT("'"&amp;E23&amp;"'"&amp;"!A15:Z15"),0),4),1,""),IFERROR(SUBSTITUTE(ADDRESS(1,MATCH('[2]Mapping Sheet'!A23,INDIRECT("'"&amp;E23&amp;"'"&amp;"!A17:Z17"),0),4),1,""),""))))),13)</f>
        <v>F13</v>
      </c>
      <c r="D23" s="1029" t="s">
        <v>1448</v>
      </c>
      <c r="E23" s="1029" t="s">
        <v>1449</v>
      </c>
      <c r="F23" s="1029" t="s">
        <v>1469</v>
      </c>
      <c r="G23" s="1029" t="s">
        <v>134</v>
      </c>
      <c r="H23" s="1029" t="s">
        <v>1466</v>
      </c>
      <c r="I23" s="1026" t="str">
        <f t="shared" si="0"/>
        <v>Minimum per Case Markup</v>
      </c>
      <c r="J23" s="1376" t="str">
        <f t="shared" si="1"/>
        <v>15</v>
      </c>
      <c r="K23" s="1376" t="str">
        <f t="shared" si="2"/>
        <v>Agreement Worksheet</v>
      </c>
      <c r="L23" s="1029" t="s">
        <v>1469</v>
      </c>
      <c r="M23" s="1376">
        <v>15</v>
      </c>
      <c r="N23" s="1376"/>
    </row>
    <row r="24" spans="1:14" s="1370" customFormat="1" ht="30" x14ac:dyDescent="0.25">
      <c r="A24" s="1029" t="s">
        <v>1323</v>
      </c>
      <c r="B24" s="1029" t="str">
        <f ca="1">_xlfn.CONCAT(IFERROR(SUBSTITUTE(ADDRESS(1,MATCH('[2]Mapping Sheet'!A24,INDIRECT("'"&amp;E24&amp;"'"&amp;"!A4:Z4"),0),4),1,""),IFERROR(SUBSTITUTE(ADDRESS(1,MATCH('[2]Mapping Sheet'!A24,INDIRECT("'"&amp;E24&amp;"'"&amp;"!A9:Z9"),0),4),1,""),IFERROR(SUBSTITUTE(ADDRESS(1,MATCH('[2]Mapping Sheet'!A24,INDIRECT("'"&amp;E24&amp;"'"&amp;"!A12:Z12"),0),4),1,""),IFERROR(SUBSTITUTE(ADDRESS(1,MATCH('[2]Mapping Sheet'!A24,INDIRECT("'"&amp;E24&amp;"'"&amp;"!A15:Z15"),0),4),1,""),IFERROR(SUBSTITUTE(ADDRESS(1,MATCH('[2]Mapping Sheet'!A24,INDIRECT("'"&amp;E24&amp;"'"&amp;"!A17:Z17"),0),4),1,""),""))))),12)</f>
        <v>G12</v>
      </c>
      <c r="C24" s="1029" t="str">
        <f ca="1">_xlfn.CONCAT(IFERROR(SUBSTITUTE(ADDRESS(1,MATCH('[2]Mapping Sheet'!A24,INDIRECT("'"&amp;E24&amp;"'"&amp;"!A4:Z4"),0),4),1,""),IFERROR(SUBSTITUTE(ADDRESS(1,MATCH('[2]Mapping Sheet'!A24,INDIRECT("'"&amp;E24&amp;"'"&amp;"!A9:Z9"),0),4),1,""),IFERROR(SUBSTITUTE(ADDRESS(1,MATCH('[2]Mapping Sheet'!A24,INDIRECT("'"&amp;E24&amp;"'"&amp;"!A12:Z12"),0),4),1,""),IFERROR(SUBSTITUTE(ADDRESS(1,MATCH('[2]Mapping Sheet'!A24,INDIRECT("'"&amp;E24&amp;"'"&amp;"!A15:Z15"),0),4),1,""),IFERROR(SUBSTITUTE(ADDRESS(1,MATCH('[2]Mapping Sheet'!A24,INDIRECT("'"&amp;E24&amp;"'"&amp;"!A17:Z17"),0),4),1,""),""))))),13)</f>
        <v>G13</v>
      </c>
      <c r="D24" s="1029" t="s">
        <v>1448</v>
      </c>
      <c r="E24" s="1029" t="s">
        <v>1449</v>
      </c>
      <c r="F24" s="1029" t="s">
        <v>1470</v>
      </c>
      <c r="G24" s="1029" t="s">
        <v>663</v>
      </c>
      <c r="H24" s="1029" t="s">
        <v>1466</v>
      </c>
      <c r="I24" s="1026" t="str">
        <f t="shared" si="0"/>
        <v>Special Order Product Surcharge Amount</v>
      </c>
      <c r="J24" s="1376" t="str">
        <f t="shared" si="1"/>
        <v>16</v>
      </c>
      <c r="K24" s="1376" t="str">
        <f t="shared" si="2"/>
        <v>Agreement Worksheet</v>
      </c>
      <c r="L24" s="1029" t="s">
        <v>1323</v>
      </c>
      <c r="M24" s="1376">
        <v>16</v>
      </c>
      <c r="N24" s="1376"/>
    </row>
    <row r="25" spans="1:14" s="1370" customFormat="1" ht="30" x14ac:dyDescent="0.25">
      <c r="A25" s="1029" t="s">
        <v>1324</v>
      </c>
      <c r="B25" s="1029" t="str">
        <f ca="1">_xlfn.CONCAT(IFERROR(SUBSTITUTE(ADDRESS(1,MATCH('[2]Mapping Sheet'!A25,INDIRECT("'"&amp;E25&amp;"'"&amp;"!A4:Z4"),0),4),1,""),IFERROR(SUBSTITUTE(ADDRESS(1,MATCH('[2]Mapping Sheet'!A25,INDIRECT("'"&amp;E25&amp;"'"&amp;"!A9:Z9"),0),4),1,""),IFERROR(SUBSTITUTE(ADDRESS(1,MATCH('[2]Mapping Sheet'!A25,INDIRECT("'"&amp;E25&amp;"'"&amp;"!A12:Z12"),0),4),1,""),IFERROR(SUBSTITUTE(ADDRESS(1,MATCH('[2]Mapping Sheet'!A25,INDIRECT("'"&amp;E25&amp;"'"&amp;"!A15:Z15"),0),4),1,""),IFERROR(SUBSTITUTE(ADDRESS(1,MATCH('[2]Mapping Sheet'!A25,INDIRECT("'"&amp;E25&amp;"'"&amp;"!A17:Z17"),0),4),1,""),""))))),12)</f>
        <v>H12</v>
      </c>
      <c r="C25" s="1029" t="str">
        <f ca="1">_xlfn.CONCAT(IFERROR(SUBSTITUTE(ADDRESS(1,MATCH('[2]Mapping Sheet'!A25,INDIRECT("'"&amp;E25&amp;"'"&amp;"!A4:Z4"),0),4),1,""),IFERROR(SUBSTITUTE(ADDRESS(1,MATCH('[2]Mapping Sheet'!A25,INDIRECT("'"&amp;E25&amp;"'"&amp;"!A9:Z9"),0),4),1,""),IFERROR(SUBSTITUTE(ADDRESS(1,MATCH('[2]Mapping Sheet'!A25,INDIRECT("'"&amp;E25&amp;"'"&amp;"!A12:Z12"),0),4),1,""),IFERROR(SUBSTITUTE(ADDRESS(1,MATCH('[2]Mapping Sheet'!A25,INDIRECT("'"&amp;E25&amp;"'"&amp;"!A15:Z15"),0),4),1,""),IFERROR(SUBSTITUTE(ADDRESS(1,MATCH('[2]Mapping Sheet'!A25,INDIRECT("'"&amp;E25&amp;"'"&amp;"!A17:Z17"),0),4),1,""),""))))),13)</f>
        <v>H13</v>
      </c>
      <c r="D25" s="1029" t="s">
        <v>1448</v>
      </c>
      <c r="E25" s="1029" t="s">
        <v>1449</v>
      </c>
      <c r="F25" s="1029" t="s">
        <v>1324</v>
      </c>
      <c r="G25" s="1029" t="s">
        <v>242</v>
      </c>
      <c r="H25" s="1029" t="s">
        <v>1466</v>
      </c>
      <c r="I25" s="1026" t="str">
        <f t="shared" si="0"/>
        <v>Special Order Products Surcharge Amount Type Code</v>
      </c>
      <c r="J25" s="1376" t="str">
        <f t="shared" si="1"/>
        <v>17</v>
      </c>
      <c r="K25" s="1376" t="str">
        <f t="shared" si="2"/>
        <v>Agreement Worksheet</v>
      </c>
      <c r="L25" s="1029" t="s">
        <v>1324</v>
      </c>
      <c r="M25" s="1376">
        <v>17</v>
      </c>
      <c r="N25" s="1376"/>
    </row>
    <row r="26" spans="1:14" s="1370" customFormat="1" x14ac:dyDescent="0.25">
      <c r="A26" s="1029" t="s">
        <v>1311</v>
      </c>
      <c r="B26" s="1029" t="str">
        <f ca="1">_xlfn.CONCAT(IFERROR(SUBSTITUTE(ADDRESS(1,MATCH('[2]Mapping Sheet'!A26,INDIRECT("'"&amp;E26&amp;"'"&amp;"!A4:Z4"),0),4),1,""),IFERROR(SUBSTITUTE(ADDRESS(1,MATCH('[2]Mapping Sheet'!A26,INDIRECT("'"&amp;E26&amp;"'"&amp;"!A9:Z9"),0),4),1,""),IFERROR(SUBSTITUTE(ADDRESS(1,MATCH('[2]Mapping Sheet'!A26,INDIRECT("'"&amp;E26&amp;"'"&amp;"!A12:Z12"),0),4),1,""),IFERROR(SUBSTITUTE(ADDRESS(1,MATCH('[2]Mapping Sheet'!A26,INDIRECT("'"&amp;E26&amp;"'"&amp;"!A15:Z15"),0),4),1,""),IFERROR(SUBSTITUTE(ADDRESS(1,MATCH('[2]Mapping Sheet'!A26,INDIRECT("'"&amp;E26&amp;"'"&amp;"!A17:Z17"),0),4),1,""),""))))),9)</f>
        <v>G9</v>
      </c>
      <c r="C26" s="1029" t="str">
        <f ca="1">_xlfn.CONCAT(IFERROR(SUBSTITUTE(ADDRESS(1,MATCH('[2]Mapping Sheet'!A26,INDIRECT("'"&amp;E26&amp;"'"&amp;"!A4:Z4"),0),4),1,""),IFERROR(SUBSTITUTE(ADDRESS(1,MATCH('[2]Mapping Sheet'!A26,INDIRECT("'"&amp;E26&amp;"'"&amp;"!A9:Z9"),0),4),1,""),IFERROR(SUBSTITUTE(ADDRESS(1,MATCH('[2]Mapping Sheet'!A26,INDIRECT("'"&amp;E26&amp;"'"&amp;"!A12:Z12"),0),4),1,""),IFERROR(SUBSTITUTE(ADDRESS(1,MATCH('[2]Mapping Sheet'!A26,INDIRECT("'"&amp;E26&amp;"'"&amp;"!A15:Z15"),0),4),1,""),IFERROR(SUBSTITUTE(ADDRESS(1,MATCH('[2]Mapping Sheet'!A26,INDIRECT("'"&amp;E26&amp;"'"&amp;"!A17:Z17"),0),4),1,""),""))))),10)</f>
        <v>G10</v>
      </c>
      <c r="D26" s="1029" t="s">
        <v>1448</v>
      </c>
      <c r="E26" s="1029" t="s">
        <v>1449</v>
      </c>
      <c r="F26" s="1029" t="s">
        <v>1311</v>
      </c>
      <c r="G26" s="1029" t="s">
        <v>1463</v>
      </c>
      <c r="H26" s="1029" t="s">
        <v>1466</v>
      </c>
      <c r="I26" s="1026" t="str">
        <f t="shared" si="0"/>
        <v>Primary Form of Payment</v>
      </c>
      <c r="J26" s="1376" t="str">
        <f t="shared" si="1"/>
        <v>11</v>
      </c>
      <c r="K26" s="1376" t="str">
        <f t="shared" si="2"/>
        <v>Agreement Worksheet</v>
      </c>
      <c r="L26" s="1029" t="s">
        <v>1311</v>
      </c>
      <c r="M26" s="1376">
        <v>11</v>
      </c>
      <c r="N26" s="1376"/>
    </row>
    <row r="27" spans="1:14" s="1370" customFormat="1" x14ac:dyDescent="0.25">
      <c r="A27" s="1029" t="s">
        <v>1325</v>
      </c>
      <c r="B27" s="1029" t="str">
        <f ca="1">_xlfn.CONCAT(IFERROR(SUBSTITUTE(ADDRESS(1,MATCH('[2]Mapping Sheet'!A27,INDIRECT("'"&amp;E27&amp;"'"&amp;"!A4:Z4"),0),4),1,""),IFERROR(SUBSTITUTE(ADDRESS(1,MATCH('[2]Mapping Sheet'!A27,INDIRECT("'"&amp;E27&amp;"'"&amp;"!A9:Z9"),0),4),1,""),IFERROR(SUBSTITUTE(ADDRESS(1,MATCH('[2]Mapping Sheet'!A27,INDIRECT("'"&amp;E27&amp;"'"&amp;"!A12:Z12"),0),4),1,""),IFERROR(SUBSTITUTE(ADDRESS(1,MATCH('[2]Mapping Sheet'!A27,INDIRECT("'"&amp;E27&amp;"'"&amp;"!A15:Z15"),0),4),1,""),IFERROR(SUBSTITUTE(ADDRESS(1,MATCH('[2]Mapping Sheet'!A27,INDIRECT("'"&amp;E27&amp;"'"&amp;"!A17:Z17"),0),4),1,""),""))))),12)</f>
        <v>I12</v>
      </c>
      <c r="C27" s="1029" t="str">
        <f ca="1">_xlfn.CONCAT(IFERROR(SUBSTITUTE(ADDRESS(1,MATCH('[2]Mapping Sheet'!A27,INDIRECT("'"&amp;E27&amp;"'"&amp;"!A4:Z4"),0),4),1,""),IFERROR(SUBSTITUTE(ADDRESS(1,MATCH('[2]Mapping Sheet'!A27,INDIRECT("'"&amp;E27&amp;"'"&amp;"!A9:Z9"),0),4),1,""),IFERROR(SUBSTITUTE(ADDRESS(1,MATCH('[2]Mapping Sheet'!A27,INDIRECT("'"&amp;E27&amp;"'"&amp;"!A12:Z12"),0),4),1,""),IFERROR(SUBSTITUTE(ADDRESS(1,MATCH('[2]Mapping Sheet'!A27,INDIRECT("'"&amp;E27&amp;"'"&amp;"!A15:Z15"),0),4),1,""),IFERROR(SUBSTITUTE(ADDRESS(1,MATCH('[2]Mapping Sheet'!A27,INDIRECT("'"&amp;E27&amp;"'"&amp;"!A17:Z17"),0),4),1,""),""))))),13)</f>
        <v>I13</v>
      </c>
      <c r="D27" s="1029" t="s">
        <v>1448</v>
      </c>
      <c r="E27" s="1029" t="s">
        <v>1449</v>
      </c>
      <c r="F27" s="1029" t="s">
        <v>1325</v>
      </c>
      <c r="G27" s="1029" t="s">
        <v>1471</v>
      </c>
      <c r="H27" s="1029" t="s">
        <v>1466</v>
      </c>
      <c r="I27" s="1026" t="str">
        <f t="shared" si="0"/>
        <v/>
      </c>
      <c r="J27" s="1376" t="str">
        <f t="shared" si="1"/>
        <v/>
      </c>
      <c r="K27" s="1376" t="str">
        <f t="shared" si="2"/>
        <v/>
      </c>
      <c r="L27" s="1376"/>
      <c r="M27" s="1376"/>
      <c r="N27" s="1376"/>
    </row>
    <row r="28" spans="1:14" s="1370" customFormat="1" x14ac:dyDescent="0.25">
      <c r="A28" s="1029" t="s">
        <v>1359</v>
      </c>
      <c r="B28" s="1026" t="str">
        <f ca="1">_xlfn.CONCAT(IFERROR(SUBSTITUTE(ADDRESS(1,MATCH(A28,INDIRECT("'"&amp;E28&amp;"'"&amp;"!A4:Z4"),0),4),1,""),""),4)</f>
        <v>C4</v>
      </c>
      <c r="C28" s="1026" t="str">
        <f ca="1">_xlfn.CONCAT(IFERROR(SUBSTITUTE(ADDRESS(1,MATCH(A28,INDIRECT("'"&amp;E28&amp;"'"&amp;"!A4:Z4"),0),4),1,""),""),5)</f>
        <v>C5</v>
      </c>
      <c r="D28" s="1029" t="s">
        <v>1448</v>
      </c>
      <c r="E28" s="1029" t="s">
        <v>1372</v>
      </c>
      <c r="F28" s="1029" t="s">
        <v>1359</v>
      </c>
      <c r="G28" s="1029" t="s">
        <v>1451</v>
      </c>
      <c r="H28" s="1029" t="s">
        <v>1357</v>
      </c>
      <c r="I28" s="1026" t="str">
        <f t="shared" si="0"/>
        <v xml:space="preserve">Cost Basis </v>
      </c>
      <c r="J28" s="1376" t="str">
        <f t="shared" si="1"/>
        <v>244</v>
      </c>
      <c r="K28" s="1376" t="str">
        <f t="shared" si="2"/>
        <v>Pricing Schedule</v>
      </c>
      <c r="L28" s="1089" t="s">
        <v>1541</v>
      </c>
      <c r="M28" s="1376">
        <v>244</v>
      </c>
      <c r="N28" s="1376"/>
    </row>
    <row r="29" spans="1:14" s="1370" customFormat="1" x14ac:dyDescent="0.25">
      <c r="A29" s="1029" t="s">
        <v>1476</v>
      </c>
      <c r="B29" s="1026" t="str">
        <f ca="1">_xlfn.CONCAT(IFERROR(SUBSTITUTE(ADDRESS(1,MATCH(A29,INDIRECT("'"&amp;E29&amp;"'"&amp;"!A4:Z4"),0),4),1,""),""),4)</f>
        <v>D4</v>
      </c>
      <c r="C29" s="1026" t="str">
        <f ca="1">_xlfn.CONCAT(IFERROR(SUBSTITUTE(ADDRESS(1,MATCH(A29,INDIRECT("'"&amp;E29&amp;"'"&amp;"!A4:Z4"),0),4),1,""),""),5)</f>
        <v>D5</v>
      </c>
      <c r="D29" s="1029" t="s">
        <v>1448</v>
      </c>
      <c r="E29" s="1029" t="s">
        <v>1372</v>
      </c>
      <c r="F29" s="1029" t="s">
        <v>1476</v>
      </c>
      <c r="G29" s="1029" t="s">
        <v>1453</v>
      </c>
      <c r="H29" s="1029" t="s">
        <v>1357</v>
      </c>
      <c r="I29" s="1026" t="str">
        <f t="shared" si="0"/>
        <v>Margin Basis Code</v>
      </c>
      <c r="J29" s="1376" t="str">
        <f t="shared" si="1"/>
        <v>245</v>
      </c>
      <c r="K29" s="1376" t="str">
        <f t="shared" si="2"/>
        <v>Pricing Schedule</v>
      </c>
      <c r="L29" s="1089" t="s">
        <v>1476</v>
      </c>
      <c r="M29" s="1376">
        <v>245</v>
      </c>
      <c r="N29" s="1376"/>
    </row>
    <row r="30" spans="1:14" s="1370" customFormat="1" x14ac:dyDescent="0.25">
      <c r="A30" s="1029" t="s">
        <v>1360</v>
      </c>
      <c r="B30" s="1026" t="str">
        <f ca="1">_xlfn.CONCAT(IFERROR(SUBSTITUTE(ADDRESS(1,MATCH(A30,INDIRECT("'"&amp;E30&amp;"'"&amp;"!A4:Z4"),0),4),1,""),""),4)</f>
        <v>E4</v>
      </c>
      <c r="C30" s="1026" t="str">
        <f ca="1">_xlfn.CONCAT(IFERROR(SUBSTITUTE(ADDRESS(1,MATCH(A30,INDIRECT("'"&amp;E30&amp;"'"&amp;"!A4:Z4"),0),4),1,""),""),5)</f>
        <v>E5</v>
      </c>
      <c r="D30" s="1029" t="s">
        <v>1448</v>
      </c>
      <c r="E30" s="1029" t="s">
        <v>1372</v>
      </c>
      <c r="F30" s="1029" t="s">
        <v>1360</v>
      </c>
      <c r="G30" s="1029" t="s">
        <v>1468</v>
      </c>
      <c r="H30" s="1029" t="s">
        <v>1357</v>
      </c>
      <c r="I30" s="1026" t="str">
        <f t="shared" si="0"/>
        <v>Margin Calculation Code</v>
      </c>
      <c r="J30" s="1376" t="str">
        <f t="shared" si="1"/>
        <v>246</v>
      </c>
      <c r="K30" s="1376" t="str">
        <f t="shared" si="2"/>
        <v>Pricing Schedule</v>
      </c>
      <c r="L30" s="1089" t="s">
        <v>1360</v>
      </c>
      <c r="M30" s="1376">
        <v>246</v>
      </c>
      <c r="N30" s="1376"/>
    </row>
    <row r="31" spans="1:14" s="1370" customFormat="1" x14ac:dyDescent="0.25">
      <c r="A31" s="1029" t="s">
        <v>1570</v>
      </c>
      <c r="B31" s="1026" t="str">
        <f>IFERROR(_xlfn.CONCAT("C",MATCH(A31,[2]Welcome!C$1:C$60,0)),"")</f>
        <v>C20</v>
      </c>
      <c r="C31" s="1026" t="str">
        <f>IFERROR(_xlfn.CONCAT("D",MATCH(A31,[2]Welcome!C$1:C$61,0)),"")</f>
        <v>D20</v>
      </c>
      <c r="D31" s="1029" t="s">
        <v>1448</v>
      </c>
      <c r="E31" s="1029" t="s">
        <v>1472</v>
      </c>
      <c r="F31" s="1029" t="s">
        <v>1473</v>
      </c>
      <c r="G31" s="1029" t="s">
        <v>1474</v>
      </c>
      <c r="H31" s="1029" t="s">
        <v>1466</v>
      </c>
      <c r="I31" s="1026" t="str">
        <f t="shared" si="0"/>
        <v>Proprietary Slots Additional Markup:</v>
      </c>
      <c r="J31" s="1376" t="str">
        <f t="shared" si="1"/>
        <v>28</v>
      </c>
      <c r="K31" s="1376" t="str">
        <f t="shared" si="2"/>
        <v>Welcome</v>
      </c>
      <c r="L31" s="1376" t="s">
        <v>1525</v>
      </c>
      <c r="M31" s="1376">
        <v>28</v>
      </c>
      <c r="N31" s="1376"/>
    </row>
    <row r="32" spans="1:14" s="1370" customFormat="1" x14ac:dyDescent="0.25">
      <c r="A32" s="1029" t="s">
        <v>245</v>
      </c>
      <c r="B32" s="1026" t="str">
        <f ca="1">_xlfn.CONCAT(IFERROR(SUBSTITUTE(ADDRESS(1,MATCH('[2]Mapping Sheet'!A32,INDIRECT("'"&amp;E32&amp;"'"&amp;"!A25:Z25"),0),4),1,""),""),25)</f>
        <v>C25</v>
      </c>
      <c r="C32" s="1029" t="str">
        <f ca="1">_xlfn.CONCAT(IFERROR(SUBSTITUTE(ADDRESS(1,MATCH('[2]Mapping Sheet'!A32,INDIRECT("'"&amp;E32&amp;"'"&amp;"!A25:Z25"),0),4),1,""),""),26)</f>
        <v>C26</v>
      </c>
      <c r="D32" s="1029" t="s">
        <v>1448</v>
      </c>
      <c r="E32" s="1029" t="s">
        <v>1472</v>
      </c>
      <c r="F32" s="1029" t="s">
        <v>84</v>
      </c>
      <c r="G32" s="1029" t="s">
        <v>1451</v>
      </c>
      <c r="H32" s="1029" t="s">
        <v>1475</v>
      </c>
      <c r="I32" s="1026" t="str">
        <f t="shared" si="0"/>
        <v/>
      </c>
      <c r="J32" s="1376" t="str">
        <f t="shared" si="1"/>
        <v/>
      </c>
      <c r="K32" s="1376" t="str">
        <f t="shared" si="2"/>
        <v/>
      </c>
      <c r="L32" s="1376"/>
      <c r="M32" s="1376"/>
      <c r="N32" s="1376"/>
    </row>
    <row r="33" spans="1:15" s="1370" customFormat="1" x14ac:dyDescent="0.25">
      <c r="A33" s="1029" t="s">
        <v>266</v>
      </c>
      <c r="B33" s="1026" t="str">
        <f ca="1">_xlfn.CONCAT(IFERROR(SUBSTITUTE(ADDRESS(1,MATCH('[2]Mapping Sheet'!A33,INDIRECT("'"&amp;E33&amp;"'"&amp;"!A25:Z25"),0),4),1,""),""),25)</f>
        <v>G25</v>
      </c>
      <c r="C33" s="1029" t="str">
        <f ca="1">_xlfn.CONCAT(IFERROR(SUBSTITUTE(ADDRESS(1,MATCH('[2]Mapping Sheet'!A33,INDIRECT("'"&amp;E33&amp;"'"&amp;"!A25:Z25"),0),4),1,""),""),26)</f>
        <v>G26</v>
      </c>
      <c r="D33" s="1029" t="s">
        <v>1448</v>
      </c>
      <c r="E33" s="1029" t="s">
        <v>1472</v>
      </c>
      <c r="F33" s="1029" t="s">
        <v>266</v>
      </c>
      <c r="G33" s="1029" t="s">
        <v>1453</v>
      </c>
      <c r="H33" s="1029" t="s">
        <v>1475</v>
      </c>
      <c r="I33" s="1026" t="str">
        <f t="shared" si="0"/>
        <v/>
      </c>
      <c r="J33" s="1376" t="str">
        <f t="shared" si="1"/>
        <v/>
      </c>
      <c r="K33" s="1376" t="str">
        <f t="shared" si="2"/>
        <v/>
      </c>
      <c r="L33" s="1376"/>
      <c r="M33" s="1376"/>
      <c r="N33" s="1376"/>
    </row>
    <row r="34" spans="1:15" s="1370" customFormat="1" x14ac:dyDescent="0.25">
      <c r="A34" s="1029" t="s">
        <v>657</v>
      </c>
      <c r="B34" s="1026" t="str">
        <f ca="1">_xlfn.CONCAT(IFERROR(SUBSTITUTE(ADDRESS(1,MATCH('[2]Mapping Sheet'!A34,INDIRECT("'"&amp;E34&amp;"'"&amp;"!A25:Z25"),0),4),1,""),""),25)</f>
        <v>D25</v>
      </c>
      <c r="C34" s="1029" t="str">
        <f ca="1">_xlfn.CONCAT(IFERROR(SUBSTITUTE(ADDRESS(1,MATCH('[2]Mapping Sheet'!A34,INDIRECT("'"&amp;E34&amp;"'"&amp;"!A25:Z25"),0),4),1,""),""),26)</f>
        <v>D26</v>
      </c>
      <c r="D34" s="1029" t="s">
        <v>1448</v>
      </c>
      <c r="E34" s="1029" t="s">
        <v>1472</v>
      </c>
      <c r="F34" s="1029" t="s">
        <v>657</v>
      </c>
      <c r="G34" s="1029" t="s">
        <v>1468</v>
      </c>
      <c r="H34" s="1029" t="s">
        <v>1475</v>
      </c>
      <c r="I34" s="1026" t="str">
        <f t="shared" si="0"/>
        <v>Dry</v>
      </c>
      <c r="J34" s="1376" t="str">
        <f t="shared" si="1"/>
        <v>29</v>
      </c>
      <c r="K34" s="1376" t="str">
        <f t="shared" si="2"/>
        <v>Welcome</v>
      </c>
      <c r="L34" s="1376" t="s">
        <v>657</v>
      </c>
      <c r="M34" s="1376">
        <v>29</v>
      </c>
      <c r="N34" s="1376"/>
    </row>
    <row r="35" spans="1:15" s="1370" customFormat="1" x14ac:dyDescent="0.25">
      <c r="A35" s="1029" t="s">
        <v>1248</v>
      </c>
      <c r="B35" s="1026" t="str">
        <f ca="1">_xlfn.CONCAT(IFERROR(SUBSTITUTE(ADDRESS(1,MATCH('[2]Mapping Sheet'!A35,INDIRECT("'"&amp;E35&amp;"'"&amp;"!A25:Z25"),0),4),1,""),""),25)</f>
        <v>E25</v>
      </c>
      <c r="C35" s="1029" t="str">
        <f ca="1">_xlfn.CONCAT(IFERROR(SUBSTITUTE(ADDRESS(1,MATCH('[2]Mapping Sheet'!A35,INDIRECT("'"&amp;E35&amp;"'"&amp;"!A25:Z25"),0),4),1,""),""),26)</f>
        <v>E26</v>
      </c>
      <c r="D35" s="1029" t="s">
        <v>1448</v>
      </c>
      <c r="E35" s="1029" t="s">
        <v>1472</v>
      </c>
      <c r="F35" s="1029" t="s">
        <v>1248</v>
      </c>
      <c r="G35" s="1029" t="s">
        <v>662</v>
      </c>
      <c r="H35" s="1029" t="s">
        <v>1475</v>
      </c>
      <c r="I35" s="1026" t="str">
        <f t="shared" si="0"/>
        <v>Frozen</v>
      </c>
      <c r="J35" s="1376" t="str">
        <f t="shared" si="1"/>
        <v>30</v>
      </c>
      <c r="K35" s="1376" t="str">
        <f t="shared" si="2"/>
        <v>Welcome</v>
      </c>
      <c r="L35" s="1376" t="s">
        <v>1248</v>
      </c>
      <c r="M35" s="1376">
        <v>30</v>
      </c>
      <c r="N35" s="1376"/>
    </row>
    <row r="36" spans="1:15" s="1370" customFormat="1" x14ac:dyDescent="0.25">
      <c r="A36" s="1029" t="s">
        <v>1249</v>
      </c>
      <c r="B36" s="1026" t="str">
        <f ca="1">_xlfn.CONCAT(IFERROR(SUBSTITUTE(ADDRESS(1,MATCH('[2]Mapping Sheet'!A36,INDIRECT("'"&amp;E36&amp;"'"&amp;"!A25:Z25"),0),4),1,""),""),25)</f>
        <v>F25</v>
      </c>
      <c r="C36" s="1029" t="str">
        <f ca="1">_xlfn.CONCAT(IFERROR(SUBSTITUTE(ADDRESS(1,MATCH('[2]Mapping Sheet'!A36,INDIRECT("'"&amp;E36&amp;"'"&amp;"!A25:Z25"),0),4),1,""),""),26)</f>
        <v>F26</v>
      </c>
      <c r="D36" s="1029" t="s">
        <v>1448</v>
      </c>
      <c r="E36" s="1029" t="s">
        <v>1472</v>
      </c>
      <c r="F36" s="1029" t="s">
        <v>1249</v>
      </c>
      <c r="G36" s="1029" t="s">
        <v>1454</v>
      </c>
      <c r="H36" s="1029" t="s">
        <v>1475</v>
      </c>
      <c r="I36" s="1026" t="str">
        <f t="shared" si="0"/>
        <v>Refrigerated</v>
      </c>
      <c r="J36" s="1376" t="str">
        <f t="shared" si="1"/>
        <v>31</v>
      </c>
      <c r="K36" s="1376" t="str">
        <f t="shared" si="2"/>
        <v>Welcome</v>
      </c>
      <c r="L36" s="1376" t="s">
        <v>1249</v>
      </c>
      <c r="M36" s="1376">
        <v>31</v>
      </c>
      <c r="N36" s="1376"/>
    </row>
    <row r="37" spans="1:15" s="1370" customFormat="1" x14ac:dyDescent="0.25">
      <c r="A37" s="1029" t="s">
        <v>1250</v>
      </c>
      <c r="B37" s="1026" t="str">
        <f ca="1">_xlfn.CONCAT(IFERROR(SUBSTITUTE(ADDRESS(1,MATCH('[2]Mapping Sheet'!A37,INDIRECT("'"&amp;E37&amp;"'"&amp;"!A25:Z25"),0),4),1,""),""),25)</f>
        <v>H25</v>
      </c>
      <c r="C37" s="1029" t="str">
        <f ca="1">_xlfn.CONCAT(IFERROR(SUBSTITUTE(ADDRESS(1,MATCH('[2]Mapping Sheet'!A37,INDIRECT("'"&amp;E37&amp;"'"&amp;"!A25:Z25"),0),4),1,""),""),26)</f>
        <v>H26</v>
      </c>
      <c r="D37" s="1029" t="s">
        <v>1448</v>
      </c>
      <c r="E37" s="1029" t="s">
        <v>1472</v>
      </c>
      <c r="F37" s="1029" t="s">
        <v>1250</v>
      </c>
      <c r="G37" s="1029" t="s">
        <v>1459</v>
      </c>
      <c r="H37" s="1029" t="s">
        <v>1475</v>
      </c>
      <c r="I37" s="1026" t="str">
        <f t="shared" si="0"/>
        <v>Proprietary Inventory Turn</v>
      </c>
      <c r="J37" s="1376" t="str">
        <f t="shared" si="1"/>
        <v>32</v>
      </c>
      <c r="K37" s="1376" t="str">
        <f t="shared" si="2"/>
        <v>Welcome</v>
      </c>
      <c r="L37" s="1376" t="s">
        <v>1250</v>
      </c>
      <c r="M37" s="1376">
        <v>32</v>
      </c>
      <c r="N37" s="1376"/>
    </row>
    <row r="38" spans="1:15" s="1370" customFormat="1" x14ac:dyDescent="0.25">
      <c r="A38" s="1029" t="s">
        <v>1269</v>
      </c>
      <c r="B38" s="1026" t="str">
        <f>IFERROR(_xlfn.CONCAT("C",MATCH(A38,[2]Welcome!C$1:C$60,0)),"")</f>
        <v>C8</v>
      </c>
      <c r="C38" s="1026" t="str">
        <f>IFERROR(_xlfn.CONCAT("D",MATCH(A38,[2]Welcome!C$1:C$61,0)),"")</f>
        <v>D8</v>
      </c>
      <c r="D38" s="1029" t="s">
        <v>1448</v>
      </c>
      <c r="E38" s="1029" t="s">
        <v>1472</v>
      </c>
      <c r="F38" s="1029"/>
      <c r="G38" s="1029"/>
      <c r="H38" s="1029"/>
      <c r="I38" s="1026" t="str">
        <f t="shared" si="0"/>
        <v>Agreement Classification:</v>
      </c>
      <c r="J38" s="1376" t="str">
        <f t="shared" si="1"/>
        <v>5</v>
      </c>
      <c r="K38" s="1376" t="str">
        <f t="shared" si="2"/>
        <v>Welcome</v>
      </c>
      <c r="L38" s="1376" t="s">
        <v>1501</v>
      </c>
      <c r="M38" s="1376">
        <v>5</v>
      </c>
      <c r="N38" s="1376"/>
    </row>
    <row r="39" spans="1:15" s="1370" customFormat="1" x14ac:dyDescent="0.25">
      <c r="A39" s="1029" t="s">
        <v>1497</v>
      </c>
      <c r="B39" s="1026" t="str">
        <f>IFERROR(_xlfn.CONCAT("C",MATCH(A39,[2]Welcome!C$1:C$60,0)),"")</f>
        <v>C12</v>
      </c>
      <c r="C39" s="1026" t="str">
        <f>IFERROR(_xlfn.CONCAT("D",MATCH(A39,[2]Welcome!C$1:C$61,0)),"")</f>
        <v>D12</v>
      </c>
      <c r="D39" s="1029" t="s">
        <v>1448</v>
      </c>
      <c r="E39" s="1029" t="s">
        <v>1472</v>
      </c>
      <c r="F39" s="1029"/>
      <c r="G39" s="1029"/>
      <c r="H39" s="1029"/>
      <c r="I39" s="1026" t="str">
        <f t="shared" si="0"/>
        <v>Initial Agreement Terms:</v>
      </c>
      <c r="J39" s="1376" t="str">
        <f t="shared" si="1"/>
        <v>6</v>
      </c>
      <c r="K39" s="1376" t="str">
        <f t="shared" si="2"/>
        <v>Welcome</v>
      </c>
      <c r="L39" s="1376" t="s">
        <v>1502</v>
      </c>
      <c r="M39" s="1376">
        <v>6</v>
      </c>
      <c r="N39" s="1376"/>
    </row>
    <row r="40" spans="1:15" s="1370" customFormat="1" x14ac:dyDescent="0.25">
      <c r="A40" s="1029" t="s">
        <v>1498</v>
      </c>
      <c r="B40" s="1026" t="str">
        <f>IFERROR(_xlfn.CONCAT("C",MATCH(A40,[2]Welcome!C$1:C$60,0)),"")</f>
        <v>C16</v>
      </c>
      <c r="C40" s="1026" t="str">
        <f>IFERROR(_xlfn.CONCAT("D",MATCH(A40,[2]Welcome!C$1:C$61,0)),"")</f>
        <v>D16</v>
      </c>
      <c r="D40" s="1029" t="s">
        <v>1448</v>
      </c>
      <c r="E40" s="1029" t="s">
        <v>1472</v>
      </c>
      <c r="F40" s="1029"/>
      <c r="G40" s="1029"/>
      <c r="H40" s="1029"/>
      <c r="I40" s="1026" t="str">
        <f t="shared" si="0"/>
        <v>Credit Card Payment:</v>
      </c>
      <c r="J40" s="1376" t="str">
        <f t="shared" si="1"/>
        <v>26</v>
      </c>
      <c r="K40" s="1376" t="str">
        <f t="shared" si="2"/>
        <v>Welcome</v>
      </c>
      <c r="L40" s="1376" t="s">
        <v>1503</v>
      </c>
      <c r="M40" s="1376">
        <v>26</v>
      </c>
      <c r="N40" s="1376"/>
    </row>
    <row r="41" spans="1:15" s="1370" customFormat="1" x14ac:dyDescent="0.25">
      <c r="A41" s="1029" t="s">
        <v>1499</v>
      </c>
      <c r="B41" s="1026" t="str">
        <f>IFERROR(_xlfn.CONCAT("C",MATCH(A41,[2]Welcome!C$1:C$60,0)),"")</f>
        <v>C18</v>
      </c>
      <c r="C41" s="1026" t="str">
        <f>IFERROR(_xlfn.CONCAT("D",MATCH(A41,[2]Welcome!C$1:C$61,0)),"")</f>
        <v>D18</v>
      </c>
      <c r="D41" s="1029" t="s">
        <v>1448</v>
      </c>
      <c r="E41" s="1029" t="s">
        <v>1472</v>
      </c>
      <c r="F41" s="1029"/>
      <c r="G41" s="1029"/>
      <c r="H41" s="1029"/>
      <c r="I41" s="1026" t="str">
        <f t="shared" si="0"/>
        <v>Proprietary Slots Included Flag:</v>
      </c>
      <c r="J41" s="1376" t="str">
        <f t="shared" si="1"/>
        <v>27</v>
      </c>
      <c r="K41" s="1376" t="str">
        <f t="shared" si="2"/>
        <v>Welcome</v>
      </c>
      <c r="L41" s="1376" t="s">
        <v>1504</v>
      </c>
      <c r="M41" s="1376">
        <v>27</v>
      </c>
      <c r="N41" s="1376"/>
    </row>
    <row r="42" spans="1:15" s="1370" customFormat="1" x14ac:dyDescent="0.25">
      <c r="A42" s="1029" t="s">
        <v>1568</v>
      </c>
      <c r="B42" s="1026" t="str">
        <f>IFERROR(_xlfn.CONCAT("C",MATCH(A42,[2]Welcome!C$1:C$60,0)),"")</f>
        <v>C14</v>
      </c>
      <c r="C42" s="1026" t="str">
        <f>IFERROR(_xlfn.CONCAT("D",MATCH(A42,[2]Welcome!C$1:C$61,0)),"")</f>
        <v>D14</v>
      </c>
      <c r="D42" s="1029" t="s">
        <v>1448</v>
      </c>
      <c r="E42" s="1029" t="s">
        <v>1472</v>
      </c>
      <c r="F42" s="1029"/>
      <c r="G42" s="1029"/>
      <c r="H42" s="1029"/>
      <c r="I42" s="1026" t="str">
        <f t="shared" si="0"/>
        <v># of Locations:</v>
      </c>
      <c r="J42" s="1376" t="str">
        <f t="shared" si="1"/>
        <v>33</v>
      </c>
      <c r="K42" s="1376" t="str">
        <f t="shared" si="2"/>
        <v>Welcome</v>
      </c>
      <c r="L42" s="1376" t="s">
        <v>1572</v>
      </c>
      <c r="M42" s="1376">
        <v>33</v>
      </c>
      <c r="N42" s="1376"/>
    </row>
    <row r="43" spans="1:15" s="1370" customFormat="1" x14ac:dyDescent="0.25">
      <c r="A43" s="1104" t="s">
        <v>1274</v>
      </c>
      <c r="B43" s="1029" t="str">
        <f ca="1">_xlfn.IFNA(_xlfn.CONCAT(SUBSTITUTE(ADDRESS(1,MATCH(A43,INDIRECT("'"&amp;E43&amp;"'"&amp;"!A5:Z5"),0),4),1,""),6),"")</f>
        <v>H6</v>
      </c>
      <c r="C43" s="1029" t="str">
        <f ca="1">_xlfn.IFNA(SUBSTITUTE(ADDRESS(1,MATCH(A43,INDIRECT("'"&amp;E43&amp;"'"&amp;"!A5:Z5"),0),4),1,""),"")</f>
        <v>H</v>
      </c>
      <c r="D43" s="1029" t="s">
        <v>1455</v>
      </c>
      <c r="E43" s="1029" t="s">
        <v>917</v>
      </c>
      <c r="F43" s="1029"/>
      <c r="G43" s="1029"/>
      <c r="H43" s="1029"/>
      <c r="I43" s="1026" t="str">
        <f t="shared" si="0"/>
        <v>Pyramid Segment</v>
      </c>
      <c r="J43" s="1376" t="str">
        <f t="shared" si="1"/>
        <v>35</v>
      </c>
      <c r="K43" s="1376" t="str">
        <f t="shared" si="2"/>
        <v>Customer Inputs</v>
      </c>
      <c r="L43" s="1029" t="s">
        <v>1274</v>
      </c>
      <c r="M43" s="1376">
        <v>35</v>
      </c>
      <c r="N43" s="1029"/>
    </row>
    <row r="44" spans="1:15" s="1370" customFormat="1" x14ac:dyDescent="0.25">
      <c r="A44" s="1105" t="s">
        <v>1355</v>
      </c>
      <c r="B44" s="1029" t="str">
        <f ca="1">_xlfn.IFNA(_xlfn.CONCAT(SUBSTITUTE(ADDRESS(1,MATCH(A44,INDIRECT("'"&amp;E44&amp;"'"&amp;"!A5:Z5"),0),4),1,""),6),"")</f>
        <v>I6</v>
      </c>
      <c r="C44" s="1029" t="str">
        <f ca="1">_xlfn.IFNA(SUBSTITUTE(ADDRESS(1,MATCH(A44,INDIRECT("'"&amp;E44&amp;"'"&amp;"!A5:Z5"),0),4),1,""),"")</f>
        <v>I</v>
      </c>
      <c r="D44" s="1029" t="s">
        <v>1455</v>
      </c>
      <c r="E44" s="1029" t="s">
        <v>917</v>
      </c>
      <c r="F44" s="1029"/>
      <c r="G44" s="1029"/>
      <c r="H44" s="1029"/>
      <c r="I44" s="1026" t="str">
        <f t="shared" si="0"/>
        <v>Agreement Annual Purchase Commitment</v>
      </c>
      <c r="J44" s="1376" t="str">
        <f t="shared" si="1"/>
        <v>37</v>
      </c>
      <c r="K44" s="1376" t="str">
        <f t="shared" si="2"/>
        <v>Customer Inputs</v>
      </c>
      <c r="L44" s="52" t="s">
        <v>1355</v>
      </c>
      <c r="M44" s="1376">
        <v>37</v>
      </c>
      <c r="N44" s="1029"/>
    </row>
    <row r="45" spans="1:15" s="1370" customFormat="1" ht="30" x14ac:dyDescent="0.25">
      <c r="A45" s="1104" t="s">
        <v>1356</v>
      </c>
      <c r="B45" s="1029" t="str">
        <f ca="1">_xlfn.IFNA(_xlfn.CONCAT(SUBSTITUTE(ADDRESS(1,MATCH(A45,INDIRECT("'"&amp;E45&amp;"'"&amp;"!A5:Z5"),0),4),1,""),6),"")</f>
        <v>J6</v>
      </c>
      <c r="C45" s="1029" t="str">
        <f ca="1">_xlfn.IFNA(SUBSTITUTE(ADDRESS(1,MATCH(A45,INDIRECT("'"&amp;E45&amp;"'"&amp;"!A5:Z5"),0),4),1,""),"")</f>
        <v>J</v>
      </c>
      <c r="D45" s="1029" t="s">
        <v>1455</v>
      </c>
      <c r="E45" s="1029" t="s">
        <v>917</v>
      </c>
      <c r="F45" s="1029"/>
      <c r="G45" s="1029"/>
      <c r="H45" s="1029"/>
      <c r="I45" s="1026" t="str">
        <f t="shared" si="0"/>
        <v>Agreement Deliveries Per Customer Unit Per Week</v>
      </c>
      <c r="J45" s="1376" t="str">
        <f t="shared" si="1"/>
        <v>38</v>
      </c>
      <c r="K45" s="1376" t="str">
        <f t="shared" si="2"/>
        <v>Customer Inputs</v>
      </c>
      <c r="L45" s="1029" t="s">
        <v>1356</v>
      </c>
      <c r="M45" s="1376">
        <v>38</v>
      </c>
      <c r="N45" s="1029"/>
    </row>
    <row r="46" spans="1:15" s="1370" customFormat="1" x14ac:dyDescent="0.25">
      <c r="A46" s="1104" t="s">
        <v>1277</v>
      </c>
      <c r="B46" s="1029" t="str">
        <f ca="1">_xlfn.IFNA(_xlfn.CONCAT(IF('[2]Customer Inputs'!$U$6="Existing",SUBSTITUTE(ADDRESS(1,MATCH(O46,INDIRECT("'"&amp;E46&amp;"'"&amp;"!$A$5:$Z$5"),0),4),1,""),SUBSTITUTE(ADDRESS(1,MATCH(A46,INDIRECT("'"&amp;E46&amp;"'"&amp;"!A$5:Z$5"),0),4),1,"")),6),"")</f>
        <v>P6</v>
      </c>
      <c r="C46" s="1029" t="str">
        <f ca="1">_xlfn.IFNA(IF('[2]Customer Inputs'!$U$6="Existing",SUBSTITUTE(ADDRESS(1,MATCH(O46,INDIRECT("'"&amp;E46&amp;"'"&amp;"!$A$5:$Z$5"),0),4),1,""),SUBSTITUTE(ADDRESS(1,MATCH(A46,INDIRECT("'"&amp;E46&amp;"'"&amp;"!A$5:Z$5"),0),4),1,"")),"")</f>
        <v>P</v>
      </c>
      <c r="D46" s="1029" t="s">
        <v>1455</v>
      </c>
      <c r="E46" s="1029" t="s">
        <v>917</v>
      </c>
      <c r="F46" s="1029"/>
      <c r="G46" s="1029"/>
      <c r="H46" s="1029"/>
      <c r="I46" s="1026" t="str">
        <f t="shared" si="0"/>
        <v/>
      </c>
      <c r="J46" s="1376"/>
      <c r="K46" s="1376" t="str">
        <f t="shared" si="2"/>
        <v/>
      </c>
      <c r="L46" s="1029" t="s">
        <v>1277</v>
      </c>
      <c r="M46" s="1376">
        <v>39</v>
      </c>
      <c r="N46" s="1029"/>
      <c r="O46" s="1370" t="s">
        <v>915</v>
      </c>
    </row>
    <row r="47" spans="1:15" s="1370" customFormat="1" x14ac:dyDescent="0.25">
      <c r="A47" s="1106" t="s">
        <v>1278</v>
      </c>
      <c r="B47" s="1029" t="str">
        <f ca="1">_xlfn.IFNA(_xlfn.CONCAT(IF('[2]Customer Inputs'!$U$6="Existing",SUBSTITUTE(ADDRESS(1,MATCH(O47,INDIRECT("'"&amp;E47&amp;"'"&amp;"!$A$5:$Z$5"),0),4),1,""),SUBSTITUTE(ADDRESS(1,MATCH(A47,INDIRECT("'"&amp;E47&amp;"'"&amp;"!A$5:Z$5"),0),4),1,"")),6),"")</f>
        <v>Q6</v>
      </c>
      <c r="C47" s="1029" t="str">
        <f ca="1">_xlfn.IFNA(IF('[2]Customer Inputs'!$U$6="Existing",SUBSTITUTE(ADDRESS(1,MATCH(O47,INDIRECT("'"&amp;E47&amp;"'"&amp;"!$A$5:$Z$5"),0),4),1,""),SUBSTITUTE(ADDRESS(1,MATCH(A47,INDIRECT("'"&amp;E47&amp;"'"&amp;"!A$5:Z$5"),0),4),1,"")),"")</f>
        <v>Q</v>
      </c>
      <c r="D47" s="1029" t="s">
        <v>1455</v>
      </c>
      <c r="E47" s="1029" t="s">
        <v>917</v>
      </c>
      <c r="F47" s="1029"/>
      <c r="G47" s="1029"/>
      <c r="H47" s="1029"/>
      <c r="I47" s="1026" t="str">
        <f t="shared" si="0"/>
        <v/>
      </c>
      <c r="J47" s="1376"/>
      <c r="K47" s="1376" t="str">
        <f t="shared" si="2"/>
        <v/>
      </c>
      <c r="L47" s="1088" t="s">
        <v>1278</v>
      </c>
      <c r="M47" s="1376">
        <v>40</v>
      </c>
      <c r="N47" s="1029"/>
      <c r="O47" s="1370" t="s">
        <v>1275</v>
      </c>
    </row>
    <row r="48" spans="1:15" s="1370" customFormat="1" x14ac:dyDescent="0.25">
      <c r="A48" s="1106" t="s">
        <v>1279</v>
      </c>
      <c r="B48" s="1029" t="str">
        <f ca="1">_xlfn.IFNA(_xlfn.CONCAT(IF('[2]Customer Inputs'!$U$6="Existing",SUBSTITUTE(ADDRESS(1,MATCH(O48,INDIRECT("'"&amp;E48&amp;"'"&amp;"!$A$5:$Z$5"),0),4),1,""),SUBSTITUTE(ADDRESS(1,MATCH(A48,INDIRECT("'"&amp;E48&amp;"'"&amp;"!A$5:Z$5"),0),4),1,"")),6),"")</f>
        <v>R6</v>
      </c>
      <c r="C48" s="1029" t="str">
        <f ca="1">_xlfn.IFNA(IF('[2]Customer Inputs'!$U$6="Existing",SUBSTITUTE(ADDRESS(1,MATCH(O48,INDIRECT("'"&amp;E48&amp;"'"&amp;"!$A$5:$Z$5"),0),4),1,""),SUBSTITUTE(ADDRESS(1,MATCH(A48,INDIRECT("'"&amp;E48&amp;"'"&amp;"!A$5:Z$5"),0),4),1,"")),"")</f>
        <v>R</v>
      </c>
      <c r="D48" s="1029" t="s">
        <v>1455</v>
      </c>
      <c r="E48" s="1029" t="s">
        <v>917</v>
      </c>
      <c r="F48" s="1029"/>
      <c r="G48" s="1029"/>
      <c r="H48" s="1029"/>
      <c r="I48" s="1026" t="str">
        <f t="shared" si="0"/>
        <v/>
      </c>
      <c r="J48" s="1376"/>
      <c r="K48" s="1376" t="str">
        <f t="shared" si="2"/>
        <v/>
      </c>
      <c r="L48" s="1088" t="s">
        <v>1279</v>
      </c>
      <c r="M48" s="1376">
        <v>41</v>
      </c>
      <c r="N48" s="1029"/>
      <c r="O48" s="1370" t="s">
        <v>1282</v>
      </c>
    </row>
    <row r="49" spans="1:15" s="1370" customFormat="1" x14ac:dyDescent="0.25">
      <c r="A49" s="1106" t="s">
        <v>1280</v>
      </c>
      <c r="B49" s="1029" t="str">
        <f ca="1">_xlfn.IFNA(_xlfn.CONCAT(IF('[2]Customer Inputs'!$U$6="Existing",SUBSTITUTE(ADDRESS(1,MATCH(O49,INDIRECT("'"&amp;E49&amp;"'"&amp;"!$A$5:$Z$5"),0),4),1,""),SUBSTITUTE(ADDRESS(1,MATCH(A49,INDIRECT("'"&amp;E49&amp;"'"&amp;"!A$5:Z$5"),0),4),1,"")),6),"")</f>
        <v>T6</v>
      </c>
      <c r="C49" s="1029" t="str">
        <f ca="1">_xlfn.IFNA(IF('[2]Customer Inputs'!$U$6="Existing",SUBSTITUTE(ADDRESS(1,MATCH(O49,INDIRECT("'"&amp;E49&amp;"'"&amp;"!$A$5:$Z$5"),0),4),1,""),SUBSTITUTE(ADDRESS(1,MATCH(A49,INDIRECT("'"&amp;E49&amp;"'"&amp;"!A$5:Z$5"),0),4),1,"")),"")</f>
        <v>T</v>
      </c>
      <c r="D49" s="1029" t="s">
        <v>1455</v>
      </c>
      <c r="E49" s="1029" t="s">
        <v>917</v>
      </c>
      <c r="F49" s="1029"/>
      <c r="G49" s="1029"/>
      <c r="H49" s="1029"/>
      <c r="I49" s="1026" t="str">
        <f t="shared" si="0"/>
        <v/>
      </c>
      <c r="J49" s="1376"/>
      <c r="K49" s="1376" t="str">
        <f t="shared" si="2"/>
        <v/>
      </c>
      <c r="L49" s="1088" t="s">
        <v>1280</v>
      </c>
      <c r="M49" s="1376">
        <v>42</v>
      </c>
      <c r="N49" s="1029"/>
      <c r="O49" s="1370" t="s">
        <v>1276</v>
      </c>
    </row>
    <row r="50" spans="1:15" s="1370" customFormat="1" x14ac:dyDescent="0.25">
      <c r="A50" s="1106" t="s">
        <v>1281</v>
      </c>
      <c r="B50" s="1029" t="str">
        <f ca="1">_xlfn.IFNA(_xlfn.CONCAT(SUBSTITUTE(ADDRESS(1,MATCH(A50,INDIRECT("'"&amp;E50&amp;"'"&amp;"!A5:Z5"),0),4),1,""),6),"")</f>
        <v>U6</v>
      </c>
      <c r="C50" s="1029" t="str">
        <f ca="1">_xlfn.IFNA(SUBSTITUTE(ADDRESS(1,MATCH(A50,INDIRECT("'"&amp;E50&amp;"'"&amp;"!A5:Z5"),0),4),1,""),"")</f>
        <v>U</v>
      </c>
      <c r="D50" s="1029" t="s">
        <v>1455</v>
      </c>
      <c r="E50" s="1029" t="s">
        <v>917</v>
      </c>
      <c r="F50" s="1029"/>
      <c r="G50" s="1029"/>
      <c r="H50" s="1029"/>
      <c r="I50" s="1026" t="str">
        <f t="shared" si="0"/>
        <v/>
      </c>
      <c r="J50" s="1376"/>
      <c r="K50" s="1376" t="str">
        <f t="shared" si="2"/>
        <v/>
      </c>
      <c r="L50" s="1088" t="s">
        <v>1281</v>
      </c>
      <c r="M50" s="1376">
        <v>43</v>
      </c>
      <c r="N50" s="1029"/>
    </row>
    <row r="51" spans="1:15" s="1370" customFormat="1" x14ac:dyDescent="0.25">
      <c r="A51" s="1106" t="s">
        <v>1437</v>
      </c>
      <c r="B51" s="1029" t="str">
        <f ca="1">_xlfn.IFNA(_xlfn.CONCAT(SUBSTITUTE(ADDRESS(1,MATCH(A51,INDIRECT("'"&amp;E51&amp;"'"&amp;"!A5:Z5"),0),4),1,""),6),"")</f>
        <v>V6</v>
      </c>
      <c r="C51" s="1029" t="str">
        <f ca="1">_xlfn.IFNA(SUBSTITUTE(ADDRESS(1,MATCH(A51,INDIRECT("'"&amp;E51&amp;"'"&amp;"!A5:Z5"),0),4),1,""),"")</f>
        <v>V</v>
      </c>
      <c r="D51" s="1029" t="s">
        <v>1455</v>
      </c>
      <c r="E51" s="1029" t="s">
        <v>917</v>
      </c>
      <c r="F51" s="1029"/>
      <c r="G51" s="1029"/>
      <c r="H51" s="1029"/>
      <c r="I51" s="1026" t="str">
        <f t="shared" si="0"/>
        <v/>
      </c>
      <c r="J51" s="1376"/>
      <c r="K51" s="1376" t="str">
        <f t="shared" si="2"/>
        <v/>
      </c>
      <c r="L51" s="1088" t="s">
        <v>1528</v>
      </c>
      <c r="M51" s="1376">
        <v>44</v>
      </c>
      <c r="N51" s="1029"/>
    </row>
    <row r="52" spans="1:15" s="1370" customFormat="1" x14ac:dyDescent="0.25">
      <c r="A52" s="1106" t="s">
        <v>1735</v>
      </c>
      <c r="B52" s="1029" t="str">
        <f ca="1">_xlfn.IFNA(_xlfn.CONCAT(SUBSTITUTE(ADDRESS(1,MATCH(A52,INDIRECT("'"&amp;E52&amp;"'"&amp;"!A5:Z5"),0),4),1,""),6),"")</f>
        <v/>
      </c>
      <c r="C52" s="1029" t="str">
        <f ca="1">_xlfn.IFNA(SUBSTITUTE(ADDRESS(1,MATCH(A52,INDIRECT("'"&amp;E52&amp;"'"&amp;"!A5:Z5"),0),4),1,""),"")</f>
        <v/>
      </c>
      <c r="D52" s="1029" t="s">
        <v>1455</v>
      </c>
      <c r="E52" s="1029" t="s">
        <v>917</v>
      </c>
      <c r="F52" s="1029"/>
      <c r="G52" s="1029"/>
      <c r="H52" s="1029"/>
      <c r="I52" s="1026" t="str">
        <f t="shared" si="0"/>
        <v/>
      </c>
      <c r="J52" s="1376" t="str">
        <f t="shared" si="1"/>
        <v/>
      </c>
      <c r="K52" s="1376" t="str">
        <f t="shared" si="2"/>
        <v/>
      </c>
      <c r="L52" s="1088" t="s">
        <v>1735</v>
      </c>
      <c r="M52" s="1376"/>
      <c r="N52" s="1029"/>
    </row>
    <row r="53" spans="1:15" s="1370" customFormat="1" x14ac:dyDescent="0.25">
      <c r="A53" s="1107" t="s">
        <v>1274</v>
      </c>
      <c r="B53" s="1029" t="str">
        <f ca="1">_xlfn.IFNA(_xlfn.CONCAT(SUBSTITUTE(ADDRESS(1,MATCH(A53,INDIRECT("'"&amp;E53&amp;"'"&amp;"!A5:Z5"),0),4),1,""),7),"")</f>
        <v>H7</v>
      </c>
      <c r="C53" s="1029" t="str">
        <f t="shared" ref="C53:C115" ca="1" si="3">_xlfn.IFNA(SUBSTITUTE(ADDRESS(1,MATCH(A53,INDIRECT("'"&amp;E53&amp;"'"&amp;"!A5:Z5"),0),4),1,""),"")</f>
        <v>H</v>
      </c>
      <c r="D53" s="1029" t="s">
        <v>1455</v>
      </c>
      <c r="E53" s="1029" t="s">
        <v>917</v>
      </c>
      <c r="F53" s="1029"/>
      <c r="G53" s="1029"/>
      <c r="H53" s="1029"/>
      <c r="I53" s="1026" t="str">
        <f t="shared" si="0"/>
        <v>Pyramid Segment</v>
      </c>
      <c r="J53" s="1376" t="str">
        <f t="shared" si="1"/>
        <v>56</v>
      </c>
      <c r="K53" s="1376" t="str">
        <f t="shared" si="2"/>
        <v>Customer Inputs</v>
      </c>
      <c r="L53" s="1029" t="s">
        <v>1274</v>
      </c>
      <c r="M53" s="1376">
        <v>56</v>
      </c>
      <c r="N53" s="1029"/>
    </row>
    <row r="54" spans="1:15" s="1370" customFormat="1" x14ac:dyDescent="0.25">
      <c r="A54" s="1108" t="s">
        <v>1355</v>
      </c>
      <c r="B54" s="1029" t="str">
        <f t="shared" ref="B54:B62" ca="1" si="4">_xlfn.IFNA(_xlfn.CONCAT(SUBSTITUTE(ADDRESS(1,MATCH(A54,INDIRECT("'"&amp;E54&amp;"'"&amp;"!A5:Z5"),0),4),1,""),7),"")</f>
        <v>I7</v>
      </c>
      <c r="C54" s="1029" t="str">
        <f t="shared" ca="1" si="3"/>
        <v>I</v>
      </c>
      <c r="D54" s="1029" t="s">
        <v>1455</v>
      </c>
      <c r="E54" s="1029" t="s">
        <v>917</v>
      </c>
      <c r="F54" s="1029"/>
      <c r="G54" s="1029"/>
      <c r="H54" s="1029"/>
      <c r="I54" s="1026" t="str">
        <f t="shared" si="0"/>
        <v>Agreement Annual Purchase Commitment</v>
      </c>
      <c r="J54" s="1376" t="str">
        <f t="shared" si="1"/>
        <v>58</v>
      </c>
      <c r="K54" s="1376" t="str">
        <f t="shared" si="2"/>
        <v>Customer Inputs</v>
      </c>
      <c r="L54" s="52" t="s">
        <v>1355</v>
      </c>
      <c r="M54" s="1376">
        <v>58</v>
      </c>
      <c r="N54" s="1029"/>
    </row>
    <row r="55" spans="1:15" s="1370" customFormat="1" ht="30" x14ac:dyDescent="0.25">
      <c r="A55" s="1107" t="s">
        <v>1356</v>
      </c>
      <c r="B55" s="1029" t="str">
        <f t="shared" ca="1" si="4"/>
        <v>J7</v>
      </c>
      <c r="C55" s="1029" t="str">
        <f t="shared" ca="1" si="3"/>
        <v>J</v>
      </c>
      <c r="D55" s="1029" t="s">
        <v>1455</v>
      </c>
      <c r="E55" s="1029" t="s">
        <v>917</v>
      </c>
      <c r="F55" s="1029"/>
      <c r="G55" s="1029"/>
      <c r="H55" s="1029"/>
      <c r="I55" s="1026" t="str">
        <f t="shared" si="0"/>
        <v>Agreement Deliveries Per Customer Unit Per Week</v>
      </c>
      <c r="J55" s="1376" t="str">
        <f t="shared" si="1"/>
        <v>59</v>
      </c>
      <c r="K55" s="1376" t="str">
        <f t="shared" si="2"/>
        <v>Customer Inputs</v>
      </c>
      <c r="L55" s="1029" t="s">
        <v>1356</v>
      </c>
      <c r="M55" s="1376">
        <v>59</v>
      </c>
      <c r="N55" s="1029"/>
    </row>
    <row r="56" spans="1:15" s="1370" customFormat="1" x14ac:dyDescent="0.25">
      <c r="A56" s="1107" t="s">
        <v>1277</v>
      </c>
      <c r="B56" s="1029" t="str">
        <f ca="1">_xlfn.IFNA(_xlfn.CONCAT(IF('[2]Customer Inputs'!$U$7="Existing",SUBSTITUTE(ADDRESS(1,MATCH(O56,INDIRECT("'"&amp;E56&amp;"'"&amp;"!A5:Z5"),0),4),1,""),SUBSTITUTE(ADDRESS(1,MATCH(A56,INDIRECT("'"&amp;E56&amp;"'"&amp;"!A5:Z5"),0),4),1,"")),7),"")</f>
        <v>P7</v>
      </c>
      <c r="C56" s="1029" t="str">
        <f ca="1">_xlfn.IFNA(IF('[2]Customer Inputs'!$U$7="Existing",SUBSTITUTE(ADDRESS(1,MATCH(O56,INDIRECT("'"&amp;E56&amp;"'"&amp;"!A5:Z5"),0),4),1,""),SUBSTITUTE(ADDRESS(1,MATCH(A56,INDIRECT("'"&amp;E56&amp;"'"&amp;"!A5:Z5"),0),4),1,"")),"")</f>
        <v>P</v>
      </c>
      <c r="D56" s="1029" t="s">
        <v>1455</v>
      </c>
      <c r="E56" s="1029" t="s">
        <v>917</v>
      </c>
      <c r="F56" s="1029"/>
      <c r="G56" s="1029"/>
      <c r="H56" s="1029"/>
      <c r="I56" s="1026" t="str">
        <f t="shared" si="0"/>
        <v/>
      </c>
      <c r="J56" s="1376"/>
      <c r="K56" s="1376" t="str">
        <f t="shared" si="2"/>
        <v/>
      </c>
      <c r="L56" s="1029" t="s">
        <v>1277</v>
      </c>
      <c r="M56" s="1376">
        <v>60</v>
      </c>
      <c r="N56" s="1029"/>
      <c r="O56" s="1370" t="s">
        <v>915</v>
      </c>
    </row>
    <row r="57" spans="1:15" s="1370" customFormat="1" x14ac:dyDescent="0.25">
      <c r="A57" s="1109" t="s">
        <v>1278</v>
      </c>
      <c r="B57" s="1029" t="str">
        <f ca="1">_xlfn.IFNA(_xlfn.CONCAT(IF('[2]Customer Inputs'!$U$7="Existing",SUBSTITUTE(ADDRESS(1,MATCH(O57,INDIRECT("'"&amp;E57&amp;"'"&amp;"!A5:Z5"),0),4),1,""),SUBSTITUTE(ADDRESS(1,MATCH(A57,INDIRECT("'"&amp;E57&amp;"'"&amp;"!A5:Z5"),0),4),1,"")),7),"")</f>
        <v>Q7</v>
      </c>
      <c r="C57" s="1029" t="str">
        <f ca="1">_xlfn.IFNA(IF('[2]Customer Inputs'!$U$7="Existing",SUBSTITUTE(ADDRESS(1,MATCH(O57,INDIRECT("'"&amp;E57&amp;"'"&amp;"!A5:Z5"),0),4),1,""),SUBSTITUTE(ADDRESS(1,MATCH(A57,INDIRECT("'"&amp;E57&amp;"'"&amp;"!A5:Z5"),0),4),1,"")),"")</f>
        <v>Q</v>
      </c>
      <c r="D57" s="1029" t="s">
        <v>1455</v>
      </c>
      <c r="E57" s="1029" t="s">
        <v>917</v>
      </c>
      <c r="F57" s="1029"/>
      <c r="G57" s="1029"/>
      <c r="H57" s="1029"/>
      <c r="I57" s="1026" t="str">
        <f t="shared" si="0"/>
        <v/>
      </c>
      <c r="J57" s="1376"/>
      <c r="K57" s="1376" t="str">
        <f t="shared" si="2"/>
        <v/>
      </c>
      <c r="L57" s="1088" t="s">
        <v>1278</v>
      </c>
      <c r="M57" s="1376">
        <v>61</v>
      </c>
      <c r="N57" s="1029"/>
      <c r="O57" s="1370" t="s">
        <v>1275</v>
      </c>
    </row>
    <row r="58" spans="1:15" s="1370" customFormat="1" x14ac:dyDescent="0.25">
      <c r="A58" s="1109" t="s">
        <v>1279</v>
      </c>
      <c r="B58" s="1029" t="str">
        <f ca="1">_xlfn.IFNA(_xlfn.CONCAT(IF('[2]Customer Inputs'!$U$7="Existing",SUBSTITUTE(ADDRESS(1,MATCH(O58,INDIRECT("'"&amp;E58&amp;"'"&amp;"!A5:Z5"),0),4),1,""),SUBSTITUTE(ADDRESS(1,MATCH(A58,INDIRECT("'"&amp;E58&amp;"'"&amp;"!A5:Z5"),0),4),1,"")),7),"")</f>
        <v>R7</v>
      </c>
      <c r="C58" s="1029" t="str">
        <f ca="1">_xlfn.IFNA(IF('[2]Customer Inputs'!$U$7="Existing",SUBSTITUTE(ADDRESS(1,MATCH(O58,INDIRECT("'"&amp;E58&amp;"'"&amp;"!A5:Z5"),0),4),1,""),SUBSTITUTE(ADDRESS(1,MATCH(A58,INDIRECT("'"&amp;E58&amp;"'"&amp;"!A5:Z5"),0),4),1,"")),"")</f>
        <v>R</v>
      </c>
      <c r="D58" s="1029" t="s">
        <v>1455</v>
      </c>
      <c r="E58" s="1029" t="s">
        <v>917</v>
      </c>
      <c r="F58" s="1029"/>
      <c r="G58" s="1029"/>
      <c r="H58" s="1029"/>
      <c r="I58" s="1026" t="str">
        <f t="shared" si="0"/>
        <v/>
      </c>
      <c r="J58" s="1376"/>
      <c r="K58" s="1376" t="str">
        <f t="shared" si="2"/>
        <v/>
      </c>
      <c r="L58" s="1088" t="s">
        <v>1279</v>
      </c>
      <c r="M58" s="1376">
        <v>62</v>
      </c>
      <c r="N58" s="1029"/>
      <c r="O58" s="1370" t="s">
        <v>1282</v>
      </c>
    </row>
    <row r="59" spans="1:15" s="1370" customFormat="1" x14ac:dyDescent="0.25">
      <c r="A59" s="1109" t="s">
        <v>1280</v>
      </c>
      <c r="B59" s="1029" t="str">
        <f ca="1">_xlfn.IFNA(_xlfn.CONCAT(IF('[2]Customer Inputs'!$U$7="Existing",SUBSTITUTE(ADDRESS(1,MATCH(O59,INDIRECT("'"&amp;E59&amp;"'"&amp;"!A5:Z5"),0),4),1,""),SUBSTITUTE(ADDRESS(1,MATCH(A59,INDIRECT("'"&amp;E59&amp;"'"&amp;"!A5:Z5"),0),4),1,"")),7),"")</f>
        <v>T7</v>
      </c>
      <c r="C59" s="1029" t="str">
        <f ca="1">_xlfn.IFNA(IF('[2]Customer Inputs'!$U$7="Existing",SUBSTITUTE(ADDRESS(1,MATCH(O59,INDIRECT("'"&amp;E59&amp;"'"&amp;"!A5:Z5"),0),4),1,""),SUBSTITUTE(ADDRESS(1,MATCH(A59,INDIRECT("'"&amp;E59&amp;"'"&amp;"!A5:Z5"),0),4),1,"")),"")</f>
        <v>T</v>
      </c>
      <c r="D59" s="1029" t="s">
        <v>1455</v>
      </c>
      <c r="E59" s="1029" t="s">
        <v>917</v>
      </c>
      <c r="F59" s="1029"/>
      <c r="G59" s="1029"/>
      <c r="H59" s="1029"/>
      <c r="I59" s="1026" t="str">
        <f t="shared" si="0"/>
        <v/>
      </c>
      <c r="J59" s="1376"/>
      <c r="K59" s="1376" t="str">
        <f t="shared" si="2"/>
        <v/>
      </c>
      <c r="L59" s="1088" t="s">
        <v>1280</v>
      </c>
      <c r="M59" s="1376">
        <v>63</v>
      </c>
      <c r="N59" s="1029"/>
      <c r="O59" s="1370" t="s">
        <v>1276</v>
      </c>
    </row>
    <row r="60" spans="1:15" s="1370" customFormat="1" x14ac:dyDescent="0.25">
      <c r="A60" s="1109" t="s">
        <v>1281</v>
      </c>
      <c r="B60" s="1029" t="str">
        <f t="shared" ca="1" si="4"/>
        <v>U7</v>
      </c>
      <c r="C60" s="1029" t="str">
        <f t="shared" ca="1" si="3"/>
        <v>U</v>
      </c>
      <c r="D60" s="1029" t="s">
        <v>1455</v>
      </c>
      <c r="E60" s="1029" t="s">
        <v>917</v>
      </c>
      <c r="F60" s="1029"/>
      <c r="G60" s="1029"/>
      <c r="H60" s="1029"/>
      <c r="I60" s="1026" t="str">
        <f t="shared" si="0"/>
        <v/>
      </c>
      <c r="J60" s="1376"/>
      <c r="K60" s="1376" t="str">
        <f t="shared" si="2"/>
        <v/>
      </c>
      <c r="L60" s="1088" t="s">
        <v>1281</v>
      </c>
      <c r="M60" s="1376">
        <v>64</v>
      </c>
      <c r="N60" s="1029"/>
    </row>
    <row r="61" spans="1:15" s="1370" customFormat="1" x14ac:dyDescent="0.25">
      <c r="A61" s="1109" t="s">
        <v>1437</v>
      </c>
      <c r="B61" s="1029" t="str">
        <f t="shared" ca="1" si="4"/>
        <v>V7</v>
      </c>
      <c r="C61" s="1029" t="str">
        <f t="shared" ca="1" si="3"/>
        <v>V</v>
      </c>
      <c r="D61" s="1029" t="s">
        <v>1455</v>
      </c>
      <c r="E61" s="1029" t="s">
        <v>917</v>
      </c>
      <c r="F61" s="1029"/>
      <c r="G61" s="1029"/>
      <c r="H61" s="1029"/>
      <c r="I61" s="1026" t="str">
        <f t="shared" si="0"/>
        <v/>
      </c>
      <c r="J61" s="1376"/>
      <c r="K61" s="1376" t="str">
        <f t="shared" si="2"/>
        <v/>
      </c>
      <c r="L61" s="1088" t="s">
        <v>1528</v>
      </c>
      <c r="M61" s="1376">
        <v>65</v>
      </c>
      <c r="N61" s="1029"/>
    </row>
    <row r="62" spans="1:15" s="1370" customFormat="1" x14ac:dyDescent="0.25">
      <c r="A62" s="1109" t="s">
        <v>1735</v>
      </c>
      <c r="B62" s="1029" t="str">
        <f t="shared" ca="1" si="4"/>
        <v/>
      </c>
      <c r="C62" s="1029" t="str">
        <f t="shared" ca="1" si="3"/>
        <v/>
      </c>
      <c r="D62" s="1029" t="s">
        <v>1455</v>
      </c>
      <c r="E62" s="1029" t="s">
        <v>917</v>
      </c>
      <c r="F62" s="1029"/>
      <c r="G62" s="1029"/>
      <c r="H62" s="1029"/>
      <c r="I62" s="1026" t="str">
        <f t="shared" si="0"/>
        <v/>
      </c>
      <c r="J62" s="1376" t="str">
        <f t="shared" si="1"/>
        <v/>
      </c>
      <c r="K62" s="1376" t="str">
        <f t="shared" si="2"/>
        <v/>
      </c>
      <c r="L62" s="1088" t="s">
        <v>1735</v>
      </c>
      <c r="M62" s="1376"/>
      <c r="N62" s="1029"/>
    </row>
    <row r="63" spans="1:15" s="1370" customFormat="1" x14ac:dyDescent="0.25">
      <c r="A63" s="1104" t="s">
        <v>1274</v>
      </c>
      <c r="B63" s="1029" t="str">
        <f ca="1">_xlfn.IFNA(_xlfn.CONCAT(SUBSTITUTE(ADDRESS(1,MATCH(A63,INDIRECT("'"&amp;E63&amp;"'"&amp;"!A5:Z5"),0),4),1,""),8),"")</f>
        <v>H8</v>
      </c>
      <c r="C63" s="1029" t="str">
        <f t="shared" ca="1" si="3"/>
        <v>H</v>
      </c>
      <c r="D63" s="1029" t="s">
        <v>1455</v>
      </c>
      <c r="E63" s="1029" t="s">
        <v>917</v>
      </c>
      <c r="F63" s="1029"/>
      <c r="G63" s="1029"/>
      <c r="H63" s="1029"/>
      <c r="I63" s="1026" t="str">
        <f t="shared" si="0"/>
        <v>Pyramid Segment</v>
      </c>
      <c r="J63" s="1376" t="str">
        <f t="shared" si="1"/>
        <v>77</v>
      </c>
      <c r="K63" s="1376" t="str">
        <f t="shared" si="2"/>
        <v>Customer Inputs</v>
      </c>
      <c r="L63" s="1029" t="s">
        <v>1274</v>
      </c>
      <c r="M63" s="1376">
        <v>77</v>
      </c>
      <c r="N63" s="1029"/>
    </row>
    <row r="64" spans="1:15" s="1370" customFormat="1" x14ac:dyDescent="0.25">
      <c r="A64" s="1105" t="s">
        <v>1355</v>
      </c>
      <c r="B64" s="1029" t="str">
        <f t="shared" ref="B64:B72" ca="1" si="5">_xlfn.IFNA(_xlfn.CONCAT(SUBSTITUTE(ADDRESS(1,MATCH(A64,INDIRECT("'"&amp;E64&amp;"'"&amp;"!A5:Z5"),0),4),1,""),8),"")</f>
        <v>I8</v>
      </c>
      <c r="C64" s="1029" t="str">
        <f t="shared" ca="1" si="3"/>
        <v>I</v>
      </c>
      <c r="D64" s="1029" t="s">
        <v>1455</v>
      </c>
      <c r="E64" s="1029" t="s">
        <v>917</v>
      </c>
      <c r="F64" s="1029"/>
      <c r="G64" s="1029"/>
      <c r="H64" s="1029"/>
      <c r="I64" s="1026" t="str">
        <f t="shared" si="0"/>
        <v>Agreement Annual Purchase Commitment</v>
      </c>
      <c r="J64" s="1376" t="str">
        <f t="shared" si="1"/>
        <v>79</v>
      </c>
      <c r="K64" s="1376" t="str">
        <f t="shared" si="2"/>
        <v>Customer Inputs</v>
      </c>
      <c r="L64" s="52" t="s">
        <v>1355</v>
      </c>
      <c r="M64" s="1376">
        <v>79</v>
      </c>
      <c r="N64" s="1029"/>
    </row>
    <row r="65" spans="1:15" s="1370" customFormat="1" ht="30" x14ac:dyDescent="0.25">
      <c r="A65" s="1104" t="s">
        <v>1356</v>
      </c>
      <c r="B65" s="1029" t="str">
        <f t="shared" ca="1" si="5"/>
        <v>J8</v>
      </c>
      <c r="C65" s="1029" t="str">
        <f t="shared" ca="1" si="3"/>
        <v>J</v>
      </c>
      <c r="D65" s="1029" t="s">
        <v>1455</v>
      </c>
      <c r="E65" s="1029" t="s">
        <v>917</v>
      </c>
      <c r="F65" s="1029"/>
      <c r="G65" s="1029"/>
      <c r="H65" s="1029"/>
      <c r="I65" s="1026" t="str">
        <f t="shared" si="0"/>
        <v>Agreement Deliveries Per Customer Unit Per Week</v>
      </c>
      <c r="J65" s="1376" t="str">
        <f t="shared" si="1"/>
        <v>80</v>
      </c>
      <c r="K65" s="1376" t="str">
        <f t="shared" si="2"/>
        <v>Customer Inputs</v>
      </c>
      <c r="L65" s="1029" t="s">
        <v>1356</v>
      </c>
      <c r="M65" s="1376">
        <v>80</v>
      </c>
      <c r="N65" s="1029"/>
    </row>
    <row r="66" spans="1:15" s="1370" customFormat="1" x14ac:dyDescent="0.25">
      <c r="A66" s="1104" t="s">
        <v>1277</v>
      </c>
      <c r="B66" s="1029" t="str">
        <f ca="1">_xlfn.IFNA(_xlfn.CONCAT(IF('[2]Customer Inputs'!$U$8="Existing",SUBSTITUTE(ADDRESS(1,MATCH(O66,INDIRECT("'"&amp;E66&amp;"'"&amp;"!A5:Z5"),0),4),1,""),SUBSTITUTE(ADDRESS(1,MATCH(A66,INDIRECT("'"&amp;E66&amp;"'"&amp;"!A5:Z5"),0),4),1,"")),8),"")</f>
        <v>P8</v>
      </c>
      <c r="C66" s="1029" t="str">
        <f ca="1">_xlfn.IFNA(IF('[2]Customer Inputs'!$U$8="Existing",SUBSTITUTE(ADDRESS(1,MATCH(O66,INDIRECT("'"&amp;E66&amp;"'"&amp;"!A5:Z5"),0),4),1,""),SUBSTITUTE(ADDRESS(1,MATCH(A66,INDIRECT("'"&amp;E66&amp;"'"&amp;"!A5:Z5"),0),4),1,"")),"")</f>
        <v>P</v>
      </c>
      <c r="D66" s="1029" t="s">
        <v>1455</v>
      </c>
      <c r="E66" s="1029" t="s">
        <v>917</v>
      </c>
      <c r="F66" s="1029"/>
      <c r="G66" s="1029"/>
      <c r="H66" s="1029"/>
      <c r="I66" s="1026" t="str">
        <f t="shared" si="0"/>
        <v/>
      </c>
      <c r="J66" s="1376"/>
      <c r="K66" s="1376" t="str">
        <f t="shared" si="2"/>
        <v/>
      </c>
      <c r="L66" s="1029" t="s">
        <v>1277</v>
      </c>
      <c r="M66" s="1376">
        <v>81</v>
      </c>
      <c r="N66" s="1029"/>
      <c r="O66" s="1370" t="s">
        <v>915</v>
      </c>
    </row>
    <row r="67" spans="1:15" s="1370" customFormat="1" x14ac:dyDescent="0.25">
      <c r="A67" s="1106" t="s">
        <v>1278</v>
      </c>
      <c r="B67" s="1029" t="str">
        <f ca="1">_xlfn.IFNA(_xlfn.CONCAT(IF('[2]Customer Inputs'!$U$8="Existing",SUBSTITUTE(ADDRESS(1,MATCH(O67,INDIRECT("'"&amp;E67&amp;"'"&amp;"!A5:Z5"),0),4),1,""),SUBSTITUTE(ADDRESS(1,MATCH(A67,INDIRECT("'"&amp;E67&amp;"'"&amp;"!A5:Z5"),0),4),1,"")),8),"")</f>
        <v>Q8</v>
      </c>
      <c r="C67" s="1029" t="str">
        <f ca="1">_xlfn.IFNA(IF('[2]Customer Inputs'!$U$8="Existing",SUBSTITUTE(ADDRESS(1,MATCH(O67,INDIRECT("'"&amp;E67&amp;"'"&amp;"!A5:Z5"),0),4),1,""),SUBSTITUTE(ADDRESS(1,MATCH(A67,INDIRECT("'"&amp;E67&amp;"'"&amp;"!A5:Z5"),0),4),1,"")),"")</f>
        <v>Q</v>
      </c>
      <c r="D67" s="1029" t="s">
        <v>1455</v>
      </c>
      <c r="E67" s="1029" t="s">
        <v>917</v>
      </c>
      <c r="F67" s="1029"/>
      <c r="G67" s="1029"/>
      <c r="H67" s="1029"/>
      <c r="I67" s="1026" t="str">
        <f t="shared" si="0"/>
        <v/>
      </c>
      <c r="J67" s="1376"/>
      <c r="K67" s="1376" t="str">
        <f t="shared" si="2"/>
        <v/>
      </c>
      <c r="L67" s="1088" t="s">
        <v>1278</v>
      </c>
      <c r="M67" s="1376">
        <v>82</v>
      </c>
      <c r="N67" s="1029"/>
      <c r="O67" s="1370" t="s">
        <v>1275</v>
      </c>
    </row>
    <row r="68" spans="1:15" s="1370" customFormat="1" x14ac:dyDescent="0.25">
      <c r="A68" s="1106" t="s">
        <v>1279</v>
      </c>
      <c r="B68" s="1029" t="str">
        <f ca="1">_xlfn.IFNA(_xlfn.CONCAT(IF('[2]Customer Inputs'!$U$8="Existing",SUBSTITUTE(ADDRESS(1,MATCH(O68,INDIRECT("'"&amp;E68&amp;"'"&amp;"!A5:Z5"),0),4),1,""),SUBSTITUTE(ADDRESS(1,MATCH(A68,INDIRECT("'"&amp;E68&amp;"'"&amp;"!A5:Z5"),0),4),1,"")),8),"")</f>
        <v>R8</v>
      </c>
      <c r="C68" s="1029" t="str">
        <f ca="1">_xlfn.IFNA(IF('[2]Customer Inputs'!$U$8="Existing",SUBSTITUTE(ADDRESS(1,MATCH(O68,INDIRECT("'"&amp;E68&amp;"'"&amp;"!A5:Z5"),0),4),1,""),SUBSTITUTE(ADDRESS(1,MATCH(A68,INDIRECT("'"&amp;E68&amp;"'"&amp;"!A5:Z5"),0),4),1,"")),"")</f>
        <v>R</v>
      </c>
      <c r="D68" s="1029" t="s">
        <v>1455</v>
      </c>
      <c r="E68" s="1029" t="s">
        <v>917</v>
      </c>
      <c r="F68" s="1029"/>
      <c r="G68" s="1029"/>
      <c r="H68" s="1029"/>
      <c r="I68" s="1026" t="str">
        <f t="shared" ref="I68:I131" si="6">IF(J68&lt;&gt;"",A68,"")</f>
        <v/>
      </c>
      <c r="J68" s="1376"/>
      <c r="K68" s="1376" t="str">
        <f t="shared" ref="K68:K131" si="7">IF(J68&lt;&gt;"",E68,"")</f>
        <v/>
      </c>
      <c r="L68" s="1088" t="s">
        <v>1279</v>
      </c>
      <c r="M68" s="1376">
        <v>83</v>
      </c>
      <c r="N68" s="1029"/>
      <c r="O68" s="1370" t="s">
        <v>1282</v>
      </c>
    </row>
    <row r="69" spans="1:15" s="1370" customFormat="1" x14ac:dyDescent="0.25">
      <c r="A69" s="1106" t="s">
        <v>1280</v>
      </c>
      <c r="B69" s="1029" t="str">
        <f ca="1">_xlfn.IFNA(_xlfn.CONCAT(IF('[2]Customer Inputs'!$U$8="Existing",SUBSTITUTE(ADDRESS(1,MATCH(O69,INDIRECT("'"&amp;E69&amp;"'"&amp;"!A5:Z5"),0),4),1,""),SUBSTITUTE(ADDRESS(1,MATCH(A69,INDIRECT("'"&amp;E69&amp;"'"&amp;"!A5:Z5"),0),4),1,"")),8),"")</f>
        <v>T8</v>
      </c>
      <c r="C69" s="1029" t="str">
        <f ca="1">_xlfn.IFNA(IF('[2]Customer Inputs'!$U$8="Existing",SUBSTITUTE(ADDRESS(1,MATCH(O69,INDIRECT("'"&amp;E69&amp;"'"&amp;"!A5:Z5"),0),4),1,""),SUBSTITUTE(ADDRESS(1,MATCH(A69,INDIRECT("'"&amp;E69&amp;"'"&amp;"!A5:Z5"),0),4),1,"")),"")</f>
        <v>T</v>
      </c>
      <c r="D69" s="1029" t="s">
        <v>1455</v>
      </c>
      <c r="E69" s="1029" t="s">
        <v>917</v>
      </c>
      <c r="F69" s="1029"/>
      <c r="G69" s="1029"/>
      <c r="H69" s="1029"/>
      <c r="I69" s="1026" t="str">
        <f t="shared" si="6"/>
        <v/>
      </c>
      <c r="J69" s="1376"/>
      <c r="K69" s="1376" t="str">
        <f t="shared" si="7"/>
        <v/>
      </c>
      <c r="L69" s="1088" t="s">
        <v>1280</v>
      </c>
      <c r="M69" s="1376">
        <v>84</v>
      </c>
      <c r="N69" s="1029"/>
      <c r="O69" s="1370" t="s">
        <v>1276</v>
      </c>
    </row>
    <row r="70" spans="1:15" s="1370" customFormat="1" x14ac:dyDescent="0.25">
      <c r="A70" s="1106" t="s">
        <v>1281</v>
      </c>
      <c r="B70" s="1029" t="str">
        <f t="shared" ca="1" si="5"/>
        <v>U8</v>
      </c>
      <c r="C70" s="1029" t="str">
        <f t="shared" ca="1" si="3"/>
        <v>U</v>
      </c>
      <c r="D70" s="1029" t="s">
        <v>1455</v>
      </c>
      <c r="E70" s="1029" t="s">
        <v>917</v>
      </c>
      <c r="F70" s="1029"/>
      <c r="G70" s="1029"/>
      <c r="H70" s="1029"/>
      <c r="I70" s="1026" t="str">
        <f t="shared" si="6"/>
        <v/>
      </c>
      <c r="J70" s="1376"/>
      <c r="K70" s="1376" t="str">
        <f t="shared" si="7"/>
        <v/>
      </c>
      <c r="L70" s="1088" t="s">
        <v>1281</v>
      </c>
      <c r="M70" s="1376">
        <v>85</v>
      </c>
      <c r="N70" s="1029"/>
    </row>
    <row r="71" spans="1:15" s="1370" customFormat="1" x14ac:dyDescent="0.25">
      <c r="A71" s="1106" t="s">
        <v>1437</v>
      </c>
      <c r="B71" s="1029" t="str">
        <f t="shared" ca="1" si="5"/>
        <v>V8</v>
      </c>
      <c r="C71" s="1029" t="str">
        <f t="shared" ca="1" si="3"/>
        <v>V</v>
      </c>
      <c r="D71" s="1029" t="s">
        <v>1455</v>
      </c>
      <c r="E71" s="1029" t="s">
        <v>917</v>
      </c>
      <c r="F71" s="1029"/>
      <c r="G71" s="1029"/>
      <c r="H71" s="1029"/>
      <c r="I71" s="1026" t="str">
        <f t="shared" si="6"/>
        <v/>
      </c>
      <c r="J71" s="1376"/>
      <c r="K71" s="1376" t="str">
        <f t="shared" si="7"/>
        <v/>
      </c>
      <c r="L71" s="1088" t="s">
        <v>1528</v>
      </c>
      <c r="M71" s="1376">
        <v>86</v>
      </c>
      <c r="N71" s="1029"/>
    </row>
    <row r="72" spans="1:15" s="1370" customFormat="1" x14ac:dyDescent="0.25">
      <c r="A72" s="1106" t="s">
        <v>1735</v>
      </c>
      <c r="B72" s="1029" t="str">
        <f t="shared" ca="1" si="5"/>
        <v/>
      </c>
      <c r="C72" s="1029" t="str">
        <f t="shared" ca="1" si="3"/>
        <v/>
      </c>
      <c r="D72" s="1029" t="s">
        <v>1455</v>
      </c>
      <c r="E72" s="1029" t="s">
        <v>917</v>
      </c>
      <c r="F72" s="1029"/>
      <c r="G72" s="1029"/>
      <c r="H72" s="1029"/>
      <c r="I72" s="1026" t="str">
        <f t="shared" si="6"/>
        <v/>
      </c>
      <c r="J72" s="1376" t="str">
        <f>IF(M72&lt;&gt;"",Q$1&amp;M72,"")</f>
        <v/>
      </c>
      <c r="K72" s="1376" t="str">
        <f t="shared" si="7"/>
        <v/>
      </c>
      <c r="L72" s="1088" t="s">
        <v>1735</v>
      </c>
      <c r="M72" s="1376"/>
      <c r="N72" s="1029"/>
    </row>
    <row r="73" spans="1:15" s="1370" customFormat="1" x14ac:dyDescent="0.25">
      <c r="A73" s="1107" t="s">
        <v>1274</v>
      </c>
      <c r="B73" s="1029" t="str">
        <f ca="1">_xlfn.IFNA(_xlfn.CONCAT(SUBSTITUTE(ADDRESS(1,MATCH(A73,INDIRECT("'"&amp;E73&amp;"'"&amp;"!A5:Z5"),0),4),1,""),9),"")</f>
        <v>H9</v>
      </c>
      <c r="C73" s="1029" t="str">
        <f t="shared" ca="1" si="3"/>
        <v>H</v>
      </c>
      <c r="D73" s="1029" t="s">
        <v>1455</v>
      </c>
      <c r="E73" s="1029" t="s">
        <v>917</v>
      </c>
      <c r="F73" s="1029"/>
      <c r="G73" s="1029"/>
      <c r="H73" s="1029"/>
      <c r="I73" s="1026" t="str">
        <f t="shared" si="6"/>
        <v>Pyramid Segment</v>
      </c>
      <c r="J73" s="1376" t="str">
        <f>IF(M73&lt;&gt;"",Q$1&amp;M73,"")</f>
        <v>98</v>
      </c>
      <c r="K73" s="1376" t="str">
        <f t="shared" si="7"/>
        <v>Customer Inputs</v>
      </c>
      <c r="L73" s="1029" t="s">
        <v>1274</v>
      </c>
      <c r="M73" s="1376">
        <v>98</v>
      </c>
      <c r="N73" s="1029"/>
    </row>
    <row r="74" spans="1:15" s="1370" customFormat="1" x14ac:dyDescent="0.25">
      <c r="A74" s="1108" t="s">
        <v>1355</v>
      </c>
      <c r="B74" s="1029" t="str">
        <f t="shared" ref="B74:B82" ca="1" si="8">_xlfn.IFNA(_xlfn.CONCAT(SUBSTITUTE(ADDRESS(1,MATCH(A74,INDIRECT("'"&amp;E74&amp;"'"&amp;"!A5:Z5"),0),4),1,""),9),"")</f>
        <v>I9</v>
      </c>
      <c r="C74" s="1029" t="str">
        <f t="shared" ca="1" si="3"/>
        <v>I</v>
      </c>
      <c r="D74" s="1029" t="s">
        <v>1455</v>
      </c>
      <c r="E74" s="1029" t="s">
        <v>917</v>
      </c>
      <c r="F74" s="1029"/>
      <c r="G74" s="1029"/>
      <c r="H74" s="1029"/>
      <c r="I74" s="1026" t="str">
        <f t="shared" si="6"/>
        <v>Agreement Annual Purchase Commitment</v>
      </c>
      <c r="J74" s="1376" t="str">
        <f>IF(M74&lt;&gt;"",Q$1&amp;M74,"")</f>
        <v>100</v>
      </c>
      <c r="K74" s="1376" t="str">
        <f t="shared" si="7"/>
        <v>Customer Inputs</v>
      </c>
      <c r="L74" s="52" t="s">
        <v>1355</v>
      </c>
      <c r="M74" s="1376">
        <v>100</v>
      </c>
      <c r="N74" s="1029"/>
    </row>
    <row r="75" spans="1:15" s="1370" customFormat="1" ht="30" x14ac:dyDescent="0.25">
      <c r="A75" s="1107" t="s">
        <v>1356</v>
      </c>
      <c r="B75" s="1029" t="str">
        <f t="shared" ca="1" si="8"/>
        <v>J9</v>
      </c>
      <c r="C75" s="1029" t="str">
        <f t="shared" ca="1" si="3"/>
        <v>J</v>
      </c>
      <c r="D75" s="1029" t="s">
        <v>1455</v>
      </c>
      <c r="E75" s="1029" t="s">
        <v>917</v>
      </c>
      <c r="F75" s="1029"/>
      <c r="G75" s="1029"/>
      <c r="H75" s="1029"/>
      <c r="I75" s="1026" t="str">
        <f t="shared" si="6"/>
        <v>Agreement Deliveries Per Customer Unit Per Week</v>
      </c>
      <c r="J75" s="1376" t="str">
        <f>IF(M75&lt;&gt;"",Q$1&amp;M75,"")</f>
        <v>101</v>
      </c>
      <c r="K75" s="1376" t="str">
        <f t="shared" si="7"/>
        <v>Customer Inputs</v>
      </c>
      <c r="L75" s="1029" t="s">
        <v>1356</v>
      </c>
      <c r="M75" s="1376">
        <v>101</v>
      </c>
      <c r="N75" s="1029"/>
    </row>
    <row r="76" spans="1:15" s="1370" customFormat="1" x14ac:dyDescent="0.25">
      <c r="A76" s="1107" t="s">
        <v>1277</v>
      </c>
      <c r="B76" s="1029" t="str">
        <f ca="1">_xlfn.IFNA(_xlfn.CONCAT(IF('[2]Customer Inputs'!$U$9="Existing",SUBSTITUTE(ADDRESS(1,MATCH(O76,INDIRECT("'"&amp;E76&amp;"'"&amp;"!A5:Z5"),0),4),1,""),SUBSTITUTE(ADDRESS(1,MATCH(A76,INDIRECT("'"&amp;E76&amp;"'"&amp;"!A5:Z5"),0),4),1,"")),9),"")</f>
        <v>P9</v>
      </c>
      <c r="C76" s="1029" t="str">
        <f ca="1">_xlfn.IFNA(IF('[2]Customer Inputs'!$U$9="Existing",SUBSTITUTE(ADDRESS(1,MATCH(O76,INDIRECT("'"&amp;E76&amp;"'"&amp;"!A5:Z5"),0),4),1,""),SUBSTITUTE(ADDRESS(1,MATCH(A76,INDIRECT("'"&amp;E76&amp;"'"&amp;"!A5:Z5"),0),4),1,"")),"")</f>
        <v>P</v>
      </c>
      <c r="D76" s="1029" t="s">
        <v>1455</v>
      </c>
      <c r="E76" s="1029" t="s">
        <v>917</v>
      </c>
      <c r="F76" s="1029"/>
      <c r="G76" s="1029"/>
      <c r="H76" s="1029"/>
      <c r="I76" s="1026" t="str">
        <f t="shared" si="6"/>
        <v/>
      </c>
      <c r="J76" s="1376"/>
      <c r="K76" s="1376" t="str">
        <f t="shared" si="7"/>
        <v/>
      </c>
      <c r="L76" s="1029" t="s">
        <v>1277</v>
      </c>
      <c r="M76" s="1376">
        <v>102</v>
      </c>
      <c r="N76" s="1029"/>
      <c r="O76" s="1370" t="s">
        <v>915</v>
      </c>
    </row>
    <row r="77" spans="1:15" s="1370" customFormat="1" x14ac:dyDescent="0.25">
      <c r="A77" s="1109" t="s">
        <v>1278</v>
      </c>
      <c r="B77" s="1029" t="str">
        <f ca="1">_xlfn.IFNA(_xlfn.CONCAT(IF('[2]Customer Inputs'!$U$9="Existing",SUBSTITUTE(ADDRESS(1,MATCH(O77,INDIRECT("'"&amp;E77&amp;"'"&amp;"!A5:Z5"),0),4),1,""),SUBSTITUTE(ADDRESS(1,MATCH(A77,INDIRECT("'"&amp;E77&amp;"'"&amp;"!A5:Z5"),0),4),1,"")),9),"")</f>
        <v>Q9</v>
      </c>
      <c r="C77" s="1029" t="str">
        <f ca="1">_xlfn.IFNA(IF('[2]Customer Inputs'!$U$9="Existing",SUBSTITUTE(ADDRESS(1,MATCH(O77,INDIRECT("'"&amp;E77&amp;"'"&amp;"!A5:Z5"),0),4),1,""),SUBSTITUTE(ADDRESS(1,MATCH(A77,INDIRECT("'"&amp;E77&amp;"'"&amp;"!A5:Z5"),0),4),1,"")),"")</f>
        <v>Q</v>
      </c>
      <c r="D77" s="1029" t="s">
        <v>1455</v>
      </c>
      <c r="E77" s="1029" t="s">
        <v>917</v>
      </c>
      <c r="F77" s="1029"/>
      <c r="G77" s="1029"/>
      <c r="H77" s="1029"/>
      <c r="I77" s="1026" t="str">
        <f t="shared" si="6"/>
        <v/>
      </c>
      <c r="J77" s="1376"/>
      <c r="K77" s="1376" t="str">
        <f t="shared" si="7"/>
        <v/>
      </c>
      <c r="L77" s="1088" t="s">
        <v>1278</v>
      </c>
      <c r="M77" s="1376">
        <v>103</v>
      </c>
      <c r="N77" s="1029"/>
      <c r="O77" s="1370" t="s">
        <v>1275</v>
      </c>
    </row>
    <row r="78" spans="1:15" s="1370" customFormat="1" x14ac:dyDescent="0.25">
      <c r="A78" s="1109" t="s">
        <v>1279</v>
      </c>
      <c r="B78" s="1029" t="str">
        <f ca="1">_xlfn.IFNA(_xlfn.CONCAT(IF('[2]Customer Inputs'!$U$9="Existing",SUBSTITUTE(ADDRESS(1,MATCH(O78,INDIRECT("'"&amp;E78&amp;"'"&amp;"!A5:Z5"),0),4),1,""),SUBSTITUTE(ADDRESS(1,MATCH(A78,INDIRECT("'"&amp;E78&amp;"'"&amp;"!A5:Z5"),0),4),1,"")),9),"")</f>
        <v>R9</v>
      </c>
      <c r="C78" s="1029" t="str">
        <f ca="1">_xlfn.IFNA(IF('[2]Customer Inputs'!$U$9="Existing",SUBSTITUTE(ADDRESS(1,MATCH(O78,INDIRECT("'"&amp;E78&amp;"'"&amp;"!A5:Z5"),0),4),1,""),SUBSTITUTE(ADDRESS(1,MATCH(A78,INDIRECT("'"&amp;E78&amp;"'"&amp;"!A5:Z5"),0),4),1,"")),"")</f>
        <v>R</v>
      </c>
      <c r="D78" s="1029" t="s">
        <v>1455</v>
      </c>
      <c r="E78" s="1029" t="s">
        <v>917</v>
      </c>
      <c r="F78" s="1029"/>
      <c r="G78" s="1029"/>
      <c r="H78" s="1029"/>
      <c r="I78" s="1026" t="str">
        <f t="shared" si="6"/>
        <v/>
      </c>
      <c r="J78" s="1376"/>
      <c r="K78" s="1376" t="str">
        <f t="shared" si="7"/>
        <v/>
      </c>
      <c r="L78" s="1088" t="s">
        <v>1279</v>
      </c>
      <c r="M78" s="1376">
        <v>104</v>
      </c>
      <c r="N78" s="1029"/>
      <c r="O78" s="1370" t="s">
        <v>1282</v>
      </c>
    </row>
    <row r="79" spans="1:15" s="1370" customFormat="1" x14ac:dyDescent="0.25">
      <c r="A79" s="1109" t="s">
        <v>1280</v>
      </c>
      <c r="B79" s="1029" t="str">
        <f ca="1">_xlfn.IFNA(_xlfn.CONCAT(IF('[2]Customer Inputs'!$U$9="Existing",SUBSTITUTE(ADDRESS(1,MATCH(O79,INDIRECT("'"&amp;E79&amp;"'"&amp;"!A5:Z5"),0),4),1,""),SUBSTITUTE(ADDRESS(1,MATCH(A79,INDIRECT("'"&amp;E79&amp;"'"&amp;"!A5:Z5"),0),4),1,"")),9),"")</f>
        <v>T9</v>
      </c>
      <c r="C79" s="1029" t="str">
        <f ca="1">_xlfn.IFNA(IF('[2]Customer Inputs'!$U$9="Existing",SUBSTITUTE(ADDRESS(1,MATCH(O79,INDIRECT("'"&amp;E79&amp;"'"&amp;"!A5:Z5"),0),4),1,""),SUBSTITUTE(ADDRESS(1,MATCH(A79,INDIRECT("'"&amp;E79&amp;"'"&amp;"!A5:Z5"),0),4),1,"")),"")</f>
        <v>T</v>
      </c>
      <c r="D79" s="1029" t="s">
        <v>1455</v>
      </c>
      <c r="E79" s="1029" t="s">
        <v>917</v>
      </c>
      <c r="F79" s="1029"/>
      <c r="G79" s="1029"/>
      <c r="H79" s="1029"/>
      <c r="I79" s="1026" t="str">
        <f t="shared" si="6"/>
        <v/>
      </c>
      <c r="J79" s="1376"/>
      <c r="K79" s="1376" t="str">
        <f t="shared" si="7"/>
        <v/>
      </c>
      <c r="L79" s="1088" t="s">
        <v>1280</v>
      </c>
      <c r="M79" s="1376">
        <v>105</v>
      </c>
      <c r="N79" s="1029"/>
      <c r="O79" s="1370" t="s">
        <v>1276</v>
      </c>
    </row>
    <row r="80" spans="1:15" s="1370" customFormat="1" x14ac:dyDescent="0.25">
      <c r="A80" s="1109" t="s">
        <v>1281</v>
      </c>
      <c r="B80" s="1029" t="str">
        <f t="shared" ca="1" si="8"/>
        <v>U9</v>
      </c>
      <c r="C80" s="1029" t="str">
        <f t="shared" ca="1" si="3"/>
        <v>U</v>
      </c>
      <c r="D80" s="1029" t="s">
        <v>1455</v>
      </c>
      <c r="E80" s="1029" t="s">
        <v>917</v>
      </c>
      <c r="F80" s="1029"/>
      <c r="G80" s="1029"/>
      <c r="H80" s="1029"/>
      <c r="I80" s="1026" t="str">
        <f t="shared" si="6"/>
        <v/>
      </c>
      <c r="J80" s="1376"/>
      <c r="K80" s="1376" t="str">
        <f t="shared" si="7"/>
        <v/>
      </c>
      <c r="L80" s="1088" t="s">
        <v>1281</v>
      </c>
      <c r="M80" s="1376">
        <v>106</v>
      </c>
      <c r="N80" s="1029"/>
    </row>
    <row r="81" spans="1:15" s="1370" customFormat="1" x14ac:dyDescent="0.25">
      <c r="A81" s="1109" t="s">
        <v>1437</v>
      </c>
      <c r="B81" s="1029" t="str">
        <f t="shared" ca="1" si="8"/>
        <v>V9</v>
      </c>
      <c r="C81" s="1029" t="str">
        <f t="shared" ca="1" si="3"/>
        <v>V</v>
      </c>
      <c r="D81" s="1029" t="s">
        <v>1455</v>
      </c>
      <c r="E81" s="1029" t="s">
        <v>917</v>
      </c>
      <c r="F81" s="1029"/>
      <c r="G81" s="1029"/>
      <c r="H81" s="1029"/>
      <c r="I81" s="1026" t="str">
        <f t="shared" si="6"/>
        <v/>
      </c>
      <c r="J81" s="1376"/>
      <c r="K81" s="1376" t="str">
        <f t="shared" si="7"/>
        <v/>
      </c>
      <c r="L81" s="1088" t="s">
        <v>1528</v>
      </c>
      <c r="M81" s="1376">
        <v>107</v>
      </c>
      <c r="N81" s="1029"/>
    </row>
    <row r="82" spans="1:15" s="1370" customFormat="1" x14ac:dyDescent="0.25">
      <c r="A82" s="1109" t="s">
        <v>1735</v>
      </c>
      <c r="B82" s="1029" t="str">
        <f t="shared" ca="1" si="8"/>
        <v/>
      </c>
      <c r="C82" s="1029" t="str">
        <f t="shared" ca="1" si="3"/>
        <v/>
      </c>
      <c r="D82" s="1029" t="s">
        <v>1455</v>
      </c>
      <c r="E82" s="1029" t="s">
        <v>917</v>
      </c>
      <c r="F82" s="1029"/>
      <c r="G82" s="1029"/>
      <c r="H82" s="1029"/>
      <c r="I82" s="1026" t="str">
        <f t="shared" si="6"/>
        <v/>
      </c>
      <c r="J82" s="1376" t="str">
        <f>IF(M82&lt;&gt;"",Q$1&amp;M82,"")</f>
        <v/>
      </c>
      <c r="K82" s="1376" t="str">
        <f t="shared" si="7"/>
        <v/>
      </c>
      <c r="L82" s="1088" t="s">
        <v>1735</v>
      </c>
      <c r="M82" s="1376"/>
      <c r="N82" s="1029"/>
    </row>
    <row r="83" spans="1:15" s="1370" customFormat="1" x14ac:dyDescent="0.25">
      <c r="A83" s="1104" t="s">
        <v>1274</v>
      </c>
      <c r="B83" s="1029" t="str">
        <f ca="1">_xlfn.IFNA(_xlfn.CONCAT(SUBSTITUTE(ADDRESS(1,MATCH(A83,INDIRECT("'"&amp;E83&amp;"'"&amp;"!A5:Z5"),0),4),1,""),10),"")</f>
        <v>H10</v>
      </c>
      <c r="C83" s="1029" t="str">
        <f t="shared" ca="1" si="3"/>
        <v>H</v>
      </c>
      <c r="D83" s="1029" t="s">
        <v>1455</v>
      </c>
      <c r="E83" s="1029" t="s">
        <v>917</v>
      </c>
      <c r="F83" s="1029"/>
      <c r="G83" s="1029"/>
      <c r="H83" s="1029"/>
      <c r="I83" s="1026" t="str">
        <f t="shared" si="6"/>
        <v>Pyramid Segment</v>
      </c>
      <c r="J83" s="1376" t="str">
        <f>IF(M83&lt;&gt;"",Q$1&amp;M83,"")</f>
        <v>119</v>
      </c>
      <c r="K83" s="1376" t="str">
        <f t="shared" si="7"/>
        <v>Customer Inputs</v>
      </c>
      <c r="L83" s="1029" t="s">
        <v>1274</v>
      </c>
      <c r="M83" s="1376">
        <v>119</v>
      </c>
      <c r="N83" s="1029"/>
    </row>
    <row r="84" spans="1:15" s="1370" customFormat="1" x14ac:dyDescent="0.25">
      <c r="A84" s="1105" t="s">
        <v>1355</v>
      </c>
      <c r="B84" s="1029" t="str">
        <f t="shared" ref="B84:B92" ca="1" si="9">_xlfn.IFNA(_xlfn.CONCAT(SUBSTITUTE(ADDRESS(1,MATCH(A84,INDIRECT("'"&amp;E84&amp;"'"&amp;"!A5:Z5"),0),4),1,""),10),"")</f>
        <v>I10</v>
      </c>
      <c r="C84" s="1029" t="str">
        <f t="shared" ca="1" si="3"/>
        <v>I</v>
      </c>
      <c r="D84" s="1029" t="s">
        <v>1455</v>
      </c>
      <c r="E84" s="1029" t="s">
        <v>917</v>
      </c>
      <c r="F84" s="1029"/>
      <c r="G84" s="1029"/>
      <c r="H84" s="1029"/>
      <c r="I84" s="1026" t="str">
        <f t="shared" si="6"/>
        <v>Agreement Annual Purchase Commitment</v>
      </c>
      <c r="J84" s="1376" t="str">
        <f>IF(M84&lt;&gt;"",Q$1&amp;M84,"")</f>
        <v>121</v>
      </c>
      <c r="K84" s="1376" t="str">
        <f t="shared" si="7"/>
        <v>Customer Inputs</v>
      </c>
      <c r="L84" s="52" t="s">
        <v>1355</v>
      </c>
      <c r="M84" s="1376">
        <v>121</v>
      </c>
      <c r="N84" s="1029"/>
    </row>
    <row r="85" spans="1:15" s="1370" customFormat="1" ht="30" x14ac:dyDescent="0.25">
      <c r="A85" s="1104" t="s">
        <v>1356</v>
      </c>
      <c r="B85" s="1029" t="str">
        <f t="shared" ca="1" si="9"/>
        <v>J10</v>
      </c>
      <c r="C85" s="1029" t="str">
        <f t="shared" ca="1" si="3"/>
        <v>J</v>
      </c>
      <c r="D85" s="1029" t="s">
        <v>1455</v>
      </c>
      <c r="E85" s="1029" t="s">
        <v>917</v>
      </c>
      <c r="F85" s="1029"/>
      <c r="G85" s="1029"/>
      <c r="H85" s="1029"/>
      <c r="I85" s="1026" t="str">
        <f t="shared" si="6"/>
        <v>Agreement Deliveries Per Customer Unit Per Week</v>
      </c>
      <c r="J85" s="1376" t="str">
        <f>IF(M85&lt;&gt;"",Q$1&amp;M85,"")</f>
        <v>122</v>
      </c>
      <c r="K85" s="1376" t="str">
        <f t="shared" si="7"/>
        <v>Customer Inputs</v>
      </c>
      <c r="L85" s="1029" t="s">
        <v>1356</v>
      </c>
      <c r="M85" s="1376">
        <v>122</v>
      </c>
      <c r="N85" s="1029"/>
    </row>
    <row r="86" spans="1:15" s="1370" customFormat="1" x14ac:dyDescent="0.25">
      <c r="A86" s="1104" t="s">
        <v>1277</v>
      </c>
      <c r="B86" s="1029" t="str">
        <f ca="1">_xlfn.IFNA(_xlfn.CONCAT(IF('[2]Customer Inputs'!$U$10="Existing",SUBSTITUTE(ADDRESS(1,MATCH(O86,INDIRECT("'"&amp;E86&amp;"'"&amp;"!A5:Z5"),0),4),1,""),SUBSTITUTE(ADDRESS(1,MATCH(A86,INDIRECT("'"&amp;E86&amp;"'"&amp;"!A5:Z5"),0),4),1,"")),10),"")</f>
        <v>P10</v>
      </c>
      <c r="C86" s="1029" t="str">
        <f ca="1">_xlfn.IFNA(IF('[2]Customer Inputs'!$U$10="Existing",SUBSTITUTE(ADDRESS(1,MATCH(O86,INDIRECT("'"&amp;E86&amp;"'"&amp;"!A5:Z5"),0),4),1,""),SUBSTITUTE(ADDRESS(1,MATCH(A86,INDIRECT("'"&amp;E86&amp;"'"&amp;"!A5:Z5"),0),4),1,"")),"")</f>
        <v>P</v>
      </c>
      <c r="D86" s="1029" t="s">
        <v>1455</v>
      </c>
      <c r="E86" s="1029" t="s">
        <v>917</v>
      </c>
      <c r="F86" s="1029"/>
      <c r="G86" s="1029"/>
      <c r="H86" s="1029"/>
      <c r="I86" s="1026" t="str">
        <f t="shared" si="6"/>
        <v/>
      </c>
      <c r="J86" s="1376"/>
      <c r="K86" s="1376" t="str">
        <f t="shared" si="7"/>
        <v/>
      </c>
      <c r="L86" s="1029" t="s">
        <v>1277</v>
      </c>
      <c r="M86" s="1376">
        <v>123</v>
      </c>
      <c r="N86" s="1029"/>
      <c r="O86" s="1370" t="s">
        <v>915</v>
      </c>
    </row>
    <row r="87" spans="1:15" s="1370" customFormat="1" x14ac:dyDescent="0.25">
      <c r="A87" s="1106" t="s">
        <v>1278</v>
      </c>
      <c r="B87" s="1029" t="str">
        <f ca="1">_xlfn.IFNA(_xlfn.CONCAT(IF('[2]Customer Inputs'!$U$10="Existing",SUBSTITUTE(ADDRESS(1,MATCH(O87,INDIRECT("'"&amp;E87&amp;"'"&amp;"!A5:Z5"),0),4),1,""),SUBSTITUTE(ADDRESS(1,MATCH(A87,INDIRECT("'"&amp;E87&amp;"'"&amp;"!A5:Z5"),0),4),1,"")),10),"")</f>
        <v>Q10</v>
      </c>
      <c r="C87" s="1029" t="str">
        <f ca="1">_xlfn.IFNA(IF('[2]Customer Inputs'!$U$10="Existing",SUBSTITUTE(ADDRESS(1,MATCH(O87,INDIRECT("'"&amp;E87&amp;"'"&amp;"!A5:Z5"),0),4),1,""),SUBSTITUTE(ADDRESS(1,MATCH(A87,INDIRECT("'"&amp;E87&amp;"'"&amp;"!A5:Z5"),0),4),1,"")),"")</f>
        <v>Q</v>
      </c>
      <c r="D87" s="1029" t="s">
        <v>1455</v>
      </c>
      <c r="E87" s="1029" t="s">
        <v>917</v>
      </c>
      <c r="F87" s="1029"/>
      <c r="G87" s="1029"/>
      <c r="H87" s="1029"/>
      <c r="I87" s="1026" t="str">
        <f t="shared" si="6"/>
        <v/>
      </c>
      <c r="J87" s="1376"/>
      <c r="K87" s="1376" t="str">
        <f t="shared" si="7"/>
        <v/>
      </c>
      <c r="L87" s="1088" t="s">
        <v>1278</v>
      </c>
      <c r="M87" s="1376">
        <v>124</v>
      </c>
      <c r="N87" s="1029"/>
      <c r="O87" s="1370" t="s">
        <v>1275</v>
      </c>
    </row>
    <row r="88" spans="1:15" s="1370" customFormat="1" x14ac:dyDescent="0.25">
      <c r="A88" s="1106" t="s">
        <v>1279</v>
      </c>
      <c r="B88" s="1029" t="str">
        <f ca="1">_xlfn.IFNA(_xlfn.CONCAT(IF('[2]Customer Inputs'!$U$10="Existing",SUBSTITUTE(ADDRESS(1,MATCH(O88,INDIRECT("'"&amp;E88&amp;"'"&amp;"!A5:Z5"),0),4),1,""),SUBSTITUTE(ADDRESS(1,MATCH(A88,INDIRECT("'"&amp;E88&amp;"'"&amp;"!A5:Z5"),0),4),1,"")),10),"")</f>
        <v>R10</v>
      </c>
      <c r="C88" s="1029" t="str">
        <f ca="1">_xlfn.IFNA(IF('[2]Customer Inputs'!$U$10="Existing",SUBSTITUTE(ADDRESS(1,MATCH(O88,INDIRECT("'"&amp;E88&amp;"'"&amp;"!A5:Z5"),0),4),1,""),SUBSTITUTE(ADDRESS(1,MATCH(A88,INDIRECT("'"&amp;E88&amp;"'"&amp;"!A5:Z5"),0),4),1,"")),"")</f>
        <v>R</v>
      </c>
      <c r="D88" s="1029" t="s">
        <v>1455</v>
      </c>
      <c r="E88" s="1029" t="s">
        <v>917</v>
      </c>
      <c r="F88" s="1029"/>
      <c r="G88" s="1029"/>
      <c r="H88" s="1029"/>
      <c r="I88" s="1026" t="str">
        <f t="shared" si="6"/>
        <v/>
      </c>
      <c r="J88" s="1376"/>
      <c r="K88" s="1376" t="str">
        <f t="shared" si="7"/>
        <v/>
      </c>
      <c r="L88" s="1088" t="s">
        <v>1279</v>
      </c>
      <c r="M88" s="1376">
        <v>125</v>
      </c>
      <c r="N88" s="1029"/>
      <c r="O88" s="1370" t="s">
        <v>1282</v>
      </c>
    </row>
    <row r="89" spans="1:15" s="1370" customFormat="1" x14ac:dyDescent="0.25">
      <c r="A89" s="1106" t="s">
        <v>1280</v>
      </c>
      <c r="B89" s="1029" t="str">
        <f ca="1">_xlfn.IFNA(_xlfn.CONCAT(IF('[2]Customer Inputs'!$U$10="Existing",SUBSTITUTE(ADDRESS(1,MATCH(O89,INDIRECT("'"&amp;E89&amp;"'"&amp;"!A5:Z5"),0),4),1,""),SUBSTITUTE(ADDRESS(1,MATCH(A89,INDIRECT("'"&amp;E89&amp;"'"&amp;"!A5:Z5"),0),4),1,"")),10),"")</f>
        <v>T10</v>
      </c>
      <c r="C89" s="1029" t="str">
        <f ca="1">_xlfn.IFNA(IF('[2]Customer Inputs'!$U$10="Existing",SUBSTITUTE(ADDRESS(1,MATCH(O89,INDIRECT("'"&amp;E89&amp;"'"&amp;"!A5:Z5"),0),4),1,""),SUBSTITUTE(ADDRESS(1,MATCH(A89,INDIRECT("'"&amp;E89&amp;"'"&amp;"!A5:Z5"),0),4),1,"")),"")</f>
        <v>T</v>
      </c>
      <c r="D89" s="1029" t="s">
        <v>1455</v>
      </c>
      <c r="E89" s="1029" t="s">
        <v>917</v>
      </c>
      <c r="F89" s="1029"/>
      <c r="G89" s="1029"/>
      <c r="H89" s="1029"/>
      <c r="I89" s="1026" t="str">
        <f t="shared" si="6"/>
        <v/>
      </c>
      <c r="J89" s="1376"/>
      <c r="K89" s="1376" t="str">
        <f t="shared" si="7"/>
        <v/>
      </c>
      <c r="L89" s="1088" t="s">
        <v>1280</v>
      </c>
      <c r="M89" s="1376">
        <v>126</v>
      </c>
      <c r="N89" s="1029"/>
      <c r="O89" s="1370" t="s">
        <v>1276</v>
      </c>
    </row>
    <row r="90" spans="1:15" s="1370" customFormat="1" x14ac:dyDescent="0.25">
      <c r="A90" s="1106" t="s">
        <v>1281</v>
      </c>
      <c r="B90" s="1029" t="str">
        <f t="shared" ca="1" si="9"/>
        <v>U10</v>
      </c>
      <c r="C90" s="1029" t="str">
        <f t="shared" ca="1" si="3"/>
        <v>U</v>
      </c>
      <c r="D90" s="1029" t="s">
        <v>1455</v>
      </c>
      <c r="E90" s="1029" t="s">
        <v>917</v>
      </c>
      <c r="F90" s="1029"/>
      <c r="G90" s="1029"/>
      <c r="H90" s="1029"/>
      <c r="I90" s="1026" t="str">
        <f t="shared" si="6"/>
        <v/>
      </c>
      <c r="J90" s="1376"/>
      <c r="K90" s="1376" t="str">
        <f t="shared" si="7"/>
        <v/>
      </c>
      <c r="L90" s="1088" t="s">
        <v>1281</v>
      </c>
      <c r="M90" s="1376">
        <v>127</v>
      </c>
      <c r="N90" s="1029"/>
    </row>
    <row r="91" spans="1:15" s="1370" customFormat="1" x14ac:dyDescent="0.25">
      <c r="A91" s="1106" t="s">
        <v>1437</v>
      </c>
      <c r="B91" s="1029" t="str">
        <f t="shared" ca="1" si="9"/>
        <v>V10</v>
      </c>
      <c r="C91" s="1029" t="str">
        <f t="shared" ca="1" si="3"/>
        <v>V</v>
      </c>
      <c r="D91" s="1029" t="s">
        <v>1455</v>
      </c>
      <c r="E91" s="1029" t="s">
        <v>917</v>
      </c>
      <c r="F91" s="1029"/>
      <c r="G91" s="1029"/>
      <c r="H91" s="1029"/>
      <c r="I91" s="1026" t="str">
        <f t="shared" si="6"/>
        <v/>
      </c>
      <c r="J91" s="1376"/>
      <c r="K91" s="1376" t="str">
        <f t="shared" si="7"/>
        <v/>
      </c>
      <c r="L91" s="1088" t="s">
        <v>1528</v>
      </c>
      <c r="M91" s="1376">
        <v>128</v>
      </c>
      <c r="N91" s="1029"/>
    </row>
    <row r="92" spans="1:15" s="1370" customFormat="1" x14ac:dyDescent="0.25">
      <c r="A92" s="1106" t="s">
        <v>1735</v>
      </c>
      <c r="B92" s="1029" t="str">
        <f t="shared" ca="1" si="9"/>
        <v/>
      </c>
      <c r="C92" s="1029" t="str">
        <f t="shared" ca="1" si="3"/>
        <v/>
      </c>
      <c r="D92" s="1029" t="s">
        <v>1455</v>
      </c>
      <c r="E92" s="1029" t="s">
        <v>917</v>
      </c>
      <c r="F92" s="1029"/>
      <c r="G92" s="1029"/>
      <c r="H92" s="1029"/>
      <c r="I92" s="1026" t="str">
        <f t="shared" si="6"/>
        <v/>
      </c>
      <c r="J92" s="1376" t="str">
        <f>IF(M92&lt;&gt;"",Q$1&amp;M92,"")</f>
        <v/>
      </c>
      <c r="K92" s="1376" t="str">
        <f t="shared" si="7"/>
        <v/>
      </c>
      <c r="L92" s="1088" t="s">
        <v>1735</v>
      </c>
      <c r="M92" s="1376"/>
      <c r="N92" s="1029"/>
    </row>
    <row r="93" spans="1:15" s="1370" customFormat="1" x14ac:dyDescent="0.25">
      <c r="A93" s="1107" t="s">
        <v>1274</v>
      </c>
      <c r="B93" s="1029" t="str">
        <f ca="1">_xlfn.IFNA(_xlfn.CONCAT(SUBSTITUTE(ADDRESS(1,MATCH(A93,INDIRECT("'"&amp;E93&amp;"'"&amp;"!A5:Z5"),0),4),1,""),11),"")</f>
        <v>H11</v>
      </c>
      <c r="C93" s="1029" t="str">
        <f t="shared" ca="1" si="3"/>
        <v>H</v>
      </c>
      <c r="D93" s="1029" t="s">
        <v>1455</v>
      </c>
      <c r="E93" s="1029" t="s">
        <v>917</v>
      </c>
      <c r="F93" s="1029"/>
      <c r="G93" s="1029"/>
      <c r="H93" s="1029"/>
      <c r="I93" s="1026" t="str">
        <f t="shared" si="6"/>
        <v>Pyramid Segment</v>
      </c>
      <c r="J93" s="1376" t="str">
        <f>IF(M93&lt;&gt;"",Q$1&amp;M93,"")</f>
        <v>140</v>
      </c>
      <c r="K93" s="1376" t="str">
        <f t="shared" si="7"/>
        <v>Customer Inputs</v>
      </c>
      <c r="L93" s="1029" t="s">
        <v>1274</v>
      </c>
      <c r="M93" s="1376">
        <v>140</v>
      </c>
      <c r="N93" s="1029"/>
    </row>
    <row r="94" spans="1:15" s="1370" customFormat="1" x14ac:dyDescent="0.25">
      <c r="A94" s="1108" t="s">
        <v>1355</v>
      </c>
      <c r="B94" s="1029" t="str">
        <f t="shared" ref="B94:B102" ca="1" si="10">_xlfn.IFNA(_xlfn.CONCAT(SUBSTITUTE(ADDRESS(1,MATCH(A94,INDIRECT("'"&amp;E94&amp;"'"&amp;"!A5:Z5"),0),4),1,""),11),"")</f>
        <v>I11</v>
      </c>
      <c r="C94" s="1029" t="str">
        <f t="shared" ca="1" si="3"/>
        <v>I</v>
      </c>
      <c r="D94" s="1029" t="s">
        <v>1455</v>
      </c>
      <c r="E94" s="1029" t="s">
        <v>917</v>
      </c>
      <c r="F94" s="1029"/>
      <c r="G94" s="1029"/>
      <c r="H94" s="1029"/>
      <c r="I94" s="1026" t="str">
        <f t="shared" si="6"/>
        <v>Agreement Annual Purchase Commitment</v>
      </c>
      <c r="J94" s="1376" t="str">
        <f>IF(M94&lt;&gt;"",Q$1&amp;M94,"")</f>
        <v>142</v>
      </c>
      <c r="K94" s="1376" t="str">
        <f t="shared" si="7"/>
        <v>Customer Inputs</v>
      </c>
      <c r="L94" s="52" t="s">
        <v>1355</v>
      </c>
      <c r="M94" s="1376">
        <v>142</v>
      </c>
      <c r="N94" s="1029"/>
    </row>
    <row r="95" spans="1:15" s="1370" customFormat="1" ht="30" x14ac:dyDescent="0.25">
      <c r="A95" s="1107" t="s">
        <v>1356</v>
      </c>
      <c r="B95" s="1029" t="str">
        <f t="shared" ca="1" si="10"/>
        <v>J11</v>
      </c>
      <c r="C95" s="1029" t="str">
        <f t="shared" ca="1" si="3"/>
        <v>J</v>
      </c>
      <c r="D95" s="1029" t="s">
        <v>1455</v>
      </c>
      <c r="E95" s="1029" t="s">
        <v>917</v>
      </c>
      <c r="F95" s="1029"/>
      <c r="G95" s="1029"/>
      <c r="H95" s="1029"/>
      <c r="I95" s="1026" t="str">
        <f t="shared" si="6"/>
        <v>Agreement Deliveries Per Customer Unit Per Week</v>
      </c>
      <c r="J95" s="1376" t="str">
        <f>IF(M95&lt;&gt;"",Q$1&amp;M95,"")</f>
        <v>143</v>
      </c>
      <c r="K95" s="1376" t="str">
        <f t="shared" si="7"/>
        <v>Customer Inputs</v>
      </c>
      <c r="L95" s="1029" t="s">
        <v>1356</v>
      </c>
      <c r="M95" s="1376">
        <v>143</v>
      </c>
      <c r="N95" s="1029"/>
    </row>
    <row r="96" spans="1:15" s="1370" customFormat="1" x14ac:dyDescent="0.25">
      <c r="A96" s="1107" t="s">
        <v>1277</v>
      </c>
      <c r="B96" s="1029" t="str">
        <f ca="1">_xlfn.IFNA(_xlfn.CONCAT(IF('[2]Customer Inputs'!$U$11="Existing",SUBSTITUTE(ADDRESS(1,MATCH(O96,INDIRECT("'"&amp;E96&amp;"'"&amp;"!A5:Z5"),0),4),1,""),SUBSTITUTE(ADDRESS(1,MATCH(A96,INDIRECT("'"&amp;E96&amp;"'"&amp;"!A5:Z5"),0),4),1,"")),11),"")</f>
        <v>P11</v>
      </c>
      <c r="C96" s="1029" t="str">
        <f ca="1">_xlfn.IFNA(IF('[2]Customer Inputs'!$U$11="Existing",SUBSTITUTE(ADDRESS(1,MATCH(O96,INDIRECT("'"&amp;E96&amp;"'"&amp;"!A5:Z5"),0),4),1,""),SUBSTITUTE(ADDRESS(1,MATCH(A96,INDIRECT("'"&amp;E96&amp;"'"&amp;"!A5:Z5"),0),4),1,"")),"")</f>
        <v>P</v>
      </c>
      <c r="D96" s="1029" t="s">
        <v>1455</v>
      </c>
      <c r="E96" s="1029" t="s">
        <v>917</v>
      </c>
      <c r="F96" s="1029"/>
      <c r="G96" s="1029"/>
      <c r="H96" s="1029"/>
      <c r="I96" s="1026" t="str">
        <f t="shared" si="6"/>
        <v/>
      </c>
      <c r="J96" s="1376"/>
      <c r="K96" s="1376" t="str">
        <f t="shared" si="7"/>
        <v/>
      </c>
      <c r="L96" s="1029" t="s">
        <v>1277</v>
      </c>
      <c r="M96" s="1376">
        <v>144</v>
      </c>
      <c r="N96" s="1029"/>
      <c r="O96" s="1370" t="s">
        <v>915</v>
      </c>
    </row>
    <row r="97" spans="1:15" s="1370" customFormat="1" x14ac:dyDescent="0.25">
      <c r="A97" s="1109" t="s">
        <v>1278</v>
      </c>
      <c r="B97" s="1029" t="str">
        <f ca="1">_xlfn.IFNA(_xlfn.CONCAT(IF('[2]Customer Inputs'!$U$11="Existing",SUBSTITUTE(ADDRESS(1,MATCH(O97,INDIRECT("'"&amp;E97&amp;"'"&amp;"!A5:Z5"),0),4),1,""),SUBSTITUTE(ADDRESS(1,MATCH(A97,INDIRECT("'"&amp;E97&amp;"'"&amp;"!A5:Z5"),0),4),1,"")),11),"")</f>
        <v>Q11</v>
      </c>
      <c r="C97" s="1029" t="str">
        <f ca="1">_xlfn.IFNA(IF('[2]Customer Inputs'!$U$11="Existing",SUBSTITUTE(ADDRESS(1,MATCH(O97,INDIRECT("'"&amp;E97&amp;"'"&amp;"!A5:Z5"),0),4),1,""),SUBSTITUTE(ADDRESS(1,MATCH(A97,INDIRECT("'"&amp;E97&amp;"'"&amp;"!A5:Z5"),0),4),1,"")),"")</f>
        <v>Q</v>
      </c>
      <c r="D97" s="1029" t="s">
        <v>1455</v>
      </c>
      <c r="E97" s="1029" t="s">
        <v>917</v>
      </c>
      <c r="F97" s="1029"/>
      <c r="G97" s="1029"/>
      <c r="H97" s="1029"/>
      <c r="I97" s="1026" t="str">
        <f t="shared" si="6"/>
        <v/>
      </c>
      <c r="J97" s="1376"/>
      <c r="K97" s="1376" t="str">
        <f t="shared" si="7"/>
        <v/>
      </c>
      <c r="L97" s="1088" t="s">
        <v>1278</v>
      </c>
      <c r="M97" s="1376">
        <v>145</v>
      </c>
      <c r="N97" s="1029"/>
      <c r="O97" s="1370" t="s">
        <v>1275</v>
      </c>
    </row>
    <row r="98" spans="1:15" s="1370" customFormat="1" x14ac:dyDescent="0.25">
      <c r="A98" s="1109" t="s">
        <v>1279</v>
      </c>
      <c r="B98" s="1029" t="str">
        <f ca="1">_xlfn.IFNA(_xlfn.CONCAT(IF('[2]Customer Inputs'!$U$11="Existing",SUBSTITUTE(ADDRESS(1,MATCH(O98,INDIRECT("'"&amp;E98&amp;"'"&amp;"!A5:Z5"),0),4),1,""),SUBSTITUTE(ADDRESS(1,MATCH(A98,INDIRECT("'"&amp;E98&amp;"'"&amp;"!A5:Z5"),0),4),1,"")),11),"")</f>
        <v>R11</v>
      </c>
      <c r="C98" s="1029" t="str">
        <f ca="1">_xlfn.IFNA(IF('[2]Customer Inputs'!$U$11="Existing",SUBSTITUTE(ADDRESS(1,MATCH(O98,INDIRECT("'"&amp;E98&amp;"'"&amp;"!A5:Z5"),0),4),1,""),SUBSTITUTE(ADDRESS(1,MATCH(A98,INDIRECT("'"&amp;E98&amp;"'"&amp;"!A5:Z5"),0),4),1,"")),"")</f>
        <v>R</v>
      </c>
      <c r="D98" s="1029" t="s">
        <v>1455</v>
      </c>
      <c r="E98" s="1029" t="s">
        <v>917</v>
      </c>
      <c r="F98" s="1029"/>
      <c r="G98" s="1029"/>
      <c r="H98" s="1029"/>
      <c r="I98" s="1026" t="str">
        <f t="shared" si="6"/>
        <v/>
      </c>
      <c r="J98" s="1376"/>
      <c r="K98" s="1376" t="str">
        <f t="shared" si="7"/>
        <v/>
      </c>
      <c r="L98" s="1088" t="s">
        <v>1279</v>
      </c>
      <c r="M98" s="1376">
        <v>146</v>
      </c>
      <c r="N98" s="1029"/>
      <c r="O98" s="1370" t="s">
        <v>1282</v>
      </c>
    </row>
    <row r="99" spans="1:15" s="1370" customFormat="1" x14ac:dyDescent="0.25">
      <c r="A99" s="1109" t="s">
        <v>1280</v>
      </c>
      <c r="B99" s="1029" t="str">
        <f ca="1">_xlfn.IFNA(_xlfn.CONCAT(IF('[2]Customer Inputs'!$U$11="Existing",SUBSTITUTE(ADDRESS(1,MATCH(O99,INDIRECT("'"&amp;E99&amp;"'"&amp;"!A5:Z5"),0),4),1,""),SUBSTITUTE(ADDRESS(1,MATCH(A99,INDIRECT("'"&amp;E99&amp;"'"&amp;"!A5:Z5"),0),4),1,"")),11),"")</f>
        <v>T11</v>
      </c>
      <c r="C99" s="1029" t="str">
        <f ca="1">_xlfn.IFNA(IF('[2]Customer Inputs'!$U$11="Existing",SUBSTITUTE(ADDRESS(1,MATCH(O99,INDIRECT("'"&amp;E99&amp;"'"&amp;"!A5:Z5"),0),4),1,""),SUBSTITUTE(ADDRESS(1,MATCH(A99,INDIRECT("'"&amp;E99&amp;"'"&amp;"!A5:Z5"),0),4),1,"")),"")</f>
        <v>T</v>
      </c>
      <c r="D99" s="1029" t="s">
        <v>1455</v>
      </c>
      <c r="E99" s="1110" t="s">
        <v>917</v>
      </c>
      <c r="F99" s="1376"/>
      <c r="G99" s="1376"/>
      <c r="H99" s="1376"/>
      <c r="I99" s="1026" t="str">
        <f t="shared" si="6"/>
        <v/>
      </c>
      <c r="J99" s="1376"/>
      <c r="K99" s="1376" t="str">
        <f t="shared" si="7"/>
        <v/>
      </c>
      <c r="L99" s="1088" t="s">
        <v>1280</v>
      </c>
      <c r="M99" s="1376">
        <v>147</v>
      </c>
      <c r="N99" s="1376"/>
      <c r="O99" s="1370" t="s">
        <v>1276</v>
      </c>
    </row>
    <row r="100" spans="1:15" s="1370" customFormat="1" x14ac:dyDescent="0.25">
      <c r="A100" s="1109" t="s">
        <v>1281</v>
      </c>
      <c r="B100" s="1029" t="str">
        <f t="shared" ca="1" si="10"/>
        <v>U11</v>
      </c>
      <c r="C100" s="1029" t="str">
        <f t="shared" ca="1" si="3"/>
        <v>U</v>
      </c>
      <c r="D100" s="1029" t="s">
        <v>1455</v>
      </c>
      <c r="E100" s="1110" t="s">
        <v>917</v>
      </c>
      <c r="F100" s="1376"/>
      <c r="G100" s="1376"/>
      <c r="H100" s="1376"/>
      <c r="I100" s="1026" t="str">
        <f t="shared" si="6"/>
        <v/>
      </c>
      <c r="J100" s="1376"/>
      <c r="K100" s="1376" t="str">
        <f t="shared" si="7"/>
        <v/>
      </c>
      <c r="L100" s="1088" t="s">
        <v>1281</v>
      </c>
      <c r="M100" s="1376">
        <v>148</v>
      </c>
      <c r="N100" s="1376"/>
    </row>
    <row r="101" spans="1:15" s="1370" customFormat="1" x14ac:dyDescent="0.25">
      <c r="A101" s="1109" t="s">
        <v>1437</v>
      </c>
      <c r="B101" s="1029" t="str">
        <f t="shared" ca="1" si="10"/>
        <v>V11</v>
      </c>
      <c r="C101" s="1029" t="str">
        <f t="shared" ca="1" si="3"/>
        <v>V</v>
      </c>
      <c r="D101" s="1029" t="s">
        <v>1455</v>
      </c>
      <c r="E101" s="1110" t="s">
        <v>917</v>
      </c>
      <c r="F101" s="1376"/>
      <c r="G101" s="1376"/>
      <c r="H101" s="1376"/>
      <c r="I101" s="1026" t="str">
        <f t="shared" si="6"/>
        <v/>
      </c>
      <c r="J101" s="1376"/>
      <c r="K101" s="1376" t="str">
        <f t="shared" si="7"/>
        <v/>
      </c>
      <c r="L101" s="1088" t="s">
        <v>1528</v>
      </c>
      <c r="M101" s="1376">
        <v>149</v>
      </c>
      <c r="N101" s="1376"/>
    </row>
    <row r="102" spans="1:15" s="1370" customFormat="1" x14ac:dyDescent="0.25">
      <c r="A102" s="1109" t="s">
        <v>1735</v>
      </c>
      <c r="B102" s="1029" t="str">
        <f t="shared" ca="1" si="10"/>
        <v/>
      </c>
      <c r="C102" s="1029" t="str">
        <f t="shared" ca="1" si="3"/>
        <v/>
      </c>
      <c r="D102" s="1029" t="s">
        <v>1455</v>
      </c>
      <c r="E102" s="1110" t="s">
        <v>917</v>
      </c>
      <c r="F102" s="1376"/>
      <c r="G102" s="1376"/>
      <c r="H102" s="1376"/>
      <c r="I102" s="1026" t="str">
        <f t="shared" si="6"/>
        <v/>
      </c>
      <c r="J102" s="1376" t="str">
        <f>IF(M102&lt;&gt;"",Q$1&amp;M102,"")</f>
        <v/>
      </c>
      <c r="K102" s="1376" t="str">
        <f t="shared" si="7"/>
        <v/>
      </c>
      <c r="L102" s="1088" t="s">
        <v>1735</v>
      </c>
      <c r="M102" s="1376"/>
      <c r="N102" s="1376"/>
    </row>
    <row r="103" spans="1:15" s="1370" customFormat="1" x14ac:dyDescent="0.25">
      <c r="A103" s="1104" t="s">
        <v>1274</v>
      </c>
      <c r="B103" s="1029" t="str">
        <f ca="1">_xlfn.IFNA(_xlfn.CONCAT(SUBSTITUTE(ADDRESS(1,MATCH(A103,INDIRECT("'"&amp;E103&amp;"'"&amp;"!A5:Z5"),0),4),1,""),12),"")</f>
        <v>H12</v>
      </c>
      <c r="C103" s="1029" t="str">
        <f t="shared" ca="1" si="3"/>
        <v>H</v>
      </c>
      <c r="D103" s="1029" t="s">
        <v>1455</v>
      </c>
      <c r="E103" s="1110" t="s">
        <v>917</v>
      </c>
      <c r="F103" s="1376"/>
      <c r="G103" s="1376"/>
      <c r="H103" s="1376"/>
      <c r="I103" s="1026" t="str">
        <f t="shared" si="6"/>
        <v>Pyramid Segment</v>
      </c>
      <c r="J103" s="1376" t="str">
        <f>IF(M103&lt;&gt;"",Q$1&amp;M103,"")</f>
        <v>161</v>
      </c>
      <c r="K103" s="1376" t="str">
        <f t="shared" si="7"/>
        <v>Customer Inputs</v>
      </c>
      <c r="L103" s="1029" t="s">
        <v>1274</v>
      </c>
      <c r="M103" s="1376">
        <v>161</v>
      </c>
      <c r="N103" s="1376"/>
    </row>
    <row r="104" spans="1:15" s="1370" customFormat="1" x14ac:dyDescent="0.25">
      <c r="A104" s="1105" t="s">
        <v>1355</v>
      </c>
      <c r="B104" s="1029" t="str">
        <f t="shared" ref="B104:B112" ca="1" si="11">_xlfn.IFNA(_xlfn.CONCAT(SUBSTITUTE(ADDRESS(1,MATCH(A104,INDIRECT("'"&amp;E104&amp;"'"&amp;"!A5:Z5"),0),4),1,""),12),"")</f>
        <v>I12</v>
      </c>
      <c r="C104" s="1029" t="str">
        <f t="shared" ca="1" si="3"/>
        <v>I</v>
      </c>
      <c r="D104" s="1029" t="s">
        <v>1455</v>
      </c>
      <c r="E104" s="1110" t="s">
        <v>917</v>
      </c>
      <c r="F104" s="1376"/>
      <c r="G104" s="1376"/>
      <c r="H104" s="1376"/>
      <c r="I104" s="1026" t="str">
        <f t="shared" si="6"/>
        <v>Agreement Annual Purchase Commitment</v>
      </c>
      <c r="J104" s="1376" t="str">
        <f>IF(M104&lt;&gt;"",Q$1&amp;M104,"")</f>
        <v>163</v>
      </c>
      <c r="K104" s="1376" t="str">
        <f t="shared" si="7"/>
        <v>Customer Inputs</v>
      </c>
      <c r="L104" s="52" t="s">
        <v>1355</v>
      </c>
      <c r="M104" s="1376">
        <v>163</v>
      </c>
      <c r="N104" s="1376"/>
    </row>
    <row r="105" spans="1:15" s="1370" customFormat="1" ht="30" x14ac:dyDescent="0.25">
      <c r="A105" s="1104" t="s">
        <v>1356</v>
      </c>
      <c r="B105" s="1029" t="str">
        <f t="shared" ca="1" si="11"/>
        <v>J12</v>
      </c>
      <c r="C105" s="1029" t="str">
        <f t="shared" ca="1" si="3"/>
        <v>J</v>
      </c>
      <c r="D105" s="1029" t="s">
        <v>1455</v>
      </c>
      <c r="E105" s="1110" t="s">
        <v>917</v>
      </c>
      <c r="F105" s="1376"/>
      <c r="G105" s="1376"/>
      <c r="H105" s="1376"/>
      <c r="I105" s="1026" t="str">
        <f t="shared" si="6"/>
        <v>Agreement Deliveries Per Customer Unit Per Week</v>
      </c>
      <c r="J105" s="1376" t="str">
        <f>IF(M105&lt;&gt;"",Q$1&amp;M105,"")</f>
        <v>164</v>
      </c>
      <c r="K105" s="1376" t="str">
        <f t="shared" si="7"/>
        <v>Customer Inputs</v>
      </c>
      <c r="L105" s="1029" t="s">
        <v>1356</v>
      </c>
      <c r="M105" s="1376">
        <v>164</v>
      </c>
      <c r="N105" s="1376"/>
    </row>
    <row r="106" spans="1:15" s="1370" customFormat="1" x14ac:dyDescent="0.25">
      <c r="A106" s="1104" t="s">
        <v>1277</v>
      </c>
      <c r="B106" s="1029" t="str">
        <f ca="1">_xlfn.IFNA(_xlfn.CONCAT(IF('[2]Customer Inputs'!$U$12="Existing",SUBSTITUTE(ADDRESS(1,MATCH(O106,INDIRECT("'"&amp;E106&amp;"'"&amp;"!A5:Z5"),0),4),1,""),SUBSTITUTE(ADDRESS(1,MATCH(A106,INDIRECT("'"&amp;E106&amp;"'"&amp;"!A5:Z5"),0),4),1,"")),12),"")</f>
        <v>P12</v>
      </c>
      <c r="C106" s="1029" t="str">
        <f ca="1">_xlfn.IFNA(IF('[2]Customer Inputs'!$U$12="Existing",SUBSTITUTE(ADDRESS(1,MATCH(O106,INDIRECT("'"&amp;E106&amp;"'"&amp;"!A5:Z5"),0),4),1,""),SUBSTITUTE(ADDRESS(1,MATCH(A106,INDIRECT("'"&amp;E106&amp;"'"&amp;"!A5:Z5"),0),4),1,"")),"")</f>
        <v>P</v>
      </c>
      <c r="D106" s="1029" t="s">
        <v>1455</v>
      </c>
      <c r="E106" s="1110" t="s">
        <v>917</v>
      </c>
      <c r="F106" s="1376"/>
      <c r="G106" s="1376"/>
      <c r="H106" s="1376"/>
      <c r="I106" s="1026" t="str">
        <f t="shared" si="6"/>
        <v/>
      </c>
      <c r="J106" s="1376"/>
      <c r="K106" s="1376" t="str">
        <f t="shared" si="7"/>
        <v/>
      </c>
      <c r="L106" s="1029" t="s">
        <v>1277</v>
      </c>
      <c r="M106" s="1376">
        <v>165</v>
      </c>
      <c r="N106" s="1376"/>
      <c r="O106" s="1370" t="s">
        <v>915</v>
      </c>
    </row>
    <row r="107" spans="1:15" s="1370" customFormat="1" x14ac:dyDescent="0.25">
      <c r="A107" s="1106" t="s">
        <v>1278</v>
      </c>
      <c r="B107" s="1029" t="str">
        <f ca="1">_xlfn.IFNA(_xlfn.CONCAT(IF('[2]Customer Inputs'!$U$12="Existing",SUBSTITUTE(ADDRESS(1,MATCH(O107,INDIRECT("'"&amp;E107&amp;"'"&amp;"!A5:Z5"),0),4),1,""),SUBSTITUTE(ADDRESS(1,MATCH(A107,INDIRECT("'"&amp;E107&amp;"'"&amp;"!A5:Z5"),0),4),1,"")),12),"")</f>
        <v>Q12</v>
      </c>
      <c r="C107" s="1029" t="str">
        <f ca="1">_xlfn.IFNA(IF('[2]Customer Inputs'!$U$12="Existing",SUBSTITUTE(ADDRESS(1,MATCH(O107,INDIRECT("'"&amp;E107&amp;"'"&amp;"!A5:Z5"),0),4),1,""),SUBSTITUTE(ADDRESS(1,MATCH(A107,INDIRECT("'"&amp;E107&amp;"'"&amp;"!A5:Z5"),0),4),1,"")),"")</f>
        <v>Q</v>
      </c>
      <c r="D107" s="1029" t="s">
        <v>1455</v>
      </c>
      <c r="E107" s="1110" t="s">
        <v>917</v>
      </c>
      <c r="F107" s="1376"/>
      <c r="G107" s="1376"/>
      <c r="H107" s="1376"/>
      <c r="I107" s="1026" t="str">
        <f t="shared" si="6"/>
        <v/>
      </c>
      <c r="J107" s="1376"/>
      <c r="K107" s="1376" t="str">
        <f t="shared" si="7"/>
        <v/>
      </c>
      <c r="L107" s="1088" t="s">
        <v>1278</v>
      </c>
      <c r="M107" s="1376">
        <v>166</v>
      </c>
      <c r="N107" s="1376"/>
      <c r="O107" s="1370" t="s">
        <v>1275</v>
      </c>
    </row>
    <row r="108" spans="1:15" s="1370" customFormat="1" x14ac:dyDescent="0.25">
      <c r="A108" s="1106" t="s">
        <v>1279</v>
      </c>
      <c r="B108" s="1029" t="str">
        <f ca="1">_xlfn.IFNA(_xlfn.CONCAT(IF('[2]Customer Inputs'!$U$12="Existing",SUBSTITUTE(ADDRESS(1,MATCH(O108,INDIRECT("'"&amp;E108&amp;"'"&amp;"!A5:Z5"),0),4),1,""),SUBSTITUTE(ADDRESS(1,MATCH(A108,INDIRECT("'"&amp;E108&amp;"'"&amp;"!A5:Z5"),0),4),1,"")),12),"")</f>
        <v>R12</v>
      </c>
      <c r="C108" s="1029" t="str">
        <f ca="1">_xlfn.IFNA(IF('[2]Customer Inputs'!$U$12="Existing",SUBSTITUTE(ADDRESS(1,MATCH(O108,INDIRECT("'"&amp;E108&amp;"'"&amp;"!A5:Z5"),0),4),1,""),SUBSTITUTE(ADDRESS(1,MATCH(A108,INDIRECT("'"&amp;E108&amp;"'"&amp;"!A5:Z5"),0),4),1,"")),"")</f>
        <v>R</v>
      </c>
      <c r="D108" s="1029" t="s">
        <v>1455</v>
      </c>
      <c r="E108" s="1110" t="s">
        <v>917</v>
      </c>
      <c r="F108" s="1376"/>
      <c r="G108" s="1376"/>
      <c r="H108" s="1376"/>
      <c r="I108" s="1026" t="str">
        <f t="shared" si="6"/>
        <v/>
      </c>
      <c r="J108" s="1376"/>
      <c r="K108" s="1376" t="str">
        <f t="shared" si="7"/>
        <v/>
      </c>
      <c r="L108" s="1088" t="s">
        <v>1279</v>
      </c>
      <c r="M108" s="1376">
        <v>167</v>
      </c>
      <c r="N108" s="1376"/>
      <c r="O108" s="1370" t="s">
        <v>1282</v>
      </c>
    </row>
    <row r="109" spans="1:15" s="1370" customFormat="1" x14ac:dyDescent="0.25">
      <c r="A109" s="1106" t="s">
        <v>1280</v>
      </c>
      <c r="B109" s="1029" t="str">
        <f ca="1">_xlfn.IFNA(_xlfn.CONCAT(IF('[2]Customer Inputs'!$U$12="Existing",SUBSTITUTE(ADDRESS(1,MATCH(O109,INDIRECT("'"&amp;E109&amp;"'"&amp;"!A5:Z5"),0),4),1,""),SUBSTITUTE(ADDRESS(1,MATCH(A109,INDIRECT("'"&amp;E109&amp;"'"&amp;"!A5:Z5"),0),4),1,"")),12),"")</f>
        <v>T12</v>
      </c>
      <c r="C109" s="1029" t="str">
        <f ca="1">_xlfn.IFNA(IF('[2]Customer Inputs'!$U$12="Existing",SUBSTITUTE(ADDRESS(1,MATCH(O109,INDIRECT("'"&amp;E109&amp;"'"&amp;"!A5:Z5"),0),4),1,""),SUBSTITUTE(ADDRESS(1,MATCH(A109,INDIRECT("'"&amp;E109&amp;"'"&amp;"!A5:Z5"),0),4),1,"")),"")</f>
        <v>T</v>
      </c>
      <c r="D109" s="1029" t="s">
        <v>1455</v>
      </c>
      <c r="E109" s="1110" t="s">
        <v>917</v>
      </c>
      <c r="F109" s="1376"/>
      <c r="G109" s="1376"/>
      <c r="H109" s="1376"/>
      <c r="I109" s="1026" t="str">
        <f t="shared" si="6"/>
        <v/>
      </c>
      <c r="J109" s="1376"/>
      <c r="K109" s="1376" t="str">
        <f t="shared" si="7"/>
        <v/>
      </c>
      <c r="L109" s="1088" t="s">
        <v>1280</v>
      </c>
      <c r="M109" s="1376">
        <v>168</v>
      </c>
      <c r="N109" s="1376"/>
      <c r="O109" s="1370" t="s">
        <v>1276</v>
      </c>
    </row>
    <row r="110" spans="1:15" s="1370" customFormat="1" x14ac:dyDescent="0.25">
      <c r="A110" s="1106" t="s">
        <v>1281</v>
      </c>
      <c r="B110" s="1029" t="str">
        <f t="shared" ca="1" si="11"/>
        <v>U12</v>
      </c>
      <c r="C110" s="1029" t="str">
        <f t="shared" ca="1" si="3"/>
        <v>U</v>
      </c>
      <c r="D110" s="1029" t="s">
        <v>1455</v>
      </c>
      <c r="E110" s="1110" t="s">
        <v>917</v>
      </c>
      <c r="F110" s="1376"/>
      <c r="G110" s="1376"/>
      <c r="H110" s="1376"/>
      <c r="I110" s="1026" t="str">
        <f t="shared" si="6"/>
        <v/>
      </c>
      <c r="J110" s="1376"/>
      <c r="K110" s="1376" t="str">
        <f t="shared" si="7"/>
        <v/>
      </c>
      <c r="L110" s="1088" t="s">
        <v>1281</v>
      </c>
      <c r="M110" s="1376">
        <v>169</v>
      </c>
      <c r="N110" s="1376"/>
    </row>
    <row r="111" spans="1:15" s="1370" customFormat="1" x14ac:dyDescent="0.25">
      <c r="A111" s="1106" t="s">
        <v>1437</v>
      </c>
      <c r="B111" s="1029" t="str">
        <f t="shared" ca="1" si="11"/>
        <v>V12</v>
      </c>
      <c r="C111" s="1029" t="str">
        <f t="shared" ca="1" si="3"/>
        <v>V</v>
      </c>
      <c r="D111" s="1029" t="s">
        <v>1455</v>
      </c>
      <c r="E111" s="1110" t="s">
        <v>917</v>
      </c>
      <c r="F111" s="1376"/>
      <c r="G111" s="1376"/>
      <c r="H111" s="1376"/>
      <c r="I111" s="1026" t="str">
        <f t="shared" si="6"/>
        <v/>
      </c>
      <c r="J111" s="1376"/>
      <c r="K111" s="1376" t="str">
        <f t="shared" si="7"/>
        <v/>
      </c>
      <c r="L111" s="1088" t="s">
        <v>1528</v>
      </c>
      <c r="M111" s="1376">
        <v>170</v>
      </c>
      <c r="N111" s="1376"/>
    </row>
    <row r="112" spans="1:15" s="1370" customFormat="1" x14ac:dyDescent="0.25">
      <c r="A112" s="1106" t="s">
        <v>1735</v>
      </c>
      <c r="B112" s="1029" t="str">
        <f t="shared" ca="1" si="11"/>
        <v/>
      </c>
      <c r="C112" s="1029" t="str">
        <f t="shared" ca="1" si="3"/>
        <v/>
      </c>
      <c r="D112" s="1029" t="s">
        <v>1455</v>
      </c>
      <c r="E112" s="1110" t="s">
        <v>917</v>
      </c>
      <c r="F112" s="1376"/>
      <c r="G112" s="1376"/>
      <c r="H112" s="1376"/>
      <c r="I112" s="1026" t="str">
        <f t="shared" si="6"/>
        <v/>
      </c>
      <c r="J112" s="1376" t="str">
        <f>IF(M112&lt;&gt;"",Q$1&amp;M112,"")</f>
        <v/>
      </c>
      <c r="K112" s="1376" t="str">
        <f t="shared" si="7"/>
        <v/>
      </c>
      <c r="L112" s="1088" t="s">
        <v>1735</v>
      </c>
      <c r="M112" s="1376"/>
      <c r="N112" s="1376"/>
    </row>
    <row r="113" spans="1:15" s="1370" customFormat="1" x14ac:dyDescent="0.25">
      <c r="A113" s="1107" t="s">
        <v>1274</v>
      </c>
      <c r="B113" s="1029" t="str">
        <f ca="1">_xlfn.IFNA(_xlfn.CONCAT(SUBSTITUTE(ADDRESS(1,MATCH(A113,INDIRECT("'"&amp;E113&amp;"'"&amp;"!A5:Z5"),0),4),1,""),13),"")</f>
        <v>H13</v>
      </c>
      <c r="C113" s="1029" t="str">
        <f t="shared" ca="1" si="3"/>
        <v>H</v>
      </c>
      <c r="D113" s="1029" t="s">
        <v>1455</v>
      </c>
      <c r="E113" s="1110" t="s">
        <v>917</v>
      </c>
      <c r="F113" s="1376"/>
      <c r="G113" s="1376"/>
      <c r="H113" s="1376"/>
      <c r="I113" s="1026" t="str">
        <f t="shared" si="6"/>
        <v>Pyramid Segment</v>
      </c>
      <c r="J113" s="1376" t="str">
        <f>IF(M113&lt;&gt;"",Q$1&amp;M113,"")</f>
        <v>182</v>
      </c>
      <c r="K113" s="1376" t="str">
        <f t="shared" si="7"/>
        <v>Customer Inputs</v>
      </c>
      <c r="L113" s="1029" t="s">
        <v>1274</v>
      </c>
      <c r="M113" s="1376">
        <v>182</v>
      </c>
      <c r="N113" s="1376"/>
    </row>
    <row r="114" spans="1:15" s="1370" customFormat="1" x14ac:dyDescent="0.25">
      <c r="A114" s="1108" t="s">
        <v>1355</v>
      </c>
      <c r="B114" s="1029" t="str">
        <f t="shared" ref="B114:B122" ca="1" si="12">_xlfn.IFNA(_xlfn.CONCAT(SUBSTITUTE(ADDRESS(1,MATCH(A114,INDIRECT("'"&amp;E114&amp;"'"&amp;"!A5:Z5"),0),4),1,""),13),"")</f>
        <v>I13</v>
      </c>
      <c r="C114" s="1029" t="str">
        <f t="shared" ca="1" si="3"/>
        <v>I</v>
      </c>
      <c r="D114" s="1029" t="s">
        <v>1455</v>
      </c>
      <c r="E114" s="1110" t="s">
        <v>917</v>
      </c>
      <c r="F114" s="1376"/>
      <c r="G114" s="1376"/>
      <c r="H114" s="1376"/>
      <c r="I114" s="1026" t="str">
        <f t="shared" si="6"/>
        <v>Agreement Annual Purchase Commitment</v>
      </c>
      <c r="J114" s="1376" t="str">
        <f>IF(M114&lt;&gt;"",Q$1&amp;M114,"")</f>
        <v>184</v>
      </c>
      <c r="K114" s="1376" t="str">
        <f t="shared" si="7"/>
        <v>Customer Inputs</v>
      </c>
      <c r="L114" s="52" t="s">
        <v>1355</v>
      </c>
      <c r="M114" s="1376">
        <v>184</v>
      </c>
      <c r="N114" s="1376"/>
    </row>
    <row r="115" spans="1:15" s="1370" customFormat="1" ht="30" x14ac:dyDescent="0.25">
      <c r="A115" s="1107" t="s">
        <v>1356</v>
      </c>
      <c r="B115" s="1029" t="str">
        <f t="shared" ca="1" si="12"/>
        <v>J13</v>
      </c>
      <c r="C115" s="1029" t="str">
        <f t="shared" ca="1" si="3"/>
        <v>J</v>
      </c>
      <c r="D115" s="1029" t="s">
        <v>1455</v>
      </c>
      <c r="E115" s="1110" t="s">
        <v>917</v>
      </c>
      <c r="F115" s="1376"/>
      <c r="G115" s="1376"/>
      <c r="H115" s="1376"/>
      <c r="I115" s="1026" t="str">
        <f t="shared" si="6"/>
        <v>Agreement Deliveries Per Customer Unit Per Week</v>
      </c>
      <c r="J115" s="1376" t="str">
        <f>IF(M115&lt;&gt;"",Q$1&amp;M115,"")</f>
        <v>185</v>
      </c>
      <c r="K115" s="1376" t="str">
        <f t="shared" si="7"/>
        <v>Customer Inputs</v>
      </c>
      <c r="L115" s="1029" t="s">
        <v>1356</v>
      </c>
      <c r="M115" s="1376">
        <v>185</v>
      </c>
      <c r="N115" s="1376"/>
    </row>
    <row r="116" spans="1:15" s="1370" customFormat="1" x14ac:dyDescent="0.25">
      <c r="A116" s="1107" t="s">
        <v>1277</v>
      </c>
      <c r="B116" s="1029" t="str">
        <f ca="1">_xlfn.IFNA(_xlfn.CONCAT(IF('[2]Customer Inputs'!$U$13="Existing",SUBSTITUTE(ADDRESS(1,MATCH(O116,INDIRECT("'"&amp;E116&amp;"'"&amp;"!A5:Z5"),0),4),1,""),SUBSTITUTE(ADDRESS(1,MATCH(A116,INDIRECT("'"&amp;E116&amp;"'"&amp;"!A5:Z5"),0),4),1,"")),13),"")</f>
        <v>P13</v>
      </c>
      <c r="C116" s="1029" t="str">
        <f ca="1">_xlfn.IFNA(IF('[2]Customer Inputs'!$U$13="Existing",SUBSTITUTE(ADDRESS(1,MATCH(O116,INDIRECT("'"&amp;E116&amp;"'"&amp;"!A5:Z5"),0),4),1,""),SUBSTITUTE(ADDRESS(1,MATCH(A116,INDIRECT("'"&amp;E116&amp;"'"&amp;"!A5:Z5"),0),4),1,"")),"")</f>
        <v>P</v>
      </c>
      <c r="D116" s="1029" t="s">
        <v>1455</v>
      </c>
      <c r="E116" s="1110" t="s">
        <v>917</v>
      </c>
      <c r="F116" s="1376"/>
      <c r="G116" s="1376"/>
      <c r="H116" s="1376"/>
      <c r="I116" s="1026" t="str">
        <f t="shared" si="6"/>
        <v/>
      </c>
      <c r="J116" s="1376"/>
      <c r="K116" s="1376" t="str">
        <f t="shared" si="7"/>
        <v/>
      </c>
      <c r="L116" s="1029" t="s">
        <v>1277</v>
      </c>
      <c r="M116" s="1376">
        <v>186</v>
      </c>
      <c r="N116" s="1376"/>
      <c r="O116" s="1370" t="s">
        <v>915</v>
      </c>
    </row>
    <row r="117" spans="1:15" s="1370" customFormat="1" x14ac:dyDescent="0.25">
      <c r="A117" s="1109" t="s">
        <v>1278</v>
      </c>
      <c r="B117" s="1029" t="str">
        <f ca="1">_xlfn.IFNA(_xlfn.CONCAT(IF('[2]Customer Inputs'!$U$13="Existing",SUBSTITUTE(ADDRESS(1,MATCH(O117,INDIRECT("'"&amp;E117&amp;"'"&amp;"!A5:Z5"),0),4),1,""),SUBSTITUTE(ADDRESS(1,MATCH(A117,INDIRECT("'"&amp;E117&amp;"'"&amp;"!A5:Z5"),0),4),1,"")),13),"")</f>
        <v>Q13</v>
      </c>
      <c r="C117" s="1029" t="str">
        <f ca="1">_xlfn.IFNA(IF('[2]Customer Inputs'!$U$13="Existing",SUBSTITUTE(ADDRESS(1,MATCH(O117,INDIRECT("'"&amp;E117&amp;"'"&amp;"!A5:Z5"),0),4),1,""),SUBSTITUTE(ADDRESS(1,MATCH(A117,INDIRECT("'"&amp;E117&amp;"'"&amp;"!A5:Z5"),0),4),1,"")),"")</f>
        <v>Q</v>
      </c>
      <c r="D117" s="1029" t="s">
        <v>1455</v>
      </c>
      <c r="E117" s="1110" t="s">
        <v>917</v>
      </c>
      <c r="F117" s="1376"/>
      <c r="G117" s="1376"/>
      <c r="H117" s="1376"/>
      <c r="I117" s="1026" t="str">
        <f t="shared" si="6"/>
        <v/>
      </c>
      <c r="J117" s="1376"/>
      <c r="K117" s="1376" t="str">
        <f t="shared" si="7"/>
        <v/>
      </c>
      <c r="L117" s="1088" t="s">
        <v>1278</v>
      </c>
      <c r="M117" s="1376">
        <v>187</v>
      </c>
      <c r="N117" s="1376"/>
      <c r="O117" s="1370" t="s">
        <v>1275</v>
      </c>
    </row>
    <row r="118" spans="1:15" s="1370" customFormat="1" x14ac:dyDescent="0.25">
      <c r="A118" s="1109" t="s">
        <v>1279</v>
      </c>
      <c r="B118" s="1029" t="str">
        <f ca="1">_xlfn.IFNA(_xlfn.CONCAT(IF('[2]Customer Inputs'!$U$13="Existing",SUBSTITUTE(ADDRESS(1,MATCH(O118,INDIRECT("'"&amp;E118&amp;"'"&amp;"!A5:Z5"),0),4),1,""),SUBSTITUTE(ADDRESS(1,MATCH(A118,INDIRECT("'"&amp;E118&amp;"'"&amp;"!A5:Z5"),0),4),1,"")),13),"")</f>
        <v>R13</v>
      </c>
      <c r="C118" s="1029" t="str">
        <f ca="1">_xlfn.IFNA(IF('[2]Customer Inputs'!$U$13="Existing",SUBSTITUTE(ADDRESS(1,MATCH(O118,INDIRECT("'"&amp;E118&amp;"'"&amp;"!A5:Z5"),0),4),1,""),SUBSTITUTE(ADDRESS(1,MATCH(A118,INDIRECT("'"&amp;E118&amp;"'"&amp;"!A5:Z5"),0),4),1,"")),"")</f>
        <v>R</v>
      </c>
      <c r="D118" s="1029" t="s">
        <v>1455</v>
      </c>
      <c r="E118" s="1110" t="s">
        <v>917</v>
      </c>
      <c r="F118" s="1376"/>
      <c r="G118" s="1376"/>
      <c r="H118" s="1376"/>
      <c r="I118" s="1026" t="str">
        <f t="shared" si="6"/>
        <v/>
      </c>
      <c r="J118" s="1376"/>
      <c r="K118" s="1376" t="str">
        <f t="shared" si="7"/>
        <v/>
      </c>
      <c r="L118" s="1088" t="s">
        <v>1279</v>
      </c>
      <c r="M118" s="1376">
        <v>188</v>
      </c>
      <c r="N118" s="1376"/>
      <c r="O118" s="1370" t="s">
        <v>1282</v>
      </c>
    </row>
    <row r="119" spans="1:15" s="1370" customFormat="1" x14ac:dyDescent="0.25">
      <c r="A119" s="1109" t="s">
        <v>1280</v>
      </c>
      <c r="B119" s="1029" t="str">
        <f ca="1">_xlfn.IFNA(_xlfn.CONCAT(IF('[2]Customer Inputs'!$U$13="Existing",SUBSTITUTE(ADDRESS(1,MATCH(O119,INDIRECT("'"&amp;E119&amp;"'"&amp;"!A5:Z5"),0),4),1,""),SUBSTITUTE(ADDRESS(1,MATCH(A119,INDIRECT("'"&amp;E119&amp;"'"&amp;"!A5:Z5"),0),4),1,"")),13),"")</f>
        <v>T13</v>
      </c>
      <c r="C119" s="1029" t="str">
        <f ca="1">_xlfn.IFNA(IF('[2]Customer Inputs'!$U$13="Existing",SUBSTITUTE(ADDRESS(1,MATCH(O119,INDIRECT("'"&amp;E119&amp;"'"&amp;"!A5:Z5"),0),4),1,""),SUBSTITUTE(ADDRESS(1,MATCH(A119,INDIRECT("'"&amp;E119&amp;"'"&amp;"!A5:Z5"),0),4),1,"")),"")</f>
        <v>T</v>
      </c>
      <c r="D119" s="1029" t="s">
        <v>1455</v>
      </c>
      <c r="E119" s="1110" t="s">
        <v>917</v>
      </c>
      <c r="F119" s="1376"/>
      <c r="G119" s="1376"/>
      <c r="H119" s="1376"/>
      <c r="I119" s="1026" t="str">
        <f t="shared" si="6"/>
        <v/>
      </c>
      <c r="J119" s="1376"/>
      <c r="K119" s="1376" t="str">
        <f t="shared" si="7"/>
        <v/>
      </c>
      <c r="L119" s="1088" t="s">
        <v>1280</v>
      </c>
      <c r="M119" s="1376">
        <v>189</v>
      </c>
      <c r="N119" s="1376"/>
      <c r="O119" s="1370" t="s">
        <v>1276</v>
      </c>
    </row>
    <row r="120" spans="1:15" s="1370" customFormat="1" x14ac:dyDescent="0.25">
      <c r="A120" s="1109" t="s">
        <v>1281</v>
      </c>
      <c r="B120" s="1029" t="str">
        <f t="shared" ca="1" si="12"/>
        <v>U13</v>
      </c>
      <c r="C120" s="1029" t="str">
        <f t="shared" ref="C120:C135" ca="1" si="13">_xlfn.IFNA(SUBSTITUTE(ADDRESS(1,MATCH(A120,INDIRECT("'"&amp;E120&amp;"'"&amp;"!A5:Z5"),0),4),1,""),"")</f>
        <v>U</v>
      </c>
      <c r="D120" s="1029" t="s">
        <v>1455</v>
      </c>
      <c r="E120" s="1110" t="s">
        <v>917</v>
      </c>
      <c r="F120" s="1376"/>
      <c r="G120" s="1376"/>
      <c r="H120" s="1376"/>
      <c r="I120" s="1026" t="str">
        <f t="shared" si="6"/>
        <v/>
      </c>
      <c r="J120" s="1376"/>
      <c r="K120" s="1376" t="str">
        <f t="shared" si="7"/>
        <v/>
      </c>
      <c r="L120" s="1088" t="s">
        <v>1281</v>
      </c>
      <c r="M120" s="1376">
        <v>190</v>
      </c>
      <c r="N120" s="1376"/>
    </row>
    <row r="121" spans="1:15" s="1370" customFormat="1" x14ac:dyDescent="0.25">
      <c r="A121" s="1109" t="s">
        <v>1437</v>
      </c>
      <c r="B121" s="1029" t="str">
        <f t="shared" ca="1" si="12"/>
        <v>V13</v>
      </c>
      <c r="C121" s="1029" t="str">
        <f t="shared" ca="1" si="13"/>
        <v>V</v>
      </c>
      <c r="D121" s="1029" t="s">
        <v>1455</v>
      </c>
      <c r="E121" s="1110" t="s">
        <v>917</v>
      </c>
      <c r="F121" s="1376"/>
      <c r="G121" s="1376"/>
      <c r="H121" s="1376"/>
      <c r="I121" s="1026" t="str">
        <f t="shared" si="6"/>
        <v/>
      </c>
      <c r="J121" s="1376"/>
      <c r="K121" s="1376" t="str">
        <f t="shared" si="7"/>
        <v/>
      </c>
      <c r="L121" s="1088" t="s">
        <v>1528</v>
      </c>
      <c r="M121" s="1376">
        <v>191</v>
      </c>
      <c r="N121" s="1376"/>
    </row>
    <row r="122" spans="1:15" s="1370" customFormat="1" x14ac:dyDescent="0.25">
      <c r="A122" s="1109" t="s">
        <v>1735</v>
      </c>
      <c r="B122" s="1029" t="str">
        <f t="shared" ca="1" si="12"/>
        <v/>
      </c>
      <c r="C122" s="1029" t="str">
        <f t="shared" ca="1" si="13"/>
        <v/>
      </c>
      <c r="D122" s="1029" t="s">
        <v>1455</v>
      </c>
      <c r="E122" s="1110" t="s">
        <v>917</v>
      </c>
      <c r="F122" s="1376"/>
      <c r="G122" s="1376"/>
      <c r="H122" s="1376"/>
      <c r="I122" s="1026" t="str">
        <f t="shared" si="6"/>
        <v/>
      </c>
      <c r="J122" s="1376" t="str">
        <f>IF(M122&lt;&gt;"",Q$1&amp;M122,"")</f>
        <v/>
      </c>
      <c r="K122" s="1376" t="str">
        <f t="shared" si="7"/>
        <v/>
      </c>
      <c r="L122" s="1088" t="s">
        <v>1735</v>
      </c>
      <c r="M122" s="1376"/>
      <c r="N122" s="1376"/>
    </row>
    <row r="123" spans="1:15" s="1370" customFormat="1" x14ac:dyDescent="0.25">
      <c r="A123" s="1104" t="s">
        <v>1274</v>
      </c>
      <c r="B123" s="1029" t="str">
        <f ca="1">_xlfn.IFNA(_xlfn.CONCAT(SUBSTITUTE(ADDRESS(1,MATCH(A123,INDIRECT("'"&amp;E123&amp;"'"&amp;"!A5:Z5"),0),4),1,""),14),"")</f>
        <v>H14</v>
      </c>
      <c r="C123" s="1029" t="str">
        <f t="shared" ca="1" si="13"/>
        <v>H</v>
      </c>
      <c r="D123" s="1029" t="s">
        <v>1455</v>
      </c>
      <c r="E123" s="1110" t="s">
        <v>917</v>
      </c>
      <c r="F123" s="1376"/>
      <c r="G123" s="1376"/>
      <c r="H123" s="1376"/>
      <c r="I123" s="1026" t="str">
        <f t="shared" si="6"/>
        <v>Pyramid Segment</v>
      </c>
      <c r="J123" s="1376" t="str">
        <f>IF(M123&lt;&gt;"",Q$1&amp;M123,"")</f>
        <v>203</v>
      </c>
      <c r="K123" s="1376" t="str">
        <f t="shared" si="7"/>
        <v>Customer Inputs</v>
      </c>
      <c r="L123" s="1029" t="s">
        <v>1274</v>
      </c>
      <c r="M123" s="1376">
        <v>203</v>
      </c>
      <c r="N123" s="1376"/>
    </row>
    <row r="124" spans="1:15" s="1370" customFormat="1" x14ac:dyDescent="0.25">
      <c r="A124" s="1105" t="s">
        <v>1355</v>
      </c>
      <c r="B124" s="1029" t="str">
        <f t="shared" ref="B124:B132" ca="1" si="14">_xlfn.IFNA(_xlfn.CONCAT(SUBSTITUTE(ADDRESS(1,MATCH(A124,INDIRECT("'"&amp;E124&amp;"'"&amp;"!A5:Z5"),0),4),1,""),14),"")</f>
        <v>I14</v>
      </c>
      <c r="C124" s="1029" t="str">
        <f t="shared" ca="1" si="13"/>
        <v>I</v>
      </c>
      <c r="D124" s="1029" t="s">
        <v>1455</v>
      </c>
      <c r="E124" s="1110" t="s">
        <v>917</v>
      </c>
      <c r="F124" s="1376"/>
      <c r="G124" s="1376"/>
      <c r="H124" s="1376"/>
      <c r="I124" s="1026" t="str">
        <f t="shared" si="6"/>
        <v>Agreement Annual Purchase Commitment</v>
      </c>
      <c r="J124" s="1376" t="str">
        <f>IF(M124&lt;&gt;"",Q$1&amp;M124,"")</f>
        <v>205</v>
      </c>
      <c r="K124" s="1376" t="str">
        <f t="shared" si="7"/>
        <v>Customer Inputs</v>
      </c>
      <c r="L124" s="52" t="s">
        <v>1355</v>
      </c>
      <c r="M124" s="1376">
        <v>205</v>
      </c>
      <c r="N124" s="1376"/>
    </row>
    <row r="125" spans="1:15" s="1370" customFormat="1" ht="30" x14ac:dyDescent="0.25">
      <c r="A125" s="1104" t="s">
        <v>1356</v>
      </c>
      <c r="B125" s="1029" t="str">
        <f t="shared" ca="1" si="14"/>
        <v>J14</v>
      </c>
      <c r="C125" s="1029" t="str">
        <f t="shared" ca="1" si="13"/>
        <v>J</v>
      </c>
      <c r="D125" s="1029" t="s">
        <v>1455</v>
      </c>
      <c r="E125" s="1110" t="s">
        <v>917</v>
      </c>
      <c r="F125" s="1376"/>
      <c r="G125" s="1376"/>
      <c r="H125" s="1376"/>
      <c r="I125" s="1026" t="str">
        <f t="shared" si="6"/>
        <v>Agreement Deliveries Per Customer Unit Per Week</v>
      </c>
      <c r="J125" s="1376" t="str">
        <f>IF(M125&lt;&gt;"",Q$1&amp;M125,"")</f>
        <v>206</v>
      </c>
      <c r="K125" s="1376" t="str">
        <f t="shared" si="7"/>
        <v>Customer Inputs</v>
      </c>
      <c r="L125" s="1029" t="s">
        <v>1356</v>
      </c>
      <c r="M125" s="1376">
        <v>206</v>
      </c>
      <c r="N125" s="1376"/>
    </row>
    <row r="126" spans="1:15" s="1370" customFormat="1" x14ac:dyDescent="0.25">
      <c r="A126" s="1104" t="s">
        <v>1277</v>
      </c>
      <c r="B126" s="1029" t="str">
        <f ca="1">_xlfn.IFNA(_xlfn.CONCAT(IF('[2]Customer Inputs'!$U$14="Existing",SUBSTITUTE(ADDRESS(1,MATCH(O126,INDIRECT("'"&amp;E126&amp;"'"&amp;"!A5:Z5"),0),4),1,""),SUBSTITUTE(ADDRESS(1,MATCH(A126,INDIRECT("'"&amp;E126&amp;"'"&amp;"!A5:Z5"),0),4),1,"")),14),"")</f>
        <v>P14</v>
      </c>
      <c r="C126" s="1029" t="str">
        <f ca="1">_xlfn.IFNA(IF('[2]Customer Inputs'!$U$14="Existing",SUBSTITUTE(ADDRESS(1,MATCH(O126,INDIRECT("'"&amp;E126&amp;"'"&amp;"!A5:Z5"),0),4),1,""),SUBSTITUTE(ADDRESS(1,MATCH(A126,INDIRECT("'"&amp;E126&amp;"'"&amp;"!A5:Z5"),0),4),1,"")),"")</f>
        <v>P</v>
      </c>
      <c r="D126" s="1029" t="s">
        <v>1455</v>
      </c>
      <c r="E126" s="1110" t="s">
        <v>917</v>
      </c>
      <c r="F126" s="1376"/>
      <c r="G126" s="1376"/>
      <c r="H126" s="1376"/>
      <c r="I126" s="1026" t="str">
        <f t="shared" si="6"/>
        <v/>
      </c>
      <c r="J126" s="1376"/>
      <c r="K126" s="1376" t="str">
        <f t="shared" si="7"/>
        <v/>
      </c>
      <c r="L126" s="1029" t="s">
        <v>1277</v>
      </c>
      <c r="M126" s="1376">
        <v>207</v>
      </c>
      <c r="N126" s="1376"/>
      <c r="O126" s="1370" t="s">
        <v>915</v>
      </c>
    </row>
    <row r="127" spans="1:15" s="1370" customFormat="1" x14ac:dyDescent="0.25">
      <c r="A127" s="1106" t="s">
        <v>1278</v>
      </c>
      <c r="B127" s="1029" t="str">
        <f ca="1">_xlfn.IFNA(_xlfn.CONCAT(IF('[2]Customer Inputs'!$U$14="Existing",SUBSTITUTE(ADDRESS(1,MATCH(O127,INDIRECT("'"&amp;E127&amp;"'"&amp;"!A5:Z5"),0),4),1,""),SUBSTITUTE(ADDRESS(1,MATCH(A127,INDIRECT("'"&amp;E127&amp;"'"&amp;"!A5:Z5"),0),4),1,"")),14),"")</f>
        <v>Q14</v>
      </c>
      <c r="C127" s="1029" t="str">
        <f ca="1">_xlfn.IFNA(IF('[2]Customer Inputs'!$U$14="Existing",SUBSTITUTE(ADDRESS(1,MATCH(O127,INDIRECT("'"&amp;E127&amp;"'"&amp;"!A5:Z5"),0),4),1,""),SUBSTITUTE(ADDRESS(1,MATCH(A127,INDIRECT("'"&amp;E127&amp;"'"&amp;"!A5:Z5"),0),4),1,"")),"")</f>
        <v>Q</v>
      </c>
      <c r="D127" s="1029" t="s">
        <v>1455</v>
      </c>
      <c r="E127" s="1110" t="s">
        <v>917</v>
      </c>
      <c r="F127" s="1376"/>
      <c r="G127" s="1376"/>
      <c r="H127" s="1376"/>
      <c r="I127" s="1026" t="str">
        <f t="shared" si="6"/>
        <v/>
      </c>
      <c r="J127" s="1376"/>
      <c r="K127" s="1376" t="str">
        <f t="shared" si="7"/>
        <v/>
      </c>
      <c r="L127" s="1088" t="s">
        <v>1278</v>
      </c>
      <c r="M127" s="1376">
        <v>208</v>
      </c>
      <c r="N127" s="1376"/>
      <c r="O127" s="1370" t="s">
        <v>1275</v>
      </c>
    </row>
    <row r="128" spans="1:15" s="1370" customFormat="1" x14ac:dyDescent="0.25">
      <c r="A128" s="1106" t="s">
        <v>1279</v>
      </c>
      <c r="B128" s="1029" t="str">
        <f ca="1">_xlfn.IFNA(_xlfn.CONCAT(IF('[2]Customer Inputs'!$U$14="Existing",SUBSTITUTE(ADDRESS(1,MATCH(O128,INDIRECT("'"&amp;E128&amp;"'"&amp;"!A5:Z5"),0),4),1,""),SUBSTITUTE(ADDRESS(1,MATCH(A128,INDIRECT("'"&amp;E128&amp;"'"&amp;"!A5:Z5"),0),4),1,"")),14),"")</f>
        <v>R14</v>
      </c>
      <c r="C128" s="1029" t="str">
        <f ca="1">_xlfn.IFNA(IF('[2]Customer Inputs'!$U$14="Existing",SUBSTITUTE(ADDRESS(1,MATCH(O128,INDIRECT("'"&amp;E128&amp;"'"&amp;"!A5:Z5"),0),4),1,""),SUBSTITUTE(ADDRESS(1,MATCH(A128,INDIRECT("'"&amp;E128&amp;"'"&amp;"!A5:Z5"),0),4),1,"")),"")</f>
        <v>R</v>
      </c>
      <c r="D128" s="1029" t="s">
        <v>1455</v>
      </c>
      <c r="E128" s="1110" t="s">
        <v>917</v>
      </c>
      <c r="F128" s="1376"/>
      <c r="G128" s="1376"/>
      <c r="H128" s="1376"/>
      <c r="I128" s="1026" t="str">
        <f t="shared" si="6"/>
        <v/>
      </c>
      <c r="J128" s="1376"/>
      <c r="K128" s="1376" t="str">
        <f t="shared" si="7"/>
        <v/>
      </c>
      <c r="L128" s="1088" t="s">
        <v>1279</v>
      </c>
      <c r="M128" s="1376">
        <v>209</v>
      </c>
      <c r="N128" s="1376"/>
      <c r="O128" s="1370" t="s">
        <v>1282</v>
      </c>
    </row>
    <row r="129" spans="1:15" s="1370" customFormat="1" x14ac:dyDescent="0.25">
      <c r="A129" s="1106" t="s">
        <v>1280</v>
      </c>
      <c r="B129" s="1029" t="str">
        <f ca="1">_xlfn.IFNA(_xlfn.CONCAT(IF('[2]Customer Inputs'!$U$14="Existing",SUBSTITUTE(ADDRESS(1,MATCH(O129,INDIRECT("'"&amp;E129&amp;"'"&amp;"!A5:Z5"),0),4),1,""),SUBSTITUTE(ADDRESS(1,MATCH(A129,INDIRECT("'"&amp;E129&amp;"'"&amp;"!A5:Z5"),0),4),1,"")),14),"")</f>
        <v>T14</v>
      </c>
      <c r="C129" s="1029" t="str">
        <f ca="1">_xlfn.IFNA(IF('[2]Customer Inputs'!$U$14="Existing",SUBSTITUTE(ADDRESS(1,MATCH(O129,INDIRECT("'"&amp;E129&amp;"'"&amp;"!A5:Z5"),0),4),1,""),SUBSTITUTE(ADDRESS(1,MATCH(A129,INDIRECT("'"&amp;E129&amp;"'"&amp;"!A5:Z5"),0),4),1,"")),"")</f>
        <v>T</v>
      </c>
      <c r="D129" s="1029" t="s">
        <v>1455</v>
      </c>
      <c r="E129" s="1110" t="s">
        <v>917</v>
      </c>
      <c r="F129" s="1376"/>
      <c r="G129" s="1376"/>
      <c r="H129" s="1376"/>
      <c r="I129" s="1026" t="str">
        <f t="shared" si="6"/>
        <v/>
      </c>
      <c r="J129" s="1376"/>
      <c r="K129" s="1376" t="str">
        <f t="shared" si="7"/>
        <v/>
      </c>
      <c r="L129" s="1088" t="s">
        <v>1280</v>
      </c>
      <c r="M129" s="1376">
        <v>210</v>
      </c>
      <c r="N129" s="1376"/>
      <c r="O129" s="1370" t="s">
        <v>1276</v>
      </c>
    </row>
    <row r="130" spans="1:15" s="1370" customFormat="1" x14ac:dyDescent="0.25">
      <c r="A130" s="1106" t="s">
        <v>1281</v>
      </c>
      <c r="B130" s="1029" t="str">
        <f t="shared" ca="1" si="14"/>
        <v>U14</v>
      </c>
      <c r="C130" s="1029" t="str">
        <f t="shared" ca="1" si="13"/>
        <v>U</v>
      </c>
      <c r="D130" s="1029" t="s">
        <v>1455</v>
      </c>
      <c r="E130" s="1110" t="s">
        <v>917</v>
      </c>
      <c r="F130" s="1376"/>
      <c r="G130" s="1376"/>
      <c r="H130" s="1376"/>
      <c r="I130" s="1026" t="str">
        <f t="shared" si="6"/>
        <v/>
      </c>
      <c r="J130" s="1376"/>
      <c r="K130" s="1376" t="str">
        <f t="shared" si="7"/>
        <v/>
      </c>
      <c r="L130" s="1088" t="s">
        <v>1281</v>
      </c>
      <c r="M130" s="1376">
        <v>211</v>
      </c>
      <c r="N130" s="1376"/>
    </row>
    <row r="131" spans="1:15" s="1370" customFormat="1" x14ac:dyDescent="0.25">
      <c r="A131" s="1106" t="s">
        <v>1437</v>
      </c>
      <c r="B131" s="1029" t="str">
        <f t="shared" ca="1" si="14"/>
        <v>V14</v>
      </c>
      <c r="C131" s="1029" t="str">
        <f t="shared" ca="1" si="13"/>
        <v>V</v>
      </c>
      <c r="D131" s="1029" t="s">
        <v>1455</v>
      </c>
      <c r="E131" s="1110" t="s">
        <v>917</v>
      </c>
      <c r="F131" s="1376"/>
      <c r="G131" s="1376"/>
      <c r="H131" s="1376"/>
      <c r="I131" s="1026" t="str">
        <f t="shared" si="6"/>
        <v/>
      </c>
      <c r="J131" s="1376"/>
      <c r="K131" s="1376" t="str">
        <f t="shared" si="7"/>
        <v/>
      </c>
      <c r="L131" s="1088" t="s">
        <v>1528</v>
      </c>
      <c r="M131" s="1376">
        <v>212</v>
      </c>
      <c r="N131" s="1376"/>
    </row>
    <row r="132" spans="1:15" s="1370" customFormat="1" x14ac:dyDescent="0.25">
      <c r="A132" s="1106" t="s">
        <v>1735</v>
      </c>
      <c r="B132" s="1029" t="str">
        <f t="shared" ca="1" si="14"/>
        <v/>
      </c>
      <c r="C132" s="1029" t="str">
        <f t="shared" ca="1" si="13"/>
        <v/>
      </c>
      <c r="D132" s="1029" t="s">
        <v>1455</v>
      </c>
      <c r="E132" s="1110" t="s">
        <v>917</v>
      </c>
      <c r="F132" s="1376"/>
      <c r="G132" s="1376"/>
      <c r="H132" s="1376"/>
      <c r="I132" s="1026" t="str">
        <f t="shared" ref="I132:I195" si="15">IF(J132&lt;&gt;"",A132,"")</f>
        <v/>
      </c>
      <c r="J132" s="1376" t="str">
        <f t="shared" ref="J132:J192" si="16">IF(M132&lt;&gt;"",Q$1&amp;M132,"")</f>
        <v/>
      </c>
      <c r="K132" s="1376" t="str">
        <f t="shared" ref="K132:K195" si="17">IF(J132&lt;&gt;"",E132,"")</f>
        <v/>
      </c>
      <c r="L132" s="1088" t="s">
        <v>1735</v>
      </c>
      <c r="M132" s="1376"/>
      <c r="N132" s="1376"/>
    </row>
    <row r="133" spans="1:15" s="1370" customFormat="1" x14ac:dyDescent="0.25">
      <c r="A133" s="1107" t="s">
        <v>1274</v>
      </c>
      <c r="B133" s="1029" t="str">
        <f ca="1">_xlfn.IFNA(_xlfn.CONCAT(SUBSTITUTE(ADDRESS(1,MATCH(A133,INDIRECT("'"&amp;E133&amp;"'"&amp;"!A5:Z5"),0),4),1,""),15),"")</f>
        <v>H15</v>
      </c>
      <c r="C133" s="1029" t="str">
        <f t="shared" ca="1" si="13"/>
        <v>H</v>
      </c>
      <c r="D133" s="1029" t="s">
        <v>1455</v>
      </c>
      <c r="E133" s="1110" t="s">
        <v>917</v>
      </c>
      <c r="F133" s="1376"/>
      <c r="G133" s="1376"/>
      <c r="H133" s="1376"/>
      <c r="I133" s="1026" t="str">
        <f t="shared" si="15"/>
        <v>Pyramid Segment</v>
      </c>
      <c r="J133" s="1376" t="str">
        <f t="shared" si="16"/>
        <v>224</v>
      </c>
      <c r="K133" s="1376" t="str">
        <f t="shared" si="17"/>
        <v>Customer Inputs</v>
      </c>
      <c r="L133" s="1029" t="s">
        <v>1274</v>
      </c>
      <c r="M133" s="1376">
        <v>224</v>
      </c>
      <c r="N133" s="1376"/>
    </row>
    <row r="134" spans="1:15" s="1370" customFormat="1" x14ac:dyDescent="0.25">
      <c r="A134" s="1108" t="s">
        <v>1355</v>
      </c>
      <c r="B134" s="1029" t="str">
        <f ca="1">_xlfn.IFNA(_xlfn.CONCAT(SUBSTITUTE(ADDRESS(1,MATCH(A134,INDIRECT("'"&amp;E134&amp;"'"&amp;"!A5:Z5"),0),4),1,""),15),"")</f>
        <v>I15</v>
      </c>
      <c r="C134" s="1029" t="str">
        <f t="shared" ca="1" si="13"/>
        <v>I</v>
      </c>
      <c r="D134" s="1029" t="s">
        <v>1455</v>
      </c>
      <c r="E134" s="1110" t="s">
        <v>917</v>
      </c>
      <c r="F134" s="1376"/>
      <c r="G134" s="1376"/>
      <c r="H134" s="1376"/>
      <c r="I134" s="1026" t="str">
        <f t="shared" si="15"/>
        <v>Agreement Annual Purchase Commitment</v>
      </c>
      <c r="J134" s="1376" t="str">
        <f t="shared" si="16"/>
        <v>226</v>
      </c>
      <c r="K134" s="1376" t="str">
        <f t="shared" si="17"/>
        <v>Customer Inputs</v>
      </c>
      <c r="L134" s="52" t="s">
        <v>1355</v>
      </c>
      <c r="M134" s="1376">
        <v>226</v>
      </c>
      <c r="N134" s="1376"/>
    </row>
    <row r="135" spans="1:15" s="1370" customFormat="1" ht="30" x14ac:dyDescent="0.25">
      <c r="A135" s="1107" t="s">
        <v>1356</v>
      </c>
      <c r="B135" s="1029" t="str">
        <f ca="1">_xlfn.IFNA(_xlfn.CONCAT(SUBSTITUTE(ADDRESS(1,MATCH(A135,INDIRECT("'"&amp;E135&amp;"'"&amp;"!A5:Z5"),0),4),1,""),15),"")</f>
        <v>J15</v>
      </c>
      <c r="C135" s="1029" t="str">
        <f t="shared" ca="1" si="13"/>
        <v>J</v>
      </c>
      <c r="D135" s="1029" t="s">
        <v>1455</v>
      </c>
      <c r="E135" s="1110" t="s">
        <v>917</v>
      </c>
      <c r="F135" s="1376"/>
      <c r="G135" s="1376"/>
      <c r="H135" s="1376"/>
      <c r="I135" s="1026" t="str">
        <f t="shared" si="15"/>
        <v>Agreement Deliveries Per Customer Unit Per Week</v>
      </c>
      <c r="J135" s="1376" t="str">
        <f t="shared" si="16"/>
        <v>227</v>
      </c>
      <c r="K135" s="1376" t="str">
        <f t="shared" si="17"/>
        <v>Customer Inputs</v>
      </c>
      <c r="L135" s="1029" t="s">
        <v>1356</v>
      </c>
      <c r="M135" s="1376">
        <v>227</v>
      </c>
      <c r="N135" s="1376"/>
    </row>
    <row r="136" spans="1:15" s="1370" customFormat="1" x14ac:dyDescent="0.25">
      <c r="A136" s="1107" t="s">
        <v>1277</v>
      </c>
      <c r="B136" s="1029" t="str">
        <f ca="1">_xlfn.IFNA(_xlfn.CONCAT(IF('[2]Customer Inputs'!$U$15="Existing",SUBSTITUTE(ADDRESS(1,MATCH(O136,INDIRECT("'"&amp;E136&amp;"'"&amp;"!A5:Z5"),0),4),1,""),SUBSTITUTE(ADDRESS(1,MATCH(A136,INDIRECT("'"&amp;E136&amp;"'"&amp;"!A5:Z5"),0),4),1,"")),15),"")</f>
        <v>P15</v>
      </c>
      <c r="C136" s="1029" t="str">
        <f ca="1">_xlfn.IFNA(IF('[2]Customer Inputs'!$U$15="Existing",SUBSTITUTE(ADDRESS(1,MATCH(O136,INDIRECT("'"&amp;E136&amp;"'"&amp;"!A5:Z5"),0),4),1,""),SUBSTITUTE(ADDRESS(1,MATCH(A136,INDIRECT("'"&amp;E136&amp;"'"&amp;"!A5:Z5"),0),4),1,"")),"")</f>
        <v>P</v>
      </c>
      <c r="D136" s="1029" t="s">
        <v>1455</v>
      </c>
      <c r="E136" s="1110" t="s">
        <v>917</v>
      </c>
      <c r="F136" s="1376"/>
      <c r="G136" s="1376"/>
      <c r="H136" s="1376"/>
      <c r="I136" s="1026" t="str">
        <f t="shared" si="15"/>
        <v/>
      </c>
      <c r="J136" s="1376"/>
      <c r="K136" s="1376" t="str">
        <f t="shared" si="17"/>
        <v/>
      </c>
      <c r="L136" s="1029" t="s">
        <v>1277</v>
      </c>
      <c r="M136" s="1376">
        <v>228</v>
      </c>
      <c r="N136" s="1376"/>
      <c r="O136" s="1370" t="s">
        <v>915</v>
      </c>
    </row>
    <row r="137" spans="1:15" s="1370" customFormat="1" x14ac:dyDescent="0.25">
      <c r="A137" s="1109" t="s">
        <v>1278</v>
      </c>
      <c r="B137" s="1029" t="str">
        <f ca="1">_xlfn.IFNA(_xlfn.CONCAT(IF('[2]Customer Inputs'!$U$15="Existing",SUBSTITUTE(ADDRESS(1,MATCH(O137,INDIRECT("'"&amp;E137&amp;"'"&amp;"!A5:Z5"),0),4),1,""),SUBSTITUTE(ADDRESS(1,MATCH(A137,INDIRECT("'"&amp;E137&amp;"'"&amp;"!A5:Z5"),0),4),1,"")),15),"")</f>
        <v>Q15</v>
      </c>
      <c r="C137" s="1029" t="str">
        <f ca="1">_xlfn.IFNA(IF('[2]Customer Inputs'!$U$15="Existing",SUBSTITUTE(ADDRESS(1,MATCH(O137,INDIRECT("'"&amp;E137&amp;"'"&amp;"!A5:Z5"),0),4),1,""),SUBSTITUTE(ADDRESS(1,MATCH(A137,INDIRECT("'"&amp;E137&amp;"'"&amp;"!A5:Z5"),0),4),1,"")),"")</f>
        <v>Q</v>
      </c>
      <c r="D137" s="1029" t="s">
        <v>1455</v>
      </c>
      <c r="E137" s="1110" t="s">
        <v>917</v>
      </c>
      <c r="F137" s="1376"/>
      <c r="G137" s="1376"/>
      <c r="H137" s="1376"/>
      <c r="I137" s="1026" t="str">
        <f t="shared" si="15"/>
        <v/>
      </c>
      <c r="J137" s="1376"/>
      <c r="K137" s="1376" t="str">
        <f t="shared" si="17"/>
        <v/>
      </c>
      <c r="L137" s="1088" t="s">
        <v>1278</v>
      </c>
      <c r="M137" s="1376">
        <v>229</v>
      </c>
      <c r="N137" s="1376"/>
      <c r="O137" s="1370" t="s">
        <v>1275</v>
      </c>
    </row>
    <row r="138" spans="1:15" s="1370" customFormat="1" x14ac:dyDescent="0.25">
      <c r="A138" s="1109" t="s">
        <v>1279</v>
      </c>
      <c r="B138" s="1029" t="str">
        <f ca="1">_xlfn.IFNA(_xlfn.CONCAT(IF('[2]Customer Inputs'!$U$15="Existing",SUBSTITUTE(ADDRESS(1,MATCH(O138,INDIRECT("'"&amp;E138&amp;"'"&amp;"!A5:Z5"),0),4),1,""),SUBSTITUTE(ADDRESS(1,MATCH(A138,INDIRECT("'"&amp;E138&amp;"'"&amp;"!A5:Z5"),0),4),1,"")),15),"")</f>
        <v>R15</v>
      </c>
      <c r="C138" s="1029" t="str">
        <f ca="1">_xlfn.IFNA(IF('[2]Customer Inputs'!$U$15="Existing",SUBSTITUTE(ADDRESS(1,MATCH(O138,INDIRECT("'"&amp;E138&amp;"'"&amp;"!A5:Z5"),0),4),1,""),SUBSTITUTE(ADDRESS(1,MATCH(A138,INDIRECT("'"&amp;E138&amp;"'"&amp;"!A5:Z5"),0),4),1,"")),"")</f>
        <v>R</v>
      </c>
      <c r="D138" s="1029" t="s">
        <v>1455</v>
      </c>
      <c r="E138" s="1110" t="s">
        <v>917</v>
      </c>
      <c r="F138" s="1376"/>
      <c r="G138" s="1376"/>
      <c r="H138" s="1376"/>
      <c r="I138" s="1026" t="str">
        <f t="shared" si="15"/>
        <v/>
      </c>
      <c r="J138" s="1376"/>
      <c r="K138" s="1376" t="str">
        <f t="shared" si="17"/>
        <v/>
      </c>
      <c r="L138" s="1088" t="s">
        <v>1279</v>
      </c>
      <c r="M138" s="1376">
        <v>230</v>
      </c>
      <c r="N138" s="1376"/>
      <c r="O138" s="1370" t="s">
        <v>1282</v>
      </c>
    </row>
    <row r="139" spans="1:15" s="1370" customFormat="1" x14ac:dyDescent="0.25">
      <c r="A139" s="1109" t="s">
        <v>1280</v>
      </c>
      <c r="B139" s="1029" t="str">
        <f ca="1">_xlfn.IFNA(_xlfn.CONCAT(IF('[2]Customer Inputs'!$U$15="Existing",SUBSTITUTE(ADDRESS(1,MATCH(O139,INDIRECT("'"&amp;E139&amp;"'"&amp;"!A5:Z5"),0),4),1,""),SUBSTITUTE(ADDRESS(1,MATCH(A139,INDIRECT("'"&amp;E139&amp;"'"&amp;"!A5:Z5"),0),4),1,"")),15),"")</f>
        <v>T15</v>
      </c>
      <c r="C139" s="1029" t="str">
        <f ca="1">_xlfn.IFNA(IF('[2]Customer Inputs'!$U$15="Existing",SUBSTITUTE(ADDRESS(1,MATCH(O139,INDIRECT("'"&amp;E139&amp;"'"&amp;"!A5:Z5"),0),4),1,""),SUBSTITUTE(ADDRESS(1,MATCH(A139,INDIRECT("'"&amp;E139&amp;"'"&amp;"!A5:Z5"),0),4),1,"")),"")</f>
        <v>T</v>
      </c>
      <c r="D139" s="1029" t="s">
        <v>1455</v>
      </c>
      <c r="E139" s="1110" t="s">
        <v>917</v>
      </c>
      <c r="F139" s="1376"/>
      <c r="G139" s="1376"/>
      <c r="H139" s="1376"/>
      <c r="I139" s="1026" t="str">
        <f t="shared" si="15"/>
        <v/>
      </c>
      <c r="J139" s="1376"/>
      <c r="K139" s="1376" t="str">
        <f t="shared" si="17"/>
        <v/>
      </c>
      <c r="L139" s="1088" t="s">
        <v>1280</v>
      </c>
      <c r="M139" s="1376">
        <v>231</v>
      </c>
      <c r="N139" s="1376"/>
      <c r="O139" s="1370" t="s">
        <v>1276</v>
      </c>
    </row>
    <row r="140" spans="1:15" s="1370" customFormat="1" x14ac:dyDescent="0.25">
      <c r="A140" s="1109" t="s">
        <v>1281</v>
      </c>
      <c r="B140" s="1029" t="str">
        <f ca="1">_xlfn.IFNA(_xlfn.CONCAT(SUBSTITUTE(ADDRESS(1,MATCH(A140,INDIRECT("'"&amp;E140&amp;"'"&amp;"!A5:Z5"),0),4),1,""),15),"")</f>
        <v>U15</v>
      </c>
      <c r="C140" s="1029" t="str">
        <f ca="1">_xlfn.IFNA(SUBSTITUTE(ADDRESS(1,MATCH(A140,INDIRECT("'"&amp;E140&amp;"'"&amp;"!A5:Z5"),0),4),1,""),"")</f>
        <v>U</v>
      </c>
      <c r="D140" s="1029" t="s">
        <v>1455</v>
      </c>
      <c r="E140" s="1110" t="s">
        <v>917</v>
      </c>
      <c r="F140" s="1376"/>
      <c r="G140" s="1376"/>
      <c r="H140" s="1376"/>
      <c r="I140" s="1026" t="str">
        <f t="shared" si="15"/>
        <v/>
      </c>
      <c r="J140" s="1376"/>
      <c r="K140" s="1376" t="str">
        <f t="shared" si="17"/>
        <v/>
      </c>
      <c r="L140" s="1088" t="s">
        <v>1281</v>
      </c>
      <c r="M140" s="1376">
        <v>232</v>
      </c>
      <c r="N140" s="1376"/>
    </row>
    <row r="141" spans="1:15" s="1370" customFormat="1" x14ac:dyDescent="0.25">
      <c r="A141" s="1109" t="s">
        <v>1437</v>
      </c>
      <c r="B141" s="1029" t="str">
        <f ca="1">_xlfn.IFNA(_xlfn.CONCAT(SUBSTITUTE(ADDRESS(1,MATCH(A141,INDIRECT("'"&amp;E141&amp;"'"&amp;"!A5:Z5"),0),4),1,""),15),"")</f>
        <v>V15</v>
      </c>
      <c r="C141" s="1029" t="str">
        <f ca="1">_xlfn.IFNA(SUBSTITUTE(ADDRESS(1,MATCH(A141,INDIRECT("'"&amp;E141&amp;"'"&amp;"!A5:Z5"),0),4),1,""),"")</f>
        <v>V</v>
      </c>
      <c r="D141" s="1029" t="s">
        <v>1455</v>
      </c>
      <c r="E141" s="1110" t="s">
        <v>917</v>
      </c>
      <c r="F141" s="1376"/>
      <c r="G141" s="1376"/>
      <c r="H141" s="1376"/>
      <c r="I141" s="1026" t="str">
        <f t="shared" si="15"/>
        <v/>
      </c>
      <c r="J141" s="1376"/>
      <c r="K141" s="1376" t="str">
        <f t="shared" si="17"/>
        <v/>
      </c>
      <c r="L141" s="1088" t="s">
        <v>1528</v>
      </c>
      <c r="M141" s="1376">
        <v>233</v>
      </c>
      <c r="N141" s="1376"/>
    </row>
    <row r="142" spans="1:15" s="1370" customFormat="1" x14ac:dyDescent="0.25">
      <c r="A142" s="1109" t="s">
        <v>1735</v>
      </c>
      <c r="B142" s="1029" t="str">
        <f ca="1">_xlfn.IFNA(_xlfn.CONCAT(SUBSTITUTE(ADDRESS(1,MATCH(A142,INDIRECT("'"&amp;E142&amp;"'"&amp;"!A5:Z5"),0),4),1,""),15),"")</f>
        <v/>
      </c>
      <c r="C142" s="1029" t="str">
        <f ca="1">_xlfn.IFNA(SUBSTITUTE(ADDRESS(1,MATCH(A142,INDIRECT("'"&amp;E142&amp;"'"&amp;"!A5:Z5"),0),4),1,""),"")</f>
        <v/>
      </c>
      <c r="D142" s="1029" t="s">
        <v>1455</v>
      </c>
      <c r="E142" s="1110" t="s">
        <v>917</v>
      </c>
      <c r="F142" s="1376"/>
      <c r="G142" s="1376"/>
      <c r="H142" s="1376"/>
      <c r="I142" s="1026" t="str">
        <f t="shared" si="15"/>
        <v/>
      </c>
      <c r="J142" s="1376" t="str">
        <f t="shared" si="16"/>
        <v/>
      </c>
      <c r="K142" s="1376" t="str">
        <f t="shared" si="17"/>
        <v/>
      </c>
      <c r="L142" s="1088" t="s">
        <v>1735</v>
      </c>
      <c r="M142" s="1376"/>
      <c r="N142" s="1376"/>
    </row>
    <row r="143" spans="1:15" s="1370" customFormat="1" x14ac:dyDescent="0.25">
      <c r="A143" s="1376" t="s">
        <v>1308</v>
      </c>
      <c r="B143" s="1029" t="str">
        <f ca="1">_xlfn.CONCAT(IFERROR(SUBSTITUTE(ADDRESS(1,MATCH('[2]Mapping Sheet'!A143,INDIRECT("'"&amp;E143&amp;"'"&amp;"!A4:Z4"),0),4),1,""),IFERROR(SUBSTITUTE(ADDRESS(1,MATCH('[2]Mapping Sheet'!A143,INDIRECT("'"&amp;E143&amp;"'"&amp;"!A9:Z9"),0),4),1,""),IFERROR(SUBSTITUTE(ADDRESS(1,MATCH('[2]Mapping Sheet'!A143,INDIRECT("'"&amp;E143&amp;"'"&amp;"!A12:Z12"),0),4),1,""),IFERROR(SUBSTITUTE(ADDRESS(1,MATCH('[2]Mapping Sheet'!A143,INDIRECT("'"&amp;E143&amp;"'"&amp;"!A15:Z15"),0),4),1,""),IFERROR(SUBSTITUTE(ADDRESS(1,MATCH('[2]Mapping Sheet'!A143,INDIRECT("'"&amp;E143&amp;"'"&amp;"!A17:Z17"),0),4),1,""),""))))),9)</f>
        <v>D9</v>
      </c>
      <c r="C143" s="1029" t="str">
        <f ca="1">_xlfn.CONCAT(IFERROR(SUBSTITUTE(ADDRESS(1,MATCH('[2]Mapping Sheet'!A143,INDIRECT("'"&amp;E143&amp;"'"&amp;"!A4:Z4"),0),4),1,""),IFERROR(SUBSTITUTE(ADDRESS(1,MATCH('[2]Mapping Sheet'!A143,INDIRECT("'"&amp;E143&amp;"'"&amp;"!A9:Z9"),0),4),1,""),IFERROR(SUBSTITUTE(ADDRESS(1,MATCH('[2]Mapping Sheet'!A143,INDIRECT("'"&amp;E143&amp;"'"&amp;"!A12:Z12"),0),4),1,""),IFERROR(SUBSTITUTE(ADDRESS(1,MATCH('[2]Mapping Sheet'!A143,INDIRECT("'"&amp;E143&amp;"'"&amp;"!A15:Z15"),0),4),1,""),IFERROR(SUBSTITUTE(ADDRESS(1,MATCH('[2]Mapping Sheet'!A143,INDIRECT("'"&amp;E143&amp;"'"&amp;"!A17:Z17"),0),4),1,""),""))))),10)</f>
        <v>D10</v>
      </c>
      <c r="D143" s="1029" t="s">
        <v>1448</v>
      </c>
      <c r="E143" s="1029" t="s">
        <v>1449</v>
      </c>
      <c r="F143" s="1376"/>
      <c r="G143" s="1376"/>
      <c r="H143" s="1376"/>
      <c r="I143" s="1026" t="str">
        <f t="shared" si="15"/>
        <v>Minimum Delivery Selection</v>
      </c>
      <c r="J143" s="1376" t="str">
        <f t="shared" si="16"/>
        <v>12</v>
      </c>
      <c r="K143" s="1376" t="str">
        <f t="shared" si="17"/>
        <v>Agreement Worksheet</v>
      </c>
      <c r="L143" s="1376" t="s">
        <v>1308</v>
      </c>
      <c r="M143" s="1376">
        <v>12</v>
      </c>
      <c r="N143" s="1376"/>
    </row>
    <row r="144" spans="1:15" s="1370" customFormat="1" x14ac:dyDescent="0.25">
      <c r="A144" s="1111" t="s">
        <v>1312</v>
      </c>
      <c r="B144" s="1029" t="str">
        <f ca="1">_xlfn.CONCAT(IFERROR(SUBSTITUTE(ADDRESS(1,MATCH('[2]Mapping Sheet'!A144,INDIRECT("'"&amp;E144&amp;"'"&amp;"!A4:Z4"),0),4),1,""),IFERROR(SUBSTITUTE(ADDRESS(1,MATCH('[2]Mapping Sheet'!A144,INDIRECT("'"&amp;E144&amp;"'"&amp;"!A9:Z9"),0),4),1,""),IFERROR(SUBSTITUTE(ADDRESS(1,MATCH('[2]Mapping Sheet'!A144,INDIRECT("'"&amp;E144&amp;"'"&amp;"!A12:Z12"),0),4),1,""),IFERROR(SUBSTITUTE(ADDRESS(1,MATCH('[2]Mapping Sheet'!A144,INDIRECT("'"&amp;E144&amp;"'"&amp;"!A15:Z15"),0),4),1,""),IFERROR(SUBSTITUTE(ADDRESS(1,MATCH('[2]Mapping Sheet'!A144,INDIRECT("'"&amp;E144&amp;"'"&amp;"!A17:Z17"),0),4),1,""),""))))),9)</f>
        <v>H9</v>
      </c>
      <c r="C144" s="1029" t="str">
        <f ca="1">_xlfn.CONCAT(IFERROR(SUBSTITUTE(ADDRESS(1,MATCH('[2]Mapping Sheet'!A144,INDIRECT("'"&amp;E144&amp;"'"&amp;"!A4:Z4"),0),4),1,""),IFERROR(SUBSTITUTE(ADDRESS(1,MATCH('[2]Mapping Sheet'!A144,INDIRECT("'"&amp;E144&amp;"'"&amp;"!A9:Z9"),0),4),1,""),IFERROR(SUBSTITUTE(ADDRESS(1,MATCH('[2]Mapping Sheet'!A144,INDIRECT("'"&amp;E144&amp;"'"&amp;"!A12:Z12"),0),4),1,""),IFERROR(SUBSTITUTE(ADDRESS(1,MATCH('[2]Mapping Sheet'!A144,INDIRECT("'"&amp;E144&amp;"'"&amp;"!A15:Z15"),0),4),1,""),IFERROR(SUBSTITUTE(ADDRESS(1,MATCH('[2]Mapping Sheet'!A144,INDIRECT("'"&amp;E144&amp;"'"&amp;"!A17:Z17"),0),4),1,""),""))))),10)</f>
        <v>H10</v>
      </c>
      <c r="D144" s="1029" t="s">
        <v>1448</v>
      </c>
      <c r="E144" s="1029" t="s">
        <v>1449</v>
      </c>
      <c r="F144" s="1376"/>
      <c r="G144" s="1376"/>
      <c r="H144" s="1376"/>
      <c r="I144" s="1026" t="str">
        <f t="shared" si="15"/>
        <v>Fuel Surcharge Included</v>
      </c>
      <c r="J144" s="1376" t="str">
        <f t="shared" si="16"/>
        <v>18</v>
      </c>
      <c r="K144" s="1376" t="str">
        <f t="shared" si="17"/>
        <v>Agreement Worksheet</v>
      </c>
      <c r="L144" s="1111" t="s">
        <v>1312</v>
      </c>
      <c r="M144" s="1376">
        <v>18</v>
      </c>
      <c r="N144" s="1376"/>
    </row>
    <row r="145" spans="1:14" s="1370" customFormat="1" x14ac:dyDescent="0.25">
      <c r="A145" s="1111" t="s">
        <v>1313</v>
      </c>
      <c r="B145" s="1029" t="str">
        <f ca="1">_xlfn.CONCAT(IFERROR(SUBSTITUTE(ADDRESS(1,MATCH('[2]Mapping Sheet'!A145,INDIRECT("'"&amp;E145&amp;"'"&amp;"!A4:Z4"),0),4),1,""),IFERROR(SUBSTITUTE(ADDRESS(1,MATCH('[2]Mapping Sheet'!A145,INDIRECT("'"&amp;E145&amp;"'"&amp;"!A9:Z9"),0),4),1,""),IFERROR(SUBSTITUTE(ADDRESS(1,MATCH('[2]Mapping Sheet'!A145,INDIRECT("'"&amp;E145&amp;"'"&amp;"!A12:Z12"),0),4),1,""),IFERROR(SUBSTITUTE(ADDRESS(1,MATCH('[2]Mapping Sheet'!A145,INDIRECT("'"&amp;E145&amp;"'"&amp;"!A15:Z15"),0),4),1,""),IFERROR(SUBSTITUTE(ADDRESS(1,MATCH('[2]Mapping Sheet'!A145,INDIRECT("'"&amp;E145&amp;"'"&amp;"!A17:Z17"),0),4),1,""),""))))),9)</f>
        <v>I9</v>
      </c>
      <c r="C145" s="1029" t="str">
        <f ca="1">_xlfn.CONCAT(IFERROR(SUBSTITUTE(ADDRESS(1,MATCH('[2]Mapping Sheet'!A145,INDIRECT("'"&amp;E145&amp;"'"&amp;"!A4:Z4"),0),4),1,""),IFERROR(SUBSTITUTE(ADDRESS(1,MATCH('[2]Mapping Sheet'!A145,INDIRECT("'"&amp;E145&amp;"'"&amp;"!A9:Z9"),0),4),1,""),IFERROR(SUBSTITUTE(ADDRESS(1,MATCH('[2]Mapping Sheet'!A145,INDIRECT("'"&amp;E145&amp;"'"&amp;"!A12:Z12"),0),4),1,""),IFERROR(SUBSTITUTE(ADDRESS(1,MATCH('[2]Mapping Sheet'!A145,INDIRECT("'"&amp;E145&amp;"'"&amp;"!A15:Z15"),0),4),1,""),IFERROR(SUBSTITUTE(ADDRESS(1,MATCH('[2]Mapping Sheet'!A145,INDIRECT("'"&amp;E145&amp;"'"&amp;"!A17:Z17"),0),4),1,""),""))))),10)</f>
        <v>I10</v>
      </c>
      <c r="D145" s="1029" t="s">
        <v>1448</v>
      </c>
      <c r="E145" s="1029" t="s">
        <v>1449</v>
      </c>
      <c r="F145" s="1376"/>
      <c r="G145" s="1376"/>
      <c r="H145" s="1376"/>
      <c r="I145" s="1026" t="str">
        <f t="shared" si="15"/>
        <v>Fuel Surcharge Per</v>
      </c>
      <c r="J145" s="1376" t="str">
        <f t="shared" si="16"/>
        <v>19</v>
      </c>
      <c r="K145" s="1376" t="str">
        <f t="shared" si="17"/>
        <v>Agreement Worksheet</v>
      </c>
      <c r="L145" s="1111" t="s">
        <v>1313</v>
      </c>
      <c r="M145" s="1376">
        <v>19</v>
      </c>
      <c r="N145" s="1376"/>
    </row>
    <row r="146" spans="1:14" s="1370" customFormat="1" x14ac:dyDescent="0.25">
      <c r="A146" s="1111" t="s">
        <v>1335</v>
      </c>
      <c r="B146" s="1029" t="str">
        <f ca="1">_xlfn.CONCAT(IFERROR(SUBSTITUTE(ADDRESS(1,MATCH('[2]Mapping Sheet'!A146,INDIRECT("'"&amp;E146&amp;"'"&amp;"!A4:Z4"),0),4),1,""),IFERROR(SUBSTITUTE(ADDRESS(1,MATCH('[2]Mapping Sheet'!A146,INDIRECT("'"&amp;E146&amp;"'"&amp;"!A9:Z9"),0),4),1,""),IFERROR(SUBSTITUTE(ADDRESS(1,MATCH('[2]Mapping Sheet'!A146,INDIRECT("'"&amp;E146&amp;"'"&amp;"!A12:Z12"),0),4),1,""),IFERROR(SUBSTITUTE(ADDRESS(1,MATCH('[2]Mapping Sheet'!A146,INDIRECT("'"&amp;E146&amp;"'"&amp;"!A15:Z15"),0),4),1,""),IFERROR(SUBSTITUTE(ADDRESS(1,MATCH('[2]Mapping Sheet'!A146,INDIRECT("'"&amp;E146&amp;"'"&amp;"!A17:Z17"),0),4),1,""),""))))),17)</f>
        <v>B17</v>
      </c>
      <c r="C146" s="1029" t="str">
        <f ca="1">_xlfn.CONCAT(IFERROR(SUBSTITUTE(ADDRESS(1,MATCH('[2]Mapping Sheet'!A146,INDIRECT("'"&amp;E146&amp;"'"&amp;"!A4:Z4"),0),4),1,""),IFERROR(SUBSTITUTE(ADDRESS(1,MATCH('[2]Mapping Sheet'!A146,INDIRECT("'"&amp;E146&amp;"'"&amp;"!A9:Z9"),0),4),1,""),IFERROR(SUBSTITUTE(ADDRESS(1,MATCH('[2]Mapping Sheet'!A146,INDIRECT("'"&amp;E146&amp;"'"&amp;"!A12:Z12"),0),4),1,""),IFERROR(SUBSTITUTE(ADDRESS(1,MATCH('[2]Mapping Sheet'!A146,INDIRECT("'"&amp;E146&amp;"'"&amp;"!A15:Z15"),0),4),1,""),IFERROR(SUBSTITUTE(ADDRESS(1,MATCH('[2]Mapping Sheet'!A146,INDIRECT("'"&amp;E146&amp;"'"&amp;"!A17:Z17"),0),4),1,""),""))))),18)</f>
        <v>B18</v>
      </c>
      <c r="D146" s="1029" t="s">
        <v>1448</v>
      </c>
      <c r="E146" s="1029" t="s">
        <v>1449</v>
      </c>
      <c r="F146" s="1376"/>
      <c r="G146" s="1376"/>
      <c r="H146" s="1376"/>
      <c r="I146" s="1026" t="str">
        <f t="shared" si="15"/>
        <v>Audit Age of Invoices</v>
      </c>
      <c r="J146" s="1376" t="str">
        <f t="shared" si="16"/>
        <v>509</v>
      </c>
      <c r="K146" s="1376" t="str">
        <f t="shared" si="17"/>
        <v>Agreement Worksheet</v>
      </c>
      <c r="L146" s="1111" t="s">
        <v>1335</v>
      </c>
      <c r="M146" s="1376">
        <v>509</v>
      </c>
      <c r="N146" s="1376"/>
    </row>
    <row r="147" spans="1:14" s="1370" customFormat="1" x14ac:dyDescent="0.25">
      <c r="A147" s="1111" t="s">
        <v>1332</v>
      </c>
      <c r="B147" s="1029" t="str">
        <f ca="1">_xlfn.CONCAT(IFERROR(SUBSTITUTE(ADDRESS(1,MATCH('[2]Mapping Sheet'!A147,INDIRECT("'"&amp;E147&amp;"'"&amp;"!A4:Z4"),0),4),1,""),IFERROR(SUBSTITUTE(ADDRESS(1,MATCH('[2]Mapping Sheet'!A147,INDIRECT("'"&amp;E147&amp;"'"&amp;"!A9:Z9"),0),4),1,""),IFERROR(SUBSTITUTE(ADDRESS(1,MATCH('[2]Mapping Sheet'!A147,INDIRECT("'"&amp;E147&amp;"'"&amp;"!A12:Z12"),0),4),1,""),IFERROR(SUBSTITUTE(ADDRESS(1,MATCH('[2]Mapping Sheet'!A147,INDIRECT("'"&amp;E147&amp;"'"&amp;"!A15:Z15"),0),4),1,""),IFERROR(SUBSTITUTE(ADDRESS(1,MATCH('[2]Mapping Sheet'!A147,INDIRECT("'"&amp;E147&amp;"'"&amp;"!A17:Z17"),0),4),1,""),""))))),17)</f>
        <v>C17</v>
      </c>
      <c r="C147" s="1029" t="str">
        <f ca="1">_xlfn.CONCAT(IFERROR(SUBSTITUTE(ADDRESS(1,MATCH('[2]Mapping Sheet'!A147,INDIRECT("'"&amp;E147&amp;"'"&amp;"!A4:Z4"),0),4),1,""),IFERROR(SUBSTITUTE(ADDRESS(1,MATCH('[2]Mapping Sheet'!A147,INDIRECT("'"&amp;E147&amp;"'"&amp;"!A9:Z9"),0),4),1,""),IFERROR(SUBSTITUTE(ADDRESS(1,MATCH('[2]Mapping Sheet'!A147,INDIRECT("'"&amp;E147&amp;"'"&amp;"!A12:Z12"),0),4),1,""),IFERROR(SUBSTITUTE(ADDRESS(1,MATCH('[2]Mapping Sheet'!A147,INDIRECT("'"&amp;E147&amp;"'"&amp;"!A15:Z15"),0),4),1,""),IFERROR(SUBSTITUTE(ADDRESS(1,MATCH('[2]Mapping Sheet'!A147,INDIRECT("'"&amp;E147&amp;"'"&amp;"!A17:Z17"),0),4),1,""),""))))),18)</f>
        <v>C18</v>
      </c>
      <c r="D147" s="1029" t="s">
        <v>1448</v>
      </c>
      <c r="E147" s="1029" t="s">
        <v>1449</v>
      </c>
      <c r="I147" s="1026" t="str">
        <f t="shared" si="15"/>
        <v>Audit Frequency Code</v>
      </c>
      <c r="J147" s="1376" t="str">
        <f t="shared" si="16"/>
        <v>510</v>
      </c>
      <c r="K147" s="1376" t="str">
        <f t="shared" si="17"/>
        <v>Agreement Worksheet</v>
      </c>
      <c r="L147" s="1111" t="s">
        <v>1332</v>
      </c>
      <c r="M147" s="1376">
        <v>510</v>
      </c>
      <c r="N147" s="1376"/>
    </row>
    <row r="148" spans="1:14" s="1370" customFormat="1" x14ac:dyDescent="0.25">
      <c r="A148" s="1111" t="s">
        <v>1333</v>
      </c>
      <c r="B148" s="1029" t="str">
        <f ca="1">_xlfn.CONCAT(IFERROR(SUBSTITUTE(ADDRESS(1,MATCH('[2]Mapping Sheet'!A148,INDIRECT("'"&amp;E148&amp;"'"&amp;"!A4:Z4"),0),4),1,""),IFERROR(SUBSTITUTE(ADDRESS(1,MATCH('[2]Mapping Sheet'!A148,INDIRECT("'"&amp;E148&amp;"'"&amp;"!A9:Z9"),0),4),1,""),IFERROR(SUBSTITUTE(ADDRESS(1,MATCH('[2]Mapping Sheet'!A148,INDIRECT("'"&amp;E148&amp;"'"&amp;"!A12:Z12"),0),4),1,""),IFERROR(SUBSTITUTE(ADDRESS(1,MATCH('[2]Mapping Sheet'!A148,INDIRECT("'"&amp;E148&amp;"'"&amp;"!A15:Z15"),0),4),1,""),IFERROR(SUBSTITUTE(ADDRESS(1,MATCH('[2]Mapping Sheet'!A148,INDIRECT("'"&amp;E148&amp;"'"&amp;"!A17:Z17"),0),4),1,""),""))))),17)</f>
        <v>D17</v>
      </c>
      <c r="C148" s="1029" t="str">
        <f ca="1">_xlfn.CONCAT(IFERROR(SUBSTITUTE(ADDRESS(1,MATCH('[2]Mapping Sheet'!A148,INDIRECT("'"&amp;E148&amp;"'"&amp;"!A4:Z4"),0),4),1,""),IFERROR(SUBSTITUTE(ADDRESS(1,MATCH('[2]Mapping Sheet'!A148,INDIRECT("'"&amp;E148&amp;"'"&amp;"!A9:Z9"),0),4),1,""),IFERROR(SUBSTITUTE(ADDRESS(1,MATCH('[2]Mapping Sheet'!A148,INDIRECT("'"&amp;E148&amp;"'"&amp;"!A12:Z12"),0),4),1,""),IFERROR(SUBSTITUTE(ADDRESS(1,MATCH('[2]Mapping Sheet'!A148,INDIRECT("'"&amp;E148&amp;"'"&amp;"!A15:Z15"),0),4),1,""),IFERROR(SUBSTITUTE(ADDRESS(1,MATCH('[2]Mapping Sheet'!A148,INDIRECT("'"&amp;E148&amp;"'"&amp;"!A17:Z17"),0),4),1,""),""))))),18)</f>
        <v>D18</v>
      </c>
      <c r="D148" s="1029" t="s">
        <v>1448</v>
      </c>
      <c r="E148" s="1029" t="s">
        <v>1449</v>
      </c>
      <c r="I148" s="1026" t="str">
        <f t="shared" si="15"/>
        <v>Audit Nbr of Invoice Line Items</v>
      </c>
      <c r="J148" s="1376" t="str">
        <f t="shared" si="16"/>
        <v>511</v>
      </c>
      <c r="K148" s="1376" t="str">
        <f t="shared" si="17"/>
        <v>Agreement Worksheet</v>
      </c>
      <c r="L148" s="1111" t="s">
        <v>1333</v>
      </c>
      <c r="M148" s="1376">
        <v>511</v>
      </c>
      <c r="N148" s="1376"/>
    </row>
    <row r="149" spans="1:14" s="1370" customFormat="1" x14ac:dyDescent="0.25">
      <c r="A149" s="1111" t="s">
        <v>1336</v>
      </c>
      <c r="B149" s="1029" t="str">
        <f ca="1">_xlfn.CONCAT(IFERROR(SUBSTITUTE(ADDRESS(1,MATCH('[2]Mapping Sheet'!A149,INDIRECT("'"&amp;E149&amp;"'"&amp;"!A4:Z4"),0),4),1,""),IFERROR(SUBSTITUTE(ADDRESS(1,MATCH('[2]Mapping Sheet'!A149,INDIRECT("'"&amp;E149&amp;"'"&amp;"!A9:Z9"),0),4),1,""),IFERROR(SUBSTITUTE(ADDRESS(1,MATCH('[2]Mapping Sheet'!A149,INDIRECT("'"&amp;E149&amp;"'"&amp;"!A12:Z12"),0),4),1,""),IFERROR(SUBSTITUTE(ADDRESS(1,MATCH('[2]Mapping Sheet'!A149,INDIRECT("'"&amp;E149&amp;"'"&amp;"!A15:Z15"),0),4),1,""),IFERROR(SUBSTITUTE(ADDRESS(1,MATCH('[2]Mapping Sheet'!A149,INDIRECT("'"&amp;E149&amp;"'"&amp;"!A17:Z17"),0),4),1,""),""))))),17)</f>
        <v>E17</v>
      </c>
      <c r="C149" s="1029" t="str">
        <f ca="1">_xlfn.CONCAT(IFERROR(SUBSTITUTE(ADDRESS(1,MATCH('[2]Mapping Sheet'!A149,INDIRECT("'"&amp;E149&amp;"'"&amp;"!A4:Z4"),0),4),1,""),IFERROR(SUBSTITUTE(ADDRESS(1,MATCH('[2]Mapping Sheet'!A149,INDIRECT("'"&amp;E149&amp;"'"&amp;"!A9:Z9"),0),4),1,""),IFERROR(SUBSTITUTE(ADDRESS(1,MATCH('[2]Mapping Sheet'!A149,INDIRECT("'"&amp;E149&amp;"'"&amp;"!A12:Z12"),0),4),1,""),IFERROR(SUBSTITUTE(ADDRESS(1,MATCH('[2]Mapping Sheet'!A149,INDIRECT("'"&amp;E149&amp;"'"&amp;"!A15:Z15"),0),4),1,""),IFERROR(SUBSTITUTE(ADDRESS(1,MATCH('[2]Mapping Sheet'!A149,INDIRECT("'"&amp;E149&amp;"'"&amp;"!A17:Z17"),0),4),1,""),""))))),18)</f>
        <v>E18</v>
      </c>
      <c r="D149" s="1029" t="s">
        <v>1448</v>
      </c>
      <c r="E149" s="1029" t="s">
        <v>1449</v>
      </c>
      <c r="I149" s="1026" t="str">
        <f t="shared" si="15"/>
        <v>CPI ECI</v>
      </c>
      <c r="J149" s="1376" t="str">
        <f t="shared" si="16"/>
        <v>512</v>
      </c>
      <c r="K149" s="1376" t="str">
        <f t="shared" si="17"/>
        <v>Agreement Worksheet</v>
      </c>
      <c r="L149" s="1111" t="s">
        <v>1336</v>
      </c>
      <c r="M149" s="1376">
        <v>512</v>
      </c>
      <c r="N149" s="1376"/>
    </row>
    <row r="150" spans="1:14" s="1370" customFormat="1" x14ac:dyDescent="0.25">
      <c r="A150" s="1111" t="s">
        <v>1334</v>
      </c>
      <c r="B150" s="1029" t="str">
        <f ca="1">_xlfn.CONCAT(IFERROR(SUBSTITUTE(ADDRESS(1,MATCH('[2]Mapping Sheet'!A150,INDIRECT("'"&amp;E150&amp;"'"&amp;"!A4:Z4"),0),4),1,""),IFERROR(SUBSTITUTE(ADDRESS(1,MATCH('[2]Mapping Sheet'!A150,INDIRECT("'"&amp;E150&amp;"'"&amp;"!A9:Z9"),0),4),1,""),IFERROR(SUBSTITUTE(ADDRESS(1,MATCH('[2]Mapping Sheet'!A150,INDIRECT("'"&amp;E150&amp;"'"&amp;"!A12:Z12"),0),4),1,""),IFERROR(SUBSTITUTE(ADDRESS(1,MATCH('[2]Mapping Sheet'!A150,INDIRECT("'"&amp;E150&amp;"'"&amp;"!A15:Z15"),0),4),1,""),IFERROR(SUBSTITUTE(ADDRESS(1,MATCH('[2]Mapping Sheet'!A150,INDIRECT("'"&amp;E150&amp;"'"&amp;"!A17:Z17"),0),4),1,""),""))))),17)</f>
        <v>F17</v>
      </c>
      <c r="C150" s="1029" t="str">
        <f ca="1">_xlfn.CONCAT(IFERROR(SUBSTITUTE(ADDRESS(1,MATCH('[2]Mapping Sheet'!A150,INDIRECT("'"&amp;E150&amp;"'"&amp;"!A4:Z4"),0),4),1,""),IFERROR(SUBSTITUTE(ADDRESS(1,MATCH('[2]Mapping Sheet'!A150,INDIRECT("'"&amp;E150&amp;"'"&amp;"!A9:Z9"),0),4),1,""),IFERROR(SUBSTITUTE(ADDRESS(1,MATCH('[2]Mapping Sheet'!A150,INDIRECT("'"&amp;E150&amp;"'"&amp;"!A12:Z12"),0),4),1,""),IFERROR(SUBSTITUTE(ADDRESS(1,MATCH('[2]Mapping Sheet'!A150,INDIRECT("'"&amp;E150&amp;"'"&amp;"!A15:Z15"),0),4),1,""),IFERROR(SUBSTITUTE(ADDRESS(1,MATCH('[2]Mapping Sheet'!A150,INDIRECT("'"&amp;E150&amp;"'"&amp;"!A17:Z17"),0),4),1,""),""))))),18)</f>
        <v>F18</v>
      </c>
      <c r="D150" s="1029" t="s">
        <v>1448</v>
      </c>
      <c r="E150" s="1029" t="s">
        <v>1449</v>
      </c>
      <c r="I150" s="1026" t="str">
        <f t="shared" si="15"/>
        <v>Margin Erosion Rate</v>
      </c>
      <c r="J150" s="1376" t="str">
        <f t="shared" si="16"/>
        <v>513</v>
      </c>
      <c r="K150" s="1376" t="str">
        <f t="shared" si="17"/>
        <v>Agreement Worksheet</v>
      </c>
      <c r="L150" s="1111" t="s">
        <v>1334</v>
      </c>
      <c r="M150" s="1376">
        <v>513</v>
      </c>
      <c r="N150" s="1376"/>
    </row>
    <row r="151" spans="1:14" s="1370" customFormat="1" x14ac:dyDescent="0.25">
      <c r="A151" s="1111" t="s">
        <v>1295</v>
      </c>
      <c r="B151" s="1029" t="str">
        <f ca="1">_xlfn.CONCAT(IFERROR(SUBSTITUTE(ADDRESS(1,MATCH('[2]Mapping Sheet'!A151,INDIRECT("'"&amp;E151&amp;"'"&amp;"!A4:Z4"),0),4),1,""),IFERROR(SUBSTITUTE(ADDRESS(1,MATCH('[2]Mapping Sheet'!A151,INDIRECT("'"&amp;E151&amp;"'"&amp;"!A9:Z9"),0),4),1,""),IFERROR(SUBSTITUTE(ADDRESS(1,MATCH('[2]Mapping Sheet'!A151,INDIRECT("'"&amp;E151&amp;"'"&amp;"!A12:Z12"),0),4),1,""),IFERROR(SUBSTITUTE(ADDRESS(1,MATCH('[2]Mapping Sheet'!A151,INDIRECT("'"&amp;E151&amp;"'"&amp;"!A15:Z15"),0),4),1,""),IFERROR(SUBSTITUTE(ADDRESS(1,MATCH('[2]Mapping Sheet'!A151,INDIRECT("'"&amp;E151&amp;"'"&amp;"!A17:Z17"),0),4),1,""),""))))),4)</f>
        <v>F4</v>
      </c>
      <c r="C151" s="1029" t="str">
        <f ca="1">_xlfn.CONCAT(IFERROR(SUBSTITUTE(ADDRESS(1,MATCH('[2]Mapping Sheet'!A151,INDIRECT("'"&amp;E151&amp;"'"&amp;"!A4:Z4"),0),4),1,""),IFERROR(SUBSTITUTE(ADDRESS(1,MATCH('[2]Mapping Sheet'!A151,INDIRECT("'"&amp;E151&amp;"'"&amp;"!A9:Z9"),0),4),1,""),IFERROR(SUBSTITUTE(ADDRESS(1,MATCH('[2]Mapping Sheet'!A151,INDIRECT("'"&amp;E151&amp;"'"&amp;"!A12:Z12"),0),4),1,""),IFERROR(SUBSTITUTE(ADDRESS(1,MATCH('[2]Mapping Sheet'!A151,INDIRECT("'"&amp;E151&amp;"'"&amp;"!A15:Z15"),0),4),1,""),IFERROR(SUBSTITUTE(ADDRESS(1,MATCH('[2]Mapping Sheet'!A151,INDIRECT("'"&amp;E151&amp;"'"&amp;"!A17:Z17"),0),4),1,""),""))))),5)</f>
        <v>F5</v>
      </c>
      <c r="D151" s="1029" t="s">
        <v>1448</v>
      </c>
      <c r="E151" s="1029" t="s">
        <v>1449</v>
      </c>
      <c r="I151" s="1026" t="str">
        <f t="shared" si="15"/>
        <v>Standard Agreement</v>
      </c>
      <c r="J151" s="1376" t="str">
        <f t="shared" si="16"/>
        <v>516</v>
      </c>
      <c r="K151" s="1376" t="str">
        <f t="shared" si="17"/>
        <v>Agreement Worksheet</v>
      </c>
      <c r="L151" s="1111" t="s">
        <v>1295</v>
      </c>
      <c r="M151" s="1376">
        <v>516</v>
      </c>
      <c r="N151" s="1376"/>
    </row>
    <row r="152" spans="1:14" s="1370" customFormat="1" x14ac:dyDescent="0.25">
      <c r="A152" s="1111" t="s">
        <v>1355</v>
      </c>
      <c r="B152" s="1029" t="str">
        <f ca="1">_xlfn.CONCAT(IFERROR(SUBSTITUTE(ADDRESS(1,MATCH('[2]Mapping Sheet'!A152,INDIRECT("'"&amp;E152&amp;"'"&amp;"!A4:Z4"),0),4),1,""),IFERROR(SUBSTITUTE(ADDRESS(1,MATCH('[2]Mapping Sheet'!A152,INDIRECT("'"&amp;E152&amp;"'"&amp;"!A9:Z9"),0),4),1,""),IFERROR(SUBSTITUTE(ADDRESS(1,MATCH('[2]Mapping Sheet'!A152,INDIRECT("'"&amp;E152&amp;"'"&amp;"!A12:Z12"),0),4),1,""),IFERROR(SUBSTITUTE(ADDRESS(1,MATCH('[2]Mapping Sheet'!A152,INDIRECT("'"&amp;E152&amp;"'"&amp;"!A15:Z15"),0),4),1,""),IFERROR(SUBSTITUTE(ADDRESS(1,MATCH('[2]Mapping Sheet'!A152,INDIRECT("'"&amp;E152&amp;"'"&amp;"!A17:Z17"),0),4),1,""),""))))),17)</f>
        <v>H17</v>
      </c>
      <c r="C152" s="1029" t="str">
        <f ca="1">_xlfn.CONCAT(IFERROR(SUBSTITUTE(ADDRESS(1,MATCH('[2]Mapping Sheet'!A152,INDIRECT("'"&amp;E152&amp;"'"&amp;"!A4:Z4"),0),4),1,""),IFERROR(SUBSTITUTE(ADDRESS(1,MATCH('[2]Mapping Sheet'!A152,INDIRECT("'"&amp;E152&amp;"'"&amp;"!A9:Z9"),0),4),1,""),IFERROR(SUBSTITUTE(ADDRESS(1,MATCH('[2]Mapping Sheet'!A152,INDIRECT("'"&amp;E152&amp;"'"&amp;"!A12:Z12"),0),4),1,""),IFERROR(SUBSTITUTE(ADDRESS(1,MATCH('[2]Mapping Sheet'!A152,INDIRECT("'"&amp;E152&amp;"'"&amp;"!A15:Z15"),0),4),1,""),IFERROR(SUBSTITUTE(ADDRESS(1,MATCH('[2]Mapping Sheet'!A152,INDIRECT("'"&amp;E152&amp;"'"&amp;"!A17:Z17"),0),4),1,""),""))))),18)</f>
        <v>H18</v>
      </c>
      <c r="D152" s="1029" t="s">
        <v>1448</v>
      </c>
      <c r="E152" s="1029" t="s">
        <v>1449</v>
      </c>
      <c r="F152" s="1029"/>
      <c r="G152" s="1029"/>
      <c r="H152" s="1029"/>
      <c r="I152" s="1026" t="str">
        <f t="shared" si="15"/>
        <v>Agreement Annual Purchase Commitment</v>
      </c>
      <c r="J152" s="1376" t="str">
        <f t="shared" si="16"/>
        <v>20</v>
      </c>
      <c r="K152" s="1376" t="str">
        <f t="shared" si="17"/>
        <v>Agreement Worksheet</v>
      </c>
      <c r="L152" s="1087" t="s">
        <v>1355</v>
      </c>
      <c r="M152" s="1376">
        <v>20</v>
      </c>
      <c r="N152" s="1376"/>
    </row>
    <row r="153" spans="1:14" s="1370" customFormat="1" x14ac:dyDescent="0.25">
      <c r="A153" s="1111" t="s">
        <v>1294</v>
      </c>
      <c r="B153" s="1029" t="str">
        <f ca="1">_xlfn.CONCAT(IFERROR(SUBSTITUTE(ADDRESS(1,MATCH('[2]Mapping Sheet'!A153,INDIRECT("'"&amp;E153&amp;"'"&amp;"!A4:Z4"),0),4),1,""),IFERROR(SUBSTITUTE(ADDRESS(1,MATCH('[2]Mapping Sheet'!A153,INDIRECT("'"&amp;E153&amp;"'"&amp;"!A9:Z9"),0),4),1,""),IFERROR(SUBSTITUTE(ADDRESS(1,MATCH('[2]Mapping Sheet'!A153,INDIRECT("'"&amp;E153&amp;"'"&amp;"!A12:Z12"),0),4),1,""),IFERROR(SUBSTITUTE(ADDRESS(1,MATCH('[2]Mapping Sheet'!A153,INDIRECT("'"&amp;E153&amp;"'"&amp;"!A15:Z15"),0),4),1,""),IFERROR(SUBSTITUTE(ADDRESS(1,MATCH('[2]Mapping Sheet'!A153,INDIRECT("'"&amp;E153&amp;"'"&amp;"!A17:Z17"),0),4),1,""),""))))),4)</f>
        <v>E4</v>
      </c>
      <c r="C153" s="1029" t="str">
        <f ca="1">_xlfn.CONCAT(IFERROR(SUBSTITUTE(ADDRESS(1,MATCH('[2]Mapping Sheet'!A153,INDIRECT("'"&amp;E153&amp;"'"&amp;"!A4:Z4"),0),4),1,""),IFERROR(SUBSTITUTE(ADDRESS(1,MATCH('[2]Mapping Sheet'!A153,INDIRECT("'"&amp;E153&amp;"'"&amp;"!A9:Z9"),0),4),1,""),IFERROR(SUBSTITUTE(ADDRESS(1,MATCH('[2]Mapping Sheet'!A153,INDIRECT("'"&amp;E153&amp;"'"&amp;"!A12:Z12"),0),4),1,""),IFERROR(SUBSTITUTE(ADDRESS(1,MATCH('[2]Mapping Sheet'!A153,INDIRECT("'"&amp;E153&amp;"'"&amp;"!A15:Z15"),0),4),1,""),IFERROR(SUBSTITUTE(ADDRESS(1,MATCH('[2]Mapping Sheet'!A153,INDIRECT("'"&amp;E153&amp;"'"&amp;"!A17:Z17"),0),4),1,""),""))))),5)</f>
        <v>E5</v>
      </c>
      <c r="D153" s="1029" t="s">
        <v>1448</v>
      </c>
      <c r="E153" s="1029" t="s">
        <v>1449</v>
      </c>
      <c r="F153" s="1029"/>
      <c r="G153" s="1029"/>
      <c r="H153" s="1029"/>
      <c r="I153" s="1026" t="str">
        <f t="shared" si="15"/>
        <v>Multi Market Flag</v>
      </c>
      <c r="J153" s="1376" t="str">
        <f t="shared" si="16"/>
        <v>21</v>
      </c>
      <c r="K153" s="1376" t="str">
        <f t="shared" si="17"/>
        <v>Agreement Worksheet</v>
      </c>
      <c r="L153" s="1111" t="s">
        <v>1294</v>
      </c>
      <c r="M153" s="1376">
        <v>21</v>
      </c>
      <c r="N153" s="1376"/>
    </row>
    <row r="154" spans="1:14" s="1370" customFormat="1" x14ac:dyDescent="0.25">
      <c r="A154" s="1111" t="s">
        <v>1292</v>
      </c>
      <c r="B154" s="1029" t="str">
        <f ca="1">_xlfn.CONCAT(IFERROR(SUBSTITUTE(ADDRESS(1,MATCH('[2]Mapping Sheet'!A154,INDIRECT("'"&amp;E154&amp;"'"&amp;"!A4:Z4"),0),4),1,""),IFERROR(SUBSTITUTE(ADDRESS(1,MATCH('[2]Mapping Sheet'!A154,INDIRECT("'"&amp;E154&amp;"'"&amp;"!A9:Z9"),0),4),1,""),IFERROR(SUBSTITUTE(ADDRESS(1,MATCH('[2]Mapping Sheet'!A154,INDIRECT("'"&amp;E154&amp;"'"&amp;"!A12:Z12"),0),4),1,""),IFERROR(SUBSTITUTE(ADDRESS(1,MATCH('[2]Mapping Sheet'!A154,INDIRECT("'"&amp;E154&amp;"'"&amp;"!A15:Z15"),0),4),1,""),IFERROR(SUBSTITUTE(ADDRESS(1,MATCH('[2]Mapping Sheet'!A154,INDIRECT("'"&amp;E154&amp;"'"&amp;"!A17:Z17"),0),4),1,""),""))))),4)</f>
        <v>C4</v>
      </c>
      <c r="C154" s="1029" t="str">
        <f ca="1">_xlfn.CONCAT(IFERROR(SUBSTITUTE(ADDRESS(1,MATCH('[2]Mapping Sheet'!A154,INDIRECT("'"&amp;E154&amp;"'"&amp;"!A4:Z4"),0),4),1,""),IFERROR(SUBSTITUTE(ADDRESS(1,MATCH('[2]Mapping Sheet'!A154,INDIRECT("'"&amp;E154&amp;"'"&amp;"!A9:Z9"),0),4),1,""),IFERROR(SUBSTITUTE(ADDRESS(1,MATCH('[2]Mapping Sheet'!A154,INDIRECT("'"&amp;E154&amp;"'"&amp;"!A12:Z12"),0),4),1,""),IFERROR(SUBSTITUTE(ADDRESS(1,MATCH('[2]Mapping Sheet'!A154,INDIRECT("'"&amp;E154&amp;"'"&amp;"!A15:Z15"),0),4),1,""),IFERROR(SUBSTITUTE(ADDRESS(1,MATCH('[2]Mapping Sheet'!A154,INDIRECT("'"&amp;E154&amp;"'"&amp;"!A17:Z17"),0),4),1,""),""))))),5)</f>
        <v>C5</v>
      </c>
      <c r="D154" s="1029" t="s">
        <v>1448</v>
      </c>
      <c r="E154" s="1029" t="s">
        <v>1449</v>
      </c>
      <c r="I154" s="1026" t="str">
        <f t="shared" si="15"/>
        <v>Lead Market</v>
      </c>
      <c r="J154" s="1376" t="str">
        <f t="shared" si="16"/>
        <v>22</v>
      </c>
      <c r="K154" s="1376" t="str">
        <f t="shared" si="17"/>
        <v>Agreement Worksheet</v>
      </c>
      <c r="L154" s="1111" t="s">
        <v>1292</v>
      </c>
      <c r="M154" s="1376">
        <v>22</v>
      </c>
      <c r="N154" s="1376"/>
    </row>
    <row r="155" spans="1:14" s="1370" customFormat="1" x14ac:dyDescent="0.25">
      <c r="A155" s="1111" t="s">
        <v>1293</v>
      </c>
      <c r="B155" s="1029" t="str">
        <f ca="1">_xlfn.CONCAT(IFERROR(SUBSTITUTE(ADDRESS(1,MATCH('[2]Mapping Sheet'!A155,INDIRECT("'"&amp;E155&amp;"'"&amp;"!A4:Z4"),0),4),1,""),IFERROR(SUBSTITUTE(ADDRESS(1,MATCH('[2]Mapping Sheet'!A155,INDIRECT("'"&amp;E155&amp;"'"&amp;"!A9:Z9"),0),4),1,""),IFERROR(SUBSTITUTE(ADDRESS(1,MATCH('[2]Mapping Sheet'!A155,INDIRECT("'"&amp;E155&amp;"'"&amp;"!A12:Z12"),0),4),1,""),IFERROR(SUBSTITUTE(ADDRESS(1,MATCH('[2]Mapping Sheet'!A155,INDIRECT("'"&amp;E155&amp;"'"&amp;"!A15:Z15"),0),4),1,""),IFERROR(SUBSTITUTE(ADDRESS(1,MATCH('[2]Mapping Sheet'!A155,INDIRECT("'"&amp;E155&amp;"'"&amp;"!A17:Z17"),0),4),1,""),""))))),4)</f>
        <v>D4</v>
      </c>
      <c r="C155" s="1029" t="str">
        <f ca="1">_xlfn.CONCAT(IFERROR(SUBSTITUTE(ADDRESS(1,MATCH('[2]Mapping Sheet'!A155,INDIRECT("'"&amp;E155&amp;"'"&amp;"!A4:Z4"),0),4),1,""),IFERROR(SUBSTITUTE(ADDRESS(1,MATCH('[2]Mapping Sheet'!A155,INDIRECT("'"&amp;E155&amp;"'"&amp;"!A9:Z9"),0),4),1,""),IFERROR(SUBSTITUTE(ADDRESS(1,MATCH('[2]Mapping Sheet'!A155,INDIRECT("'"&amp;E155&amp;"'"&amp;"!A12:Z12"),0),4),1,""),IFERROR(SUBSTITUTE(ADDRESS(1,MATCH('[2]Mapping Sheet'!A155,INDIRECT("'"&amp;E155&amp;"'"&amp;"!A15:Z15"),0),4),1,""),IFERROR(SUBSTITUTE(ADDRESS(1,MATCH('[2]Mapping Sheet'!A155,INDIRECT("'"&amp;E155&amp;"'"&amp;"!A17:Z17"),0),4),1,""),""))))),5)</f>
        <v>D5</v>
      </c>
      <c r="D155" s="1029" t="s">
        <v>1448</v>
      </c>
      <c r="E155" s="1029" t="s">
        <v>1449</v>
      </c>
      <c r="I155" s="1026" t="str">
        <f t="shared" si="15"/>
        <v>Agreement Sub Classification</v>
      </c>
      <c r="J155" s="1376" t="str">
        <f t="shared" si="16"/>
        <v>23</v>
      </c>
      <c r="K155" s="1376" t="str">
        <f t="shared" si="17"/>
        <v>Agreement Worksheet</v>
      </c>
      <c r="L155" s="1111" t="s">
        <v>1293</v>
      </c>
      <c r="M155" s="1376">
        <v>23</v>
      </c>
      <c r="N155" s="1376"/>
    </row>
    <row r="156" spans="1:14" s="1370" customFormat="1" x14ac:dyDescent="0.25">
      <c r="A156" s="1111" t="s">
        <v>1829</v>
      </c>
      <c r="B156" s="1029" t="str">
        <f ca="1">_xlfn.CONCAT(IFERROR(SUBSTITUTE(ADDRESS(1,MATCH('[2]Mapping Sheet'!A156,INDIRECT("'"&amp;E156&amp;"'"&amp;"!A4:Z4"),0),4),1,""),IFERROR(SUBSTITUTE(ADDRESS(1,MATCH('[2]Mapping Sheet'!A156,INDIRECT("'"&amp;E156&amp;"'"&amp;"!A9:Z9"),0),4),1,""),IFERROR(SUBSTITUTE(ADDRESS(1,MATCH('[2]Mapping Sheet'!A156,INDIRECT("'"&amp;E156&amp;"'"&amp;"!A12:Z12"),0),4),1,""),IFERROR(SUBSTITUTE(ADDRESS(1,MATCH('[2]Mapping Sheet'!A156,INDIRECT("'"&amp;E156&amp;"'"&amp;"!A15:Z15"),0),4),1,""),IFERROR(SUBSTITUTE(ADDRESS(1,MATCH('[2]Mapping Sheet'!A156,INDIRECT("'"&amp;E156&amp;"'"&amp;"!A17:Z17"),0),4),1,""),""))))),17)</f>
        <v>I17</v>
      </c>
      <c r="C156" s="1029" t="str">
        <f ca="1">_xlfn.CONCAT(IFERROR(SUBSTITUTE(ADDRESS(1,MATCH('[2]Mapping Sheet'!A156,INDIRECT("'"&amp;E156&amp;"'"&amp;"!A4:Z4"),0),4),1,""),IFERROR(SUBSTITUTE(ADDRESS(1,MATCH('[2]Mapping Sheet'!A156,INDIRECT("'"&amp;E156&amp;"'"&amp;"!A9:Z9"),0),4),1,""),IFERROR(SUBSTITUTE(ADDRESS(1,MATCH('[2]Mapping Sheet'!A156,INDIRECT("'"&amp;E156&amp;"'"&amp;"!A12:Z12"),0),4),1,""),IFERROR(SUBSTITUTE(ADDRESS(1,MATCH('[2]Mapping Sheet'!A156,INDIRECT("'"&amp;E156&amp;"'"&amp;"!A15:Z15"),0),4),1,""),IFERROR(SUBSTITUTE(ADDRESS(1,MATCH('[2]Mapping Sheet'!A156,INDIRECT("'"&amp;E156&amp;"'"&amp;"!A17:Z17"),0),4),1,""),""))))),18)</f>
        <v>I18</v>
      </c>
      <c r="D156" s="1029" t="s">
        <v>1448</v>
      </c>
      <c r="E156" s="1029" t="s">
        <v>1449</v>
      </c>
      <c r="I156" s="1026" t="str">
        <f t="shared" si="15"/>
        <v>Legacy Agreement Flag</v>
      </c>
      <c r="J156" s="1376" t="str">
        <f t="shared" si="16"/>
        <v>24</v>
      </c>
      <c r="K156" s="1376" t="str">
        <f t="shared" si="17"/>
        <v>Agreement Worksheet</v>
      </c>
      <c r="L156" s="1111" t="s">
        <v>1829</v>
      </c>
      <c r="M156" s="1376">
        <v>24</v>
      </c>
      <c r="N156" s="1376"/>
    </row>
    <row r="157" spans="1:14" s="1370" customFormat="1" x14ac:dyDescent="0.25">
      <c r="A157" s="1111" t="s">
        <v>1827</v>
      </c>
      <c r="B157" s="1029" t="str">
        <f ca="1">_xlfn.CONCAT(IFERROR(SUBSTITUTE(ADDRESS(1,MATCH('[2]Mapping Sheet'!A157,INDIRECT("'"&amp;E157&amp;"'"&amp;"!A4:Z4"),0),4),1,""),IFERROR(SUBSTITUTE(ADDRESS(1,MATCH('[2]Mapping Sheet'!A157,INDIRECT("'"&amp;E157&amp;"'"&amp;"!A9:Z9"),0),4),1,""),IFERROR(SUBSTITUTE(ADDRESS(1,MATCH('[2]Mapping Sheet'!A157,INDIRECT("'"&amp;E157&amp;"'"&amp;"!A12:Z12"),0),4),1,""),IFERROR(SUBSTITUTE(ADDRESS(1,MATCH('[2]Mapping Sheet'!A157,INDIRECT("'"&amp;E157&amp;"'"&amp;"!A15:Z15"),0),4),1,""),IFERROR(SUBSTITUTE(ADDRESS(1,MATCH('[2]Mapping Sheet'!A157,INDIRECT("'"&amp;E157&amp;"'"&amp;"!A17:Z17"),0),4),1,""),""))))),4)</f>
        <v>J4</v>
      </c>
      <c r="C157" s="1029" t="str">
        <f ca="1">_xlfn.CONCAT(IFERROR(SUBSTITUTE(ADDRESS(1,MATCH('[2]Mapping Sheet'!A157,INDIRECT("'"&amp;E157&amp;"'"&amp;"!A4:Z4"),0),4),1,""),IFERROR(SUBSTITUTE(ADDRESS(1,MATCH('[2]Mapping Sheet'!A157,INDIRECT("'"&amp;E157&amp;"'"&amp;"!A9:Z9"),0),4),1,""),IFERROR(SUBSTITUTE(ADDRESS(1,MATCH('[2]Mapping Sheet'!A157,INDIRECT("'"&amp;E157&amp;"'"&amp;"!A12:Z12"),0),4),1,""),IFERROR(SUBSTITUTE(ADDRESS(1,MATCH('[2]Mapping Sheet'!A157,INDIRECT("'"&amp;E157&amp;"'"&amp;"!A15:Z15"),0),4),1,""),IFERROR(SUBSTITUTE(ADDRESS(1,MATCH('[2]Mapping Sheet'!A157,INDIRECT("'"&amp;E157&amp;"'"&amp;"!A17:Z17"),0),4),1,""),""))))),5)</f>
        <v>J5</v>
      </c>
      <c r="D157" s="1029" t="s">
        <v>1448</v>
      </c>
      <c r="E157" s="1029" t="s">
        <v>1449</v>
      </c>
      <c r="I157" s="1026" t="str">
        <f t="shared" si="15"/>
        <v>Agreement Calendar</v>
      </c>
      <c r="J157" s="1376" t="str">
        <f t="shared" si="16"/>
        <v>25</v>
      </c>
      <c r="K157" s="1376" t="str">
        <f t="shared" si="17"/>
        <v>Agreement Worksheet</v>
      </c>
      <c r="L157" s="1111" t="s">
        <v>1827</v>
      </c>
      <c r="M157" s="1376">
        <v>25</v>
      </c>
      <c r="N157" s="1376"/>
    </row>
    <row r="158" spans="1:14" s="1370" customFormat="1" x14ac:dyDescent="0.25">
      <c r="A158" s="1029" t="s">
        <v>1267</v>
      </c>
      <c r="B158" s="1029" t="str">
        <f>IFERROR(_xlfn.CONCAT("E",MATCH(A158,'[2]Required Info to Submit'!E$1:E$19,0)),"")</f>
        <v>E14</v>
      </c>
      <c r="C158" s="1029" t="str">
        <f>IFERROR(_xlfn.CONCAT("F",MATCH(A158,'[2]Required Info to Submit'!E$1:E$19,0)),"")</f>
        <v>F14</v>
      </c>
      <c r="D158" s="1029" t="s">
        <v>1448</v>
      </c>
      <c r="E158" s="1029" t="s">
        <v>1500</v>
      </c>
      <c r="I158" s="1026" t="str">
        <f t="shared" si="15"/>
        <v xml:space="preserve">Agreement Effective Date: </v>
      </c>
      <c r="J158" s="1376" t="str">
        <f t="shared" si="16"/>
        <v>7</v>
      </c>
      <c r="K158" s="1376" t="str">
        <f t="shared" si="17"/>
        <v>Required Info To Submit</v>
      </c>
      <c r="L158" s="1029" t="s">
        <v>1519</v>
      </c>
      <c r="M158" s="1376">
        <v>7</v>
      </c>
      <c r="N158" s="1376"/>
    </row>
    <row r="159" spans="1:14" s="1370" customFormat="1" x14ac:dyDescent="0.25">
      <c r="A159" s="1029" t="s">
        <v>1268</v>
      </c>
      <c r="B159" s="1029" t="str">
        <f>IFERROR(_xlfn.CONCAT("E",MATCH(A159,'[2]Required Info to Submit'!E$1:E$19,0)),"")</f>
        <v>E17</v>
      </c>
      <c r="C159" s="1029" t="str">
        <f>IFERROR(_xlfn.CONCAT("F",MATCH(A159,'[2]Required Info to Submit'!E$1:E$19,0)),"")</f>
        <v>F17</v>
      </c>
      <c r="D159" s="1029" t="s">
        <v>1448</v>
      </c>
      <c r="E159" s="1029" t="s">
        <v>1500</v>
      </c>
      <c r="I159" s="1026" t="str">
        <f t="shared" si="15"/>
        <v>Agreement Expiration Date:</v>
      </c>
      <c r="J159" s="1376" t="str">
        <f t="shared" si="16"/>
        <v>8</v>
      </c>
      <c r="K159" s="1376" t="str">
        <f t="shared" si="17"/>
        <v>Required Info To Submit</v>
      </c>
      <c r="L159" s="1029" t="s">
        <v>1520</v>
      </c>
      <c r="M159" s="1376">
        <v>8</v>
      </c>
      <c r="N159" s="1376"/>
    </row>
    <row r="160" spans="1:14" s="1370" customFormat="1" x14ac:dyDescent="0.25">
      <c r="A160" s="1111" t="s">
        <v>887</v>
      </c>
      <c r="B160" s="1029" t="str">
        <f>IFERROR(_xlfn.CONCAT("E",MATCH(A160,'[2]Required Info to Submit'!E$1:E$19,0)),"")</f>
        <v>E4</v>
      </c>
      <c r="C160" s="1029" t="str">
        <f>IFERROR(_xlfn.CONCAT("F",MATCH(A160,'[2]Required Info to Submit'!E$1:E$19,0)),"")</f>
        <v>F4</v>
      </c>
      <c r="D160" s="1029" t="s">
        <v>1448</v>
      </c>
      <c r="E160" s="1029" t="s">
        <v>1500</v>
      </c>
      <c r="I160" s="1026" t="str">
        <f t="shared" si="15"/>
        <v xml:space="preserve">Market Contact: </v>
      </c>
      <c r="J160" s="1376" t="str">
        <f t="shared" si="16"/>
        <v>502</v>
      </c>
      <c r="K160" s="1376" t="str">
        <f t="shared" si="17"/>
        <v>Required Info To Submit</v>
      </c>
      <c r="L160" s="1111" t="s">
        <v>1547</v>
      </c>
      <c r="M160" s="1376">
        <v>502</v>
      </c>
      <c r="N160" s="1376"/>
    </row>
    <row r="161" spans="1:14" s="1370" customFormat="1" x14ac:dyDescent="0.25">
      <c r="A161" s="1111" t="s">
        <v>1263</v>
      </c>
      <c r="B161" s="1029" t="str">
        <f>IFERROR(_xlfn.CONCAT("E",MATCH(A161,'[2]Required Info to Submit'!E$1:E$19,0)),"")</f>
        <v>E6</v>
      </c>
      <c r="C161" s="1029" t="str">
        <f>IFERROR(_xlfn.CONCAT("F",MATCH(A161,'[2]Required Info to Submit'!E$1:E$19,0)),"")</f>
        <v>F6</v>
      </c>
      <c r="D161" s="1029" t="s">
        <v>1448</v>
      </c>
      <c r="E161" s="1029" t="s">
        <v>1500</v>
      </c>
      <c r="I161" s="1026" t="str">
        <f t="shared" si="15"/>
        <v xml:space="preserve">Legal Entity: </v>
      </c>
      <c r="J161" s="1376" t="str">
        <f t="shared" si="16"/>
        <v>503</v>
      </c>
      <c r="K161" s="1376" t="str">
        <f t="shared" si="17"/>
        <v>Required Info To Submit</v>
      </c>
      <c r="L161" s="1111" t="s">
        <v>1548</v>
      </c>
      <c r="M161" s="1376">
        <v>503</v>
      </c>
      <c r="N161" s="1376"/>
    </row>
    <row r="162" spans="1:14" s="1370" customFormat="1" x14ac:dyDescent="0.25">
      <c r="A162" s="1111" t="s">
        <v>1264</v>
      </c>
      <c r="B162" s="1029" t="str">
        <f>IFERROR(_xlfn.CONCAT("E",MATCH(A162,'[2]Required Info to Submit'!E$1:E$19,0)),"")</f>
        <v>E8</v>
      </c>
      <c r="C162" s="1029" t="str">
        <f>IFERROR(_xlfn.CONCAT("F",MATCH(A162,'[2]Required Info to Submit'!E$1:E$19,0)),"")</f>
        <v>F8</v>
      </c>
      <c r="D162" s="1029" t="s">
        <v>1448</v>
      </c>
      <c r="E162" s="1029" t="s">
        <v>1500</v>
      </c>
      <c r="I162" s="1026" t="str">
        <f t="shared" si="15"/>
        <v xml:space="preserve">DBA Name: </v>
      </c>
      <c r="J162" s="1376" t="str">
        <f t="shared" si="16"/>
        <v>504</v>
      </c>
      <c r="K162" s="1376" t="str">
        <f t="shared" si="17"/>
        <v>Required Info To Submit</v>
      </c>
      <c r="L162" s="1111" t="s">
        <v>1550</v>
      </c>
      <c r="M162" s="1376">
        <v>504</v>
      </c>
      <c r="N162" s="1376"/>
    </row>
    <row r="163" spans="1:14" s="1370" customFormat="1" x14ac:dyDescent="0.25">
      <c r="A163" s="1111" t="s">
        <v>1265</v>
      </c>
      <c r="B163" s="1029" t="str">
        <f>IFERROR(_xlfn.CONCAT("E",MATCH(A163,'[2]Required Info to Submit'!E$1:E$19,0)),"")</f>
        <v>E9</v>
      </c>
      <c r="C163" s="1029" t="str">
        <f>IFERROR(_xlfn.CONCAT("F",MATCH(A163,'[2]Required Info to Submit'!E$1:E$19,0)),"")</f>
        <v>F9</v>
      </c>
      <c r="D163" s="1029" t="s">
        <v>1448</v>
      </c>
      <c r="E163" s="1029" t="s">
        <v>1500</v>
      </c>
      <c r="I163" s="1026" t="str">
        <f t="shared" si="15"/>
        <v xml:space="preserve">Legal Entity Address: </v>
      </c>
      <c r="J163" s="1376" t="str">
        <f t="shared" si="16"/>
        <v>505</v>
      </c>
      <c r="K163" s="1376" t="str">
        <f t="shared" si="17"/>
        <v>Required Info To Submit</v>
      </c>
      <c r="L163" s="1111" t="s">
        <v>1551</v>
      </c>
      <c r="M163" s="1376">
        <v>505</v>
      </c>
      <c r="N163" s="1376"/>
    </row>
    <row r="164" spans="1:14" s="1370" customFormat="1" x14ac:dyDescent="0.25">
      <c r="A164" s="1111" t="s">
        <v>877</v>
      </c>
      <c r="B164" s="1029" t="str">
        <f>IFERROR(_xlfn.CONCAT("E",MATCH(A164,'[2]Required Info to Submit'!E$1:E$19,0)),"")</f>
        <v>E10</v>
      </c>
      <c r="C164" s="1029" t="str">
        <f>IFERROR(_xlfn.CONCAT("F",MATCH(A164,'[2]Required Info to Submit'!E$1:E$19,0)),"")</f>
        <v>F10</v>
      </c>
      <c r="D164" s="1029" t="s">
        <v>1448</v>
      </c>
      <c r="E164" s="1029" t="s">
        <v>1500</v>
      </c>
      <c r="I164" s="1026" t="str">
        <f t="shared" si="15"/>
        <v xml:space="preserve">Attention: </v>
      </c>
      <c r="J164" s="1376" t="str">
        <f t="shared" si="16"/>
        <v>506</v>
      </c>
      <c r="K164" s="1376" t="str">
        <f t="shared" si="17"/>
        <v>Required Info To Submit</v>
      </c>
      <c r="L164" s="1111" t="s">
        <v>1552</v>
      </c>
      <c r="M164" s="1376">
        <v>506</v>
      </c>
      <c r="N164" s="1376"/>
    </row>
    <row r="165" spans="1:14" s="1370" customFormat="1" x14ac:dyDescent="0.25">
      <c r="A165" s="1111" t="s">
        <v>830</v>
      </c>
      <c r="B165" s="1029" t="str">
        <f>IFERROR(_xlfn.CONCAT("E",MATCH(A165,'[2]Required Info to Submit'!E$1:E$19,0)),"")</f>
        <v>E11</v>
      </c>
      <c r="C165" s="1029" t="str">
        <f>IFERROR(_xlfn.CONCAT("F",MATCH(A165,'[2]Required Info to Submit'!E$1:E$19,0)),"")</f>
        <v>F11</v>
      </c>
      <c r="D165" s="1029" t="s">
        <v>1448</v>
      </c>
      <c r="E165" s="1029" t="s">
        <v>1500</v>
      </c>
      <c r="I165" s="1026" t="str">
        <f t="shared" si="15"/>
        <v xml:space="preserve">Phone Number: </v>
      </c>
      <c r="J165" s="1376" t="str">
        <f t="shared" si="16"/>
        <v>507</v>
      </c>
      <c r="K165" s="1376" t="str">
        <f t="shared" si="17"/>
        <v>Required Info To Submit</v>
      </c>
      <c r="L165" s="1111" t="s">
        <v>1553</v>
      </c>
      <c r="M165" s="1376">
        <v>507</v>
      </c>
      <c r="N165" s="1376"/>
    </row>
    <row r="166" spans="1:14" s="1370" customFormat="1" x14ac:dyDescent="0.25">
      <c r="A166" s="1111" t="s">
        <v>1266</v>
      </c>
      <c r="B166" s="1029" t="str">
        <f>IFERROR(_xlfn.CONCAT("E",MATCH(A166,'[2]Required Info to Submit'!E$1:E$19,0)),"")</f>
        <v>E12</v>
      </c>
      <c r="C166" s="1029" t="str">
        <f>IFERROR(_xlfn.CONCAT("F",MATCH(A166,'[2]Required Info to Submit'!E$1:E$19,0)),"")</f>
        <v>F12</v>
      </c>
      <c r="D166" s="1029" t="s">
        <v>1448</v>
      </c>
      <c r="E166" s="1029" t="s">
        <v>1500</v>
      </c>
      <c r="I166" s="1026" t="str">
        <f t="shared" si="15"/>
        <v xml:space="preserve">Legal Entity City, State, Zip: </v>
      </c>
      <c r="J166" s="1376" t="str">
        <f t="shared" si="16"/>
        <v>508</v>
      </c>
      <c r="K166" s="1376" t="str">
        <f t="shared" si="17"/>
        <v>Required Info To Submit</v>
      </c>
      <c r="L166" s="1111" t="s">
        <v>1554</v>
      </c>
      <c r="M166" s="1376">
        <v>508</v>
      </c>
      <c r="N166" s="1376"/>
    </row>
    <row r="167" spans="1:14" s="1370" customFormat="1" x14ac:dyDescent="0.25">
      <c r="A167" s="1112" t="s">
        <v>1270</v>
      </c>
      <c r="B167" s="1029" t="str">
        <f ca="1">_xlfn.IFNA(_xlfn.CONCAT(SUBSTITUTE(ADDRESS(1,MATCH(A167,INDIRECT("'"&amp;E167&amp;"'"&amp;"!A22:Z22"),0),4),1,""),23),"")</f>
        <v>E23</v>
      </c>
      <c r="C167" s="1029" t="str">
        <f ca="1">_xlfn.IFNA(SUBSTITUTE(ADDRESS(1,MATCH(A167,INDIRECT("'"&amp;E167&amp;"'"&amp;"!A22:Z22"),0),4),1,""),"")</f>
        <v>E</v>
      </c>
      <c r="D167" s="1376" t="s">
        <v>1455</v>
      </c>
      <c r="E167" s="1029" t="s">
        <v>1500</v>
      </c>
      <c r="I167" s="1026" t="str">
        <f t="shared" si="15"/>
        <v/>
      </c>
      <c r="J167" s="1376"/>
      <c r="K167" s="1376" t="str">
        <f t="shared" si="17"/>
        <v/>
      </c>
      <c r="L167" s="1028" t="s">
        <v>1270</v>
      </c>
      <c r="M167" s="1376">
        <v>34</v>
      </c>
      <c r="N167" s="1376"/>
    </row>
    <row r="168" spans="1:14" s="1370" customFormat="1" x14ac:dyDescent="0.25">
      <c r="A168" s="1113" t="s">
        <v>794</v>
      </c>
      <c r="B168" s="1029" t="str">
        <f t="shared" ref="B168:B177" ca="1" si="18">_xlfn.IFNA(_xlfn.CONCAT(SUBSTITUTE(ADDRESS(1,MATCH(A168,INDIRECT("'"&amp;E168&amp;"'"&amp;"!A22:Z22"),0),4),1,""),23),"")</f>
        <v>F23</v>
      </c>
      <c r="C168" s="1029" t="str">
        <f t="shared" ref="C168:C231" ca="1" si="19">_xlfn.IFNA(SUBSTITUTE(ADDRESS(1,MATCH(A168,INDIRECT("'"&amp;E168&amp;"'"&amp;"!A22:Z22"),0),4),1,""),"")</f>
        <v>F</v>
      </c>
      <c r="D168" s="1376" t="s">
        <v>1455</v>
      </c>
      <c r="E168" s="1029" t="s">
        <v>1500</v>
      </c>
      <c r="I168" s="1026" t="str">
        <f t="shared" si="15"/>
        <v>Name</v>
      </c>
      <c r="J168" s="1376" t="str">
        <f t="shared" si="16"/>
        <v>36</v>
      </c>
      <c r="K168" s="1376" t="str">
        <f t="shared" si="17"/>
        <v>Required Info To Submit</v>
      </c>
      <c r="L168" s="1087" t="s">
        <v>794</v>
      </c>
      <c r="M168" s="1376">
        <v>36</v>
      </c>
      <c r="N168" s="1376"/>
    </row>
    <row r="169" spans="1:14" s="1370" customFormat="1" x14ac:dyDescent="0.25">
      <c r="A169" s="1113" t="s">
        <v>793</v>
      </c>
      <c r="B169" s="1029" t="str">
        <f t="shared" ca="1" si="18"/>
        <v>K23</v>
      </c>
      <c r="C169" s="1029" t="str">
        <f t="shared" ca="1" si="19"/>
        <v>K</v>
      </c>
      <c r="D169" s="1376" t="s">
        <v>1455</v>
      </c>
      <c r="E169" s="1029" t="s">
        <v>1500</v>
      </c>
      <c r="I169" s="1026" t="str">
        <f t="shared" si="15"/>
        <v>Effective Date</v>
      </c>
      <c r="J169" s="1376" t="str">
        <f t="shared" si="16"/>
        <v>46</v>
      </c>
      <c r="K169" s="1376" t="str">
        <f t="shared" si="17"/>
        <v>Required Info To Submit</v>
      </c>
      <c r="L169" s="1087" t="s">
        <v>793</v>
      </c>
      <c r="M169" s="1376">
        <v>46</v>
      </c>
      <c r="N169" s="1376"/>
    </row>
    <row r="170" spans="1:14" s="1370" customFormat="1" x14ac:dyDescent="0.25">
      <c r="A170" s="1113" t="s">
        <v>1271</v>
      </c>
      <c r="B170" s="1029" t="str">
        <f t="shared" ca="1" si="18"/>
        <v>L23</v>
      </c>
      <c r="C170" s="1029" t="str">
        <f t="shared" ca="1" si="19"/>
        <v>L</v>
      </c>
      <c r="D170" s="1376" t="s">
        <v>1455</v>
      </c>
      <c r="E170" s="1029" t="s">
        <v>1500</v>
      </c>
      <c r="I170" s="1026" t="str">
        <f t="shared" si="15"/>
        <v>Expiration Date</v>
      </c>
      <c r="J170" s="1376" t="str">
        <f t="shared" si="16"/>
        <v>47</v>
      </c>
      <c r="K170" s="1376" t="str">
        <f t="shared" si="17"/>
        <v>Required Info To Submit</v>
      </c>
      <c r="L170" s="1087" t="s">
        <v>1271</v>
      </c>
      <c r="M170" s="1376">
        <v>47</v>
      </c>
      <c r="N170" s="1376"/>
    </row>
    <row r="171" spans="1:14" s="1370" customFormat="1" x14ac:dyDescent="0.25">
      <c r="A171" s="1113" t="s">
        <v>1272</v>
      </c>
      <c r="B171" s="1029" t="str">
        <f t="shared" ca="1" si="18"/>
        <v>M23</v>
      </c>
      <c r="C171" s="1029" t="str">
        <f t="shared" ca="1" si="19"/>
        <v>M</v>
      </c>
      <c r="D171" s="1376" t="s">
        <v>1455</v>
      </c>
      <c r="E171" s="1029" t="s">
        <v>1500</v>
      </c>
      <c r="I171" s="1026" t="str">
        <f t="shared" si="15"/>
        <v/>
      </c>
      <c r="J171" s="1376"/>
      <c r="K171" s="1376" t="str">
        <f t="shared" si="17"/>
        <v/>
      </c>
      <c r="L171" s="1087" t="s">
        <v>1272</v>
      </c>
      <c r="M171" s="1376">
        <v>48</v>
      </c>
      <c r="N171" s="1376"/>
    </row>
    <row r="172" spans="1:14" s="1370" customFormat="1" x14ac:dyDescent="0.25">
      <c r="A172" s="1113" t="s">
        <v>1273</v>
      </c>
      <c r="B172" s="1029" t="str">
        <f t="shared" ca="1" si="18"/>
        <v>N23</v>
      </c>
      <c r="C172" s="1029" t="str">
        <f t="shared" ca="1" si="19"/>
        <v>N</v>
      </c>
      <c r="D172" s="1376" t="s">
        <v>1455</v>
      </c>
      <c r="E172" s="1029" t="s">
        <v>1500</v>
      </c>
      <c r="I172" s="1026" t="str">
        <f t="shared" si="15"/>
        <v/>
      </c>
      <c r="J172" s="1376"/>
      <c r="K172" s="1376" t="str">
        <f t="shared" si="17"/>
        <v/>
      </c>
      <c r="L172" s="1087" t="s">
        <v>1465</v>
      </c>
      <c r="M172" s="1376">
        <v>49</v>
      </c>
      <c r="N172" s="1376"/>
    </row>
    <row r="173" spans="1:14" s="1370" customFormat="1" x14ac:dyDescent="0.25">
      <c r="A173" s="1113" t="s">
        <v>1390</v>
      </c>
      <c r="B173" s="1029" t="str">
        <f t="shared" ca="1" si="18"/>
        <v>O23</v>
      </c>
      <c r="C173" s="1029" t="str">
        <f t="shared" ca="1" si="19"/>
        <v>O</v>
      </c>
      <c r="D173" s="1376" t="s">
        <v>1455</v>
      </c>
      <c r="E173" s="1029" t="s">
        <v>1500</v>
      </c>
      <c r="I173" s="1026" t="str">
        <f t="shared" si="15"/>
        <v/>
      </c>
      <c r="J173" s="1376"/>
      <c r="K173" s="1376" t="str">
        <f t="shared" si="17"/>
        <v/>
      </c>
      <c r="L173" s="1087" t="s">
        <v>1390</v>
      </c>
      <c r="M173" s="1376">
        <v>50</v>
      </c>
      <c r="N173" s="1376"/>
    </row>
    <row r="174" spans="1:14" s="1370" customFormat="1" x14ac:dyDescent="0.25">
      <c r="A174" s="1113" t="s">
        <v>795</v>
      </c>
      <c r="B174" s="1029" t="str">
        <f t="shared" ca="1" si="18"/>
        <v>G23</v>
      </c>
      <c r="C174" s="1029" t="str">
        <f t="shared" ca="1" si="19"/>
        <v>G</v>
      </c>
      <c r="D174" s="1376" t="s">
        <v>1455</v>
      </c>
      <c r="E174" s="1029" t="s">
        <v>1500</v>
      </c>
      <c r="I174" s="1026" t="str">
        <f t="shared" si="15"/>
        <v>Address</v>
      </c>
      <c r="J174" s="1376" t="str">
        <f t="shared" si="16"/>
        <v>51</v>
      </c>
      <c r="K174" s="1376" t="str">
        <f t="shared" si="17"/>
        <v>Required Info To Submit</v>
      </c>
      <c r="L174" s="1087" t="s">
        <v>795</v>
      </c>
      <c r="M174" s="1376">
        <v>51</v>
      </c>
      <c r="N174" s="1376"/>
    </row>
    <row r="175" spans="1:14" s="1370" customFormat="1" x14ac:dyDescent="0.25">
      <c r="A175" s="1113" t="s">
        <v>800</v>
      </c>
      <c r="B175" s="1029" t="str">
        <f t="shared" ca="1" si="18"/>
        <v>H23</v>
      </c>
      <c r="C175" s="1029" t="str">
        <f t="shared" ca="1" si="19"/>
        <v>H</v>
      </c>
      <c r="D175" s="1376" t="s">
        <v>1455</v>
      </c>
      <c r="E175" s="1029" t="s">
        <v>1500</v>
      </c>
      <c r="I175" s="1026" t="str">
        <f t="shared" si="15"/>
        <v>City</v>
      </c>
      <c r="J175" s="1376" t="str">
        <f t="shared" si="16"/>
        <v>52</v>
      </c>
      <c r="K175" s="1376" t="str">
        <f t="shared" si="17"/>
        <v>Required Info To Submit</v>
      </c>
      <c r="L175" s="1087" t="s">
        <v>800</v>
      </c>
      <c r="M175" s="1376">
        <v>52</v>
      </c>
      <c r="N175" s="1376"/>
    </row>
    <row r="176" spans="1:14" s="1370" customFormat="1" x14ac:dyDescent="0.25">
      <c r="A176" s="1113" t="s">
        <v>801</v>
      </c>
      <c r="B176" s="1029" t="str">
        <f t="shared" ca="1" si="18"/>
        <v>I23</v>
      </c>
      <c r="C176" s="1029" t="str">
        <f t="shared" ca="1" si="19"/>
        <v>I</v>
      </c>
      <c r="D176" s="1376" t="s">
        <v>1455</v>
      </c>
      <c r="E176" s="1029" t="s">
        <v>1500</v>
      </c>
      <c r="I176" s="1026" t="str">
        <f t="shared" si="15"/>
        <v>State</v>
      </c>
      <c r="J176" s="1376" t="str">
        <f t="shared" si="16"/>
        <v>53</v>
      </c>
      <c r="K176" s="1376" t="str">
        <f t="shared" si="17"/>
        <v>Required Info To Submit</v>
      </c>
      <c r="L176" s="1087" t="s">
        <v>801</v>
      </c>
      <c r="M176" s="1376">
        <v>53</v>
      </c>
      <c r="N176" s="1376"/>
    </row>
    <row r="177" spans="1:14" s="1370" customFormat="1" x14ac:dyDescent="0.25">
      <c r="A177" s="1113" t="s">
        <v>204</v>
      </c>
      <c r="B177" s="1029" t="str">
        <f t="shared" ca="1" si="18"/>
        <v>J23</v>
      </c>
      <c r="C177" s="1029" t="str">
        <f t="shared" ca="1" si="19"/>
        <v>J</v>
      </c>
      <c r="D177" s="1376" t="s">
        <v>1455</v>
      </c>
      <c r="E177" s="1029" t="s">
        <v>1500</v>
      </c>
      <c r="I177" s="1026" t="str">
        <f t="shared" si="15"/>
        <v>Zip Code</v>
      </c>
      <c r="J177" s="1376" t="str">
        <f t="shared" si="16"/>
        <v>54</v>
      </c>
      <c r="K177" s="1376" t="str">
        <f t="shared" si="17"/>
        <v>Required Info To Submit</v>
      </c>
      <c r="L177" s="1087" t="s">
        <v>204</v>
      </c>
      <c r="M177" s="1376">
        <v>54</v>
      </c>
      <c r="N177" s="1376"/>
    </row>
    <row r="178" spans="1:14" s="1370" customFormat="1" x14ac:dyDescent="0.25">
      <c r="A178" s="1114" t="s">
        <v>1270</v>
      </c>
      <c r="B178" s="1029" t="str">
        <f ca="1">_xlfn.IFNA(_xlfn.CONCAT(SUBSTITUTE(ADDRESS(1,MATCH(A178,INDIRECT("'"&amp;E178&amp;"'"&amp;"!A22:Z22"),0),4),1,""),24),"")</f>
        <v>E24</v>
      </c>
      <c r="C178" s="1029" t="str">
        <f t="shared" ca="1" si="19"/>
        <v>E</v>
      </c>
      <c r="D178" s="1376" t="s">
        <v>1455</v>
      </c>
      <c r="E178" s="1029" t="s">
        <v>1500</v>
      </c>
      <c r="I178" s="1026" t="str">
        <f t="shared" si="15"/>
        <v/>
      </c>
      <c r="J178" s="1376"/>
      <c r="K178" s="1376" t="str">
        <f t="shared" si="17"/>
        <v/>
      </c>
      <c r="L178" s="1028" t="s">
        <v>1270</v>
      </c>
      <c r="M178" s="1376">
        <v>55</v>
      </c>
      <c r="N178" s="1376"/>
    </row>
    <row r="179" spans="1:14" s="1370" customFormat="1" x14ac:dyDescent="0.25">
      <c r="A179" s="1115" t="s">
        <v>794</v>
      </c>
      <c r="B179" s="1029" t="str">
        <f t="shared" ref="B179:B188" ca="1" si="20">_xlfn.IFNA(_xlfn.CONCAT(SUBSTITUTE(ADDRESS(1,MATCH(A179,INDIRECT("'"&amp;E179&amp;"'"&amp;"!A22:Z22"),0),4),1,""),24),"")</f>
        <v>F24</v>
      </c>
      <c r="C179" s="1029" t="str">
        <f t="shared" ca="1" si="19"/>
        <v>F</v>
      </c>
      <c r="D179" s="1376" t="s">
        <v>1455</v>
      </c>
      <c r="E179" s="1029" t="s">
        <v>1500</v>
      </c>
      <c r="I179" s="1026" t="str">
        <f t="shared" si="15"/>
        <v>Name</v>
      </c>
      <c r="J179" s="1376" t="str">
        <f t="shared" si="16"/>
        <v>57</v>
      </c>
      <c r="K179" s="1376" t="str">
        <f t="shared" si="17"/>
        <v>Required Info To Submit</v>
      </c>
      <c r="L179" s="1087" t="s">
        <v>794</v>
      </c>
      <c r="M179" s="1376">
        <v>57</v>
      </c>
      <c r="N179" s="1376"/>
    </row>
    <row r="180" spans="1:14" s="1370" customFormat="1" x14ac:dyDescent="0.25">
      <c r="A180" s="1115" t="s">
        <v>793</v>
      </c>
      <c r="B180" s="1029" t="str">
        <f t="shared" ca="1" si="20"/>
        <v>K24</v>
      </c>
      <c r="C180" s="1029" t="str">
        <f t="shared" ca="1" si="19"/>
        <v>K</v>
      </c>
      <c r="D180" s="1376" t="s">
        <v>1455</v>
      </c>
      <c r="E180" s="1029" t="s">
        <v>1500</v>
      </c>
      <c r="I180" s="1026" t="str">
        <f t="shared" si="15"/>
        <v>Effective Date</v>
      </c>
      <c r="J180" s="1376" t="str">
        <f t="shared" si="16"/>
        <v>67</v>
      </c>
      <c r="K180" s="1376" t="str">
        <f t="shared" si="17"/>
        <v>Required Info To Submit</v>
      </c>
      <c r="L180" s="1087" t="s">
        <v>793</v>
      </c>
      <c r="M180" s="1376">
        <v>67</v>
      </c>
      <c r="N180" s="1376"/>
    </row>
    <row r="181" spans="1:14" s="1370" customFormat="1" x14ac:dyDescent="0.25">
      <c r="A181" s="1115" t="s">
        <v>1271</v>
      </c>
      <c r="B181" s="1029" t="str">
        <f t="shared" ca="1" si="20"/>
        <v>L24</v>
      </c>
      <c r="C181" s="1029" t="str">
        <f t="shared" ca="1" si="19"/>
        <v>L</v>
      </c>
      <c r="D181" s="1376" t="s">
        <v>1455</v>
      </c>
      <c r="E181" s="1029" t="s">
        <v>1500</v>
      </c>
      <c r="I181" s="1026" t="str">
        <f t="shared" si="15"/>
        <v>Expiration Date</v>
      </c>
      <c r="J181" s="1376" t="str">
        <f t="shared" si="16"/>
        <v>68</v>
      </c>
      <c r="K181" s="1376" t="str">
        <f t="shared" si="17"/>
        <v>Required Info To Submit</v>
      </c>
      <c r="L181" s="1087" t="s">
        <v>1271</v>
      </c>
      <c r="M181" s="1376">
        <v>68</v>
      </c>
      <c r="N181" s="1376"/>
    </row>
    <row r="182" spans="1:14" s="1370" customFormat="1" x14ac:dyDescent="0.25">
      <c r="A182" s="1115" t="s">
        <v>1272</v>
      </c>
      <c r="B182" s="1029" t="str">
        <f t="shared" ca="1" si="20"/>
        <v>M24</v>
      </c>
      <c r="C182" s="1029" t="str">
        <f t="shared" ca="1" si="19"/>
        <v>M</v>
      </c>
      <c r="D182" s="1376" t="s">
        <v>1455</v>
      </c>
      <c r="E182" s="1029" t="s">
        <v>1500</v>
      </c>
      <c r="I182" s="1026" t="str">
        <f t="shared" si="15"/>
        <v/>
      </c>
      <c r="J182" s="1376"/>
      <c r="K182" s="1376" t="str">
        <f t="shared" si="17"/>
        <v/>
      </c>
      <c r="L182" s="1087" t="s">
        <v>1272</v>
      </c>
      <c r="M182" s="1376">
        <v>69</v>
      </c>
      <c r="N182" s="1376"/>
    </row>
    <row r="183" spans="1:14" s="1370" customFormat="1" x14ac:dyDescent="0.25">
      <c r="A183" s="1115" t="s">
        <v>1273</v>
      </c>
      <c r="B183" s="1029" t="str">
        <f t="shared" ca="1" si="20"/>
        <v>N24</v>
      </c>
      <c r="C183" s="1029" t="str">
        <f t="shared" ca="1" si="19"/>
        <v>N</v>
      </c>
      <c r="D183" s="1376" t="s">
        <v>1455</v>
      </c>
      <c r="E183" s="1029" t="s">
        <v>1500</v>
      </c>
      <c r="I183" s="1026" t="str">
        <f t="shared" si="15"/>
        <v/>
      </c>
      <c r="J183" s="1376"/>
      <c r="K183" s="1376" t="str">
        <f t="shared" si="17"/>
        <v/>
      </c>
      <c r="L183" s="1087" t="s">
        <v>1465</v>
      </c>
      <c r="M183" s="1376">
        <v>70</v>
      </c>
      <c r="N183" s="1376"/>
    </row>
    <row r="184" spans="1:14" s="1370" customFormat="1" x14ac:dyDescent="0.25">
      <c r="A184" s="1115" t="s">
        <v>1390</v>
      </c>
      <c r="B184" s="1029" t="str">
        <f t="shared" ca="1" si="20"/>
        <v>O24</v>
      </c>
      <c r="C184" s="1029" t="str">
        <f t="shared" ca="1" si="19"/>
        <v>O</v>
      </c>
      <c r="D184" s="1376" t="s">
        <v>1455</v>
      </c>
      <c r="E184" s="1029" t="s">
        <v>1500</v>
      </c>
      <c r="I184" s="1026" t="str">
        <f t="shared" si="15"/>
        <v/>
      </c>
      <c r="J184" s="1376"/>
      <c r="K184" s="1376" t="str">
        <f t="shared" si="17"/>
        <v/>
      </c>
      <c r="L184" s="1087" t="s">
        <v>1390</v>
      </c>
      <c r="M184" s="1376">
        <v>71</v>
      </c>
      <c r="N184" s="1376"/>
    </row>
    <row r="185" spans="1:14" s="1370" customFormat="1" x14ac:dyDescent="0.25">
      <c r="A185" s="1115" t="s">
        <v>795</v>
      </c>
      <c r="B185" s="1029" t="str">
        <f t="shared" ca="1" si="20"/>
        <v>G24</v>
      </c>
      <c r="C185" s="1029" t="str">
        <f t="shared" ca="1" si="19"/>
        <v>G</v>
      </c>
      <c r="D185" s="1376" t="s">
        <v>1455</v>
      </c>
      <c r="E185" s="1029" t="s">
        <v>1500</v>
      </c>
      <c r="I185" s="1026" t="str">
        <f t="shared" si="15"/>
        <v>Address</v>
      </c>
      <c r="J185" s="1376" t="str">
        <f t="shared" si="16"/>
        <v>72</v>
      </c>
      <c r="K185" s="1376" t="str">
        <f t="shared" si="17"/>
        <v>Required Info To Submit</v>
      </c>
      <c r="L185" s="1087" t="s">
        <v>795</v>
      </c>
      <c r="M185" s="1376">
        <v>72</v>
      </c>
      <c r="N185" s="1376"/>
    </row>
    <row r="186" spans="1:14" s="1370" customFormat="1" x14ac:dyDescent="0.25">
      <c r="A186" s="1115" t="s">
        <v>800</v>
      </c>
      <c r="B186" s="1029" t="str">
        <f t="shared" ca="1" si="20"/>
        <v>H24</v>
      </c>
      <c r="C186" s="1029" t="str">
        <f t="shared" ca="1" si="19"/>
        <v>H</v>
      </c>
      <c r="D186" s="1376" t="s">
        <v>1455</v>
      </c>
      <c r="E186" s="1029" t="s">
        <v>1500</v>
      </c>
      <c r="I186" s="1026" t="str">
        <f t="shared" si="15"/>
        <v>City</v>
      </c>
      <c r="J186" s="1376" t="str">
        <f t="shared" si="16"/>
        <v>73</v>
      </c>
      <c r="K186" s="1376" t="str">
        <f t="shared" si="17"/>
        <v>Required Info To Submit</v>
      </c>
      <c r="L186" s="1087" t="s">
        <v>800</v>
      </c>
      <c r="M186" s="1376">
        <v>73</v>
      </c>
      <c r="N186" s="1376"/>
    </row>
    <row r="187" spans="1:14" s="1370" customFormat="1" x14ac:dyDescent="0.25">
      <c r="A187" s="1115" t="s">
        <v>801</v>
      </c>
      <c r="B187" s="1029" t="str">
        <f t="shared" ca="1" si="20"/>
        <v>I24</v>
      </c>
      <c r="C187" s="1029" t="str">
        <f t="shared" ca="1" si="19"/>
        <v>I</v>
      </c>
      <c r="D187" s="1376" t="s">
        <v>1455</v>
      </c>
      <c r="E187" s="1029" t="s">
        <v>1500</v>
      </c>
      <c r="I187" s="1026" t="str">
        <f t="shared" si="15"/>
        <v>State</v>
      </c>
      <c r="J187" s="1376" t="str">
        <f t="shared" si="16"/>
        <v>74</v>
      </c>
      <c r="K187" s="1376" t="str">
        <f t="shared" si="17"/>
        <v>Required Info To Submit</v>
      </c>
      <c r="L187" s="1087" t="s">
        <v>801</v>
      </c>
      <c r="M187" s="1376">
        <v>74</v>
      </c>
      <c r="N187" s="1376"/>
    </row>
    <row r="188" spans="1:14" s="1370" customFormat="1" x14ac:dyDescent="0.25">
      <c r="A188" s="1115" t="s">
        <v>204</v>
      </c>
      <c r="B188" s="1029" t="str">
        <f t="shared" ca="1" si="20"/>
        <v>J24</v>
      </c>
      <c r="C188" s="1029" t="str">
        <f t="shared" ca="1" si="19"/>
        <v>J</v>
      </c>
      <c r="D188" s="1376" t="s">
        <v>1455</v>
      </c>
      <c r="E188" s="1029" t="s">
        <v>1500</v>
      </c>
      <c r="I188" s="1026" t="str">
        <f t="shared" si="15"/>
        <v>Zip Code</v>
      </c>
      <c r="J188" s="1376" t="str">
        <f t="shared" si="16"/>
        <v>75</v>
      </c>
      <c r="K188" s="1376" t="str">
        <f t="shared" si="17"/>
        <v>Required Info To Submit</v>
      </c>
      <c r="L188" s="1087" t="s">
        <v>204</v>
      </c>
      <c r="M188" s="1376">
        <v>75</v>
      </c>
      <c r="N188" s="1376"/>
    </row>
    <row r="189" spans="1:14" s="1370" customFormat="1" x14ac:dyDescent="0.25">
      <c r="A189" s="1112" t="s">
        <v>1270</v>
      </c>
      <c r="B189" s="1029" t="str">
        <f ca="1">_xlfn.IFNA(_xlfn.CONCAT(SUBSTITUTE(ADDRESS(1,MATCH(A189,INDIRECT("'"&amp;E189&amp;"'"&amp;"!A22:Z22"),0),4),1,""),25),"")</f>
        <v>E25</v>
      </c>
      <c r="C189" s="1029" t="str">
        <f t="shared" ca="1" si="19"/>
        <v>E</v>
      </c>
      <c r="D189" s="1376" t="s">
        <v>1455</v>
      </c>
      <c r="E189" s="1029" t="s">
        <v>1500</v>
      </c>
      <c r="I189" s="1026" t="str">
        <f t="shared" si="15"/>
        <v/>
      </c>
      <c r="J189" s="1376"/>
      <c r="K189" s="1376" t="str">
        <f t="shared" si="17"/>
        <v/>
      </c>
      <c r="L189" s="1028" t="s">
        <v>1270</v>
      </c>
      <c r="M189" s="1376">
        <v>76</v>
      </c>
      <c r="N189" s="1376"/>
    </row>
    <row r="190" spans="1:14" s="1370" customFormat="1" x14ac:dyDescent="0.25">
      <c r="A190" s="1113" t="s">
        <v>794</v>
      </c>
      <c r="B190" s="1029" t="str">
        <f t="shared" ref="B190:B199" ca="1" si="21">_xlfn.IFNA(_xlfn.CONCAT(SUBSTITUTE(ADDRESS(1,MATCH(A190,INDIRECT("'"&amp;E190&amp;"'"&amp;"!A22:Z22"),0),4),1,""),25),"")</f>
        <v>F25</v>
      </c>
      <c r="C190" s="1029" t="str">
        <f t="shared" ca="1" si="19"/>
        <v>F</v>
      </c>
      <c r="D190" s="1376" t="s">
        <v>1455</v>
      </c>
      <c r="E190" s="1029" t="s">
        <v>1500</v>
      </c>
      <c r="I190" s="1026" t="str">
        <f t="shared" si="15"/>
        <v>Name</v>
      </c>
      <c r="J190" s="1376" t="str">
        <f t="shared" si="16"/>
        <v>78</v>
      </c>
      <c r="K190" s="1376" t="str">
        <f t="shared" si="17"/>
        <v>Required Info To Submit</v>
      </c>
      <c r="L190" s="1087" t="s">
        <v>794</v>
      </c>
      <c r="M190" s="1376">
        <v>78</v>
      </c>
      <c r="N190" s="1376"/>
    </row>
    <row r="191" spans="1:14" s="1370" customFormat="1" x14ac:dyDescent="0.25">
      <c r="A191" s="1113" t="s">
        <v>793</v>
      </c>
      <c r="B191" s="1029" t="str">
        <f t="shared" ca="1" si="21"/>
        <v>K25</v>
      </c>
      <c r="C191" s="1029" t="str">
        <f t="shared" ca="1" si="19"/>
        <v>K</v>
      </c>
      <c r="D191" s="1376" t="s">
        <v>1455</v>
      </c>
      <c r="E191" s="1029" t="s">
        <v>1500</v>
      </c>
      <c r="I191" s="1026" t="str">
        <f t="shared" si="15"/>
        <v>Effective Date</v>
      </c>
      <c r="J191" s="1376" t="str">
        <f t="shared" si="16"/>
        <v>88</v>
      </c>
      <c r="K191" s="1376" t="str">
        <f t="shared" si="17"/>
        <v>Required Info To Submit</v>
      </c>
      <c r="L191" s="1087" t="s">
        <v>793</v>
      </c>
      <c r="M191" s="1376">
        <v>88</v>
      </c>
      <c r="N191" s="1376"/>
    </row>
    <row r="192" spans="1:14" s="1370" customFormat="1" x14ac:dyDescent="0.25">
      <c r="A192" s="1113" t="s">
        <v>1271</v>
      </c>
      <c r="B192" s="1029" t="str">
        <f t="shared" ca="1" si="21"/>
        <v>L25</v>
      </c>
      <c r="C192" s="1029" t="str">
        <f t="shared" ca="1" si="19"/>
        <v>L</v>
      </c>
      <c r="D192" s="1376" t="s">
        <v>1455</v>
      </c>
      <c r="E192" s="1029" t="s">
        <v>1500</v>
      </c>
      <c r="I192" s="1026" t="str">
        <f t="shared" si="15"/>
        <v>Expiration Date</v>
      </c>
      <c r="J192" s="1376" t="str">
        <f t="shared" si="16"/>
        <v>89</v>
      </c>
      <c r="K192" s="1376" t="str">
        <f t="shared" si="17"/>
        <v>Required Info To Submit</v>
      </c>
      <c r="L192" s="1087" t="s">
        <v>1271</v>
      </c>
      <c r="M192" s="1376">
        <v>89</v>
      </c>
      <c r="N192" s="1376"/>
    </row>
    <row r="193" spans="1:14" s="1370" customFormat="1" x14ac:dyDescent="0.25">
      <c r="A193" s="1113" t="s">
        <v>1272</v>
      </c>
      <c r="B193" s="1029" t="str">
        <f t="shared" ca="1" si="21"/>
        <v>M25</v>
      </c>
      <c r="C193" s="1029" t="str">
        <f t="shared" ca="1" si="19"/>
        <v>M</v>
      </c>
      <c r="D193" s="1376" t="s">
        <v>1455</v>
      </c>
      <c r="E193" s="1029" t="s">
        <v>1500</v>
      </c>
      <c r="I193" s="1026" t="str">
        <f t="shared" si="15"/>
        <v/>
      </c>
      <c r="J193" s="1376"/>
      <c r="K193" s="1376" t="str">
        <f t="shared" si="17"/>
        <v/>
      </c>
      <c r="L193" s="1087" t="s">
        <v>1272</v>
      </c>
      <c r="M193" s="1376">
        <v>90</v>
      </c>
      <c r="N193" s="1376"/>
    </row>
    <row r="194" spans="1:14" s="1370" customFormat="1" x14ac:dyDescent="0.25">
      <c r="A194" s="1113" t="s">
        <v>1273</v>
      </c>
      <c r="B194" s="1029" t="str">
        <f t="shared" ca="1" si="21"/>
        <v>N25</v>
      </c>
      <c r="C194" s="1029" t="str">
        <f t="shared" ca="1" si="19"/>
        <v>N</v>
      </c>
      <c r="D194" s="1376" t="s">
        <v>1455</v>
      </c>
      <c r="E194" s="1029" t="s">
        <v>1500</v>
      </c>
      <c r="I194" s="1026" t="str">
        <f t="shared" si="15"/>
        <v/>
      </c>
      <c r="J194" s="1376"/>
      <c r="K194" s="1376" t="str">
        <f t="shared" si="17"/>
        <v/>
      </c>
      <c r="L194" s="1087" t="s">
        <v>1465</v>
      </c>
      <c r="M194" s="1376">
        <v>91</v>
      </c>
      <c r="N194" s="1376"/>
    </row>
    <row r="195" spans="1:14" s="1370" customFormat="1" x14ac:dyDescent="0.25">
      <c r="A195" s="1113" t="s">
        <v>1390</v>
      </c>
      <c r="B195" s="1029" t="str">
        <f t="shared" ca="1" si="21"/>
        <v>O25</v>
      </c>
      <c r="C195" s="1029" t="str">
        <f t="shared" ca="1" si="19"/>
        <v>O</v>
      </c>
      <c r="D195" s="1376" t="s">
        <v>1455</v>
      </c>
      <c r="E195" s="1029" t="s">
        <v>1500</v>
      </c>
      <c r="I195" s="1026" t="str">
        <f t="shared" si="15"/>
        <v/>
      </c>
      <c r="J195" s="1376"/>
      <c r="K195" s="1376" t="str">
        <f t="shared" si="17"/>
        <v/>
      </c>
      <c r="L195" s="1087" t="s">
        <v>1390</v>
      </c>
      <c r="M195" s="1376">
        <v>92</v>
      </c>
      <c r="N195" s="1376"/>
    </row>
    <row r="196" spans="1:14" s="1370" customFormat="1" x14ac:dyDescent="0.25">
      <c r="A196" s="1113" t="s">
        <v>795</v>
      </c>
      <c r="B196" s="1029" t="str">
        <f t="shared" ca="1" si="21"/>
        <v>G25</v>
      </c>
      <c r="C196" s="1029" t="str">
        <f t="shared" ca="1" si="19"/>
        <v>G</v>
      </c>
      <c r="D196" s="1376" t="s">
        <v>1455</v>
      </c>
      <c r="E196" s="1029" t="s">
        <v>1500</v>
      </c>
      <c r="I196" s="1026" t="str">
        <f t="shared" ref="I196:I259" si="22">IF(J196&lt;&gt;"",A196,"")</f>
        <v>Address</v>
      </c>
      <c r="J196" s="1376" t="str">
        <f t="shared" ref="J196:J258" si="23">IF(M196&lt;&gt;"",Q$1&amp;M196,"")</f>
        <v>93</v>
      </c>
      <c r="K196" s="1376" t="str">
        <f t="shared" ref="K196:K259" si="24">IF(J196&lt;&gt;"",E196,"")</f>
        <v>Required Info To Submit</v>
      </c>
      <c r="L196" s="1087" t="s">
        <v>795</v>
      </c>
      <c r="M196" s="1376">
        <v>93</v>
      </c>
      <c r="N196" s="1376"/>
    </row>
    <row r="197" spans="1:14" s="1370" customFormat="1" x14ac:dyDescent="0.25">
      <c r="A197" s="1113" t="s">
        <v>800</v>
      </c>
      <c r="B197" s="1029" t="str">
        <f t="shared" ca="1" si="21"/>
        <v>H25</v>
      </c>
      <c r="C197" s="1029" t="str">
        <f t="shared" ca="1" si="19"/>
        <v>H</v>
      </c>
      <c r="D197" s="1376" t="s">
        <v>1455</v>
      </c>
      <c r="E197" s="1029" t="s">
        <v>1500</v>
      </c>
      <c r="I197" s="1026" t="str">
        <f t="shared" si="22"/>
        <v>City</v>
      </c>
      <c r="J197" s="1376" t="str">
        <f t="shared" si="23"/>
        <v>94</v>
      </c>
      <c r="K197" s="1376" t="str">
        <f t="shared" si="24"/>
        <v>Required Info To Submit</v>
      </c>
      <c r="L197" s="1087" t="s">
        <v>800</v>
      </c>
      <c r="M197" s="1376">
        <v>94</v>
      </c>
      <c r="N197" s="1376"/>
    </row>
    <row r="198" spans="1:14" s="1370" customFormat="1" x14ac:dyDescent="0.25">
      <c r="A198" s="1113" t="s">
        <v>801</v>
      </c>
      <c r="B198" s="1029" t="str">
        <f t="shared" ca="1" si="21"/>
        <v>I25</v>
      </c>
      <c r="C198" s="1029" t="str">
        <f t="shared" ca="1" si="19"/>
        <v>I</v>
      </c>
      <c r="D198" s="1376" t="s">
        <v>1455</v>
      </c>
      <c r="E198" s="1029" t="s">
        <v>1500</v>
      </c>
      <c r="I198" s="1026" t="str">
        <f t="shared" si="22"/>
        <v>State</v>
      </c>
      <c r="J198" s="1376" t="str">
        <f t="shared" si="23"/>
        <v>95</v>
      </c>
      <c r="K198" s="1376" t="str">
        <f t="shared" si="24"/>
        <v>Required Info To Submit</v>
      </c>
      <c r="L198" s="1087" t="s">
        <v>801</v>
      </c>
      <c r="M198" s="1376">
        <v>95</v>
      </c>
      <c r="N198" s="1376"/>
    </row>
    <row r="199" spans="1:14" s="1370" customFormat="1" x14ac:dyDescent="0.25">
      <c r="A199" s="1113" t="s">
        <v>204</v>
      </c>
      <c r="B199" s="1029" t="str">
        <f t="shared" ca="1" si="21"/>
        <v>J25</v>
      </c>
      <c r="C199" s="1029" t="str">
        <f t="shared" ca="1" si="19"/>
        <v>J</v>
      </c>
      <c r="D199" s="1376" t="s">
        <v>1455</v>
      </c>
      <c r="E199" s="1029" t="s">
        <v>1500</v>
      </c>
      <c r="I199" s="1026" t="str">
        <f t="shared" si="22"/>
        <v>Zip Code</v>
      </c>
      <c r="J199" s="1376" t="str">
        <f t="shared" si="23"/>
        <v>96</v>
      </c>
      <c r="K199" s="1376" t="str">
        <f t="shared" si="24"/>
        <v>Required Info To Submit</v>
      </c>
      <c r="L199" s="1087" t="s">
        <v>204</v>
      </c>
      <c r="M199" s="1376">
        <v>96</v>
      </c>
      <c r="N199" s="1376"/>
    </row>
    <row r="200" spans="1:14" s="1370" customFormat="1" x14ac:dyDescent="0.25">
      <c r="A200" s="1114" t="s">
        <v>1270</v>
      </c>
      <c r="B200" s="1029" t="str">
        <f ca="1">_xlfn.IFNA(_xlfn.CONCAT(SUBSTITUTE(ADDRESS(1,MATCH(A200,INDIRECT("'"&amp;E200&amp;"'"&amp;"!A22:Z22"),0),4),1,""),26),"")</f>
        <v>E26</v>
      </c>
      <c r="C200" s="1029" t="str">
        <f t="shared" ca="1" si="19"/>
        <v>E</v>
      </c>
      <c r="D200" s="1376" t="s">
        <v>1455</v>
      </c>
      <c r="E200" s="1029" t="s">
        <v>1500</v>
      </c>
      <c r="I200" s="1026" t="str">
        <f t="shared" si="22"/>
        <v/>
      </c>
      <c r="J200" s="1376"/>
      <c r="K200" s="1376" t="str">
        <f t="shared" si="24"/>
        <v/>
      </c>
      <c r="L200" s="1028" t="s">
        <v>1270</v>
      </c>
      <c r="M200" s="1376">
        <v>97</v>
      </c>
      <c r="N200" s="1376"/>
    </row>
    <row r="201" spans="1:14" s="1370" customFormat="1" x14ac:dyDescent="0.25">
      <c r="A201" s="1115" t="s">
        <v>794</v>
      </c>
      <c r="B201" s="1029" t="str">
        <f t="shared" ref="B201:B210" ca="1" si="25">_xlfn.IFNA(_xlfn.CONCAT(SUBSTITUTE(ADDRESS(1,MATCH(A201,INDIRECT("'"&amp;E201&amp;"'"&amp;"!A22:Z22"),0),4),1,""),26),"")</f>
        <v>F26</v>
      </c>
      <c r="C201" s="1029" t="str">
        <f t="shared" ca="1" si="19"/>
        <v>F</v>
      </c>
      <c r="D201" s="1376" t="s">
        <v>1455</v>
      </c>
      <c r="E201" s="1029" t="s">
        <v>1500</v>
      </c>
      <c r="I201" s="1026" t="str">
        <f t="shared" si="22"/>
        <v>Name</v>
      </c>
      <c r="J201" s="1376" t="str">
        <f t="shared" si="23"/>
        <v>99</v>
      </c>
      <c r="K201" s="1376" t="str">
        <f t="shared" si="24"/>
        <v>Required Info To Submit</v>
      </c>
      <c r="L201" s="1087" t="s">
        <v>794</v>
      </c>
      <c r="M201" s="1376">
        <v>99</v>
      </c>
      <c r="N201" s="1376"/>
    </row>
    <row r="202" spans="1:14" s="1370" customFormat="1" x14ac:dyDescent="0.25">
      <c r="A202" s="1115" t="s">
        <v>793</v>
      </c>
      <c r="B202" s="1029" t="str">
        <f t="shared" ca="1" si="25"/>
        <v>K26</v>
      </c>
      <c r="C202" s="1029" t="str">
        <f t="shared" ca="1" si="19"/>
        <v>K</v>
      </c>
      <c r="D202" s="1376" t="s">
        <v>1455</v>
      </c>
      <c r="E202" s="1029" t="s">
        <v>1500</v>
      </c>
      <c r="I202" s="1026" t="str">
        <f t="shared" si="22"/>
        <v>Effective Date</v>
      </c>
      <c r="J202" s="1376" t="str">
        <f t="shared" si="23"/>
        <v>109</v>
      </c>
      <c r="K202" s="1376" t="str">
        <f t="shared" si="24"/>
        <v>Required Info To Submit</v>
      </c>
      <c r="L202" s="1087" t="s">
        <v>793</v>
      </c>
      <c r="M202" s="1376">
        <v>109</v>
      </c>
      <c r="N202" s="1376"/>
    </row>
    <row r="203" spans="1:14" s="1370" customFormat="1" x14ac:dyDescent="0.25">
      <c r="A203" s="1115" t="s">
        <v>1271</v>
      </c>
      <c r="B203" s="1029" t="str">
        <f t="shared" ca="1" si="25"/>
        <v>L26</v>
      </c>
      <c r="C203" s="1029" t="str">
        <f t="shared" ca="1" si="19"/>
        <v>L</v>
      </c>
      <c r="D203" s="1376" t="s">
        <v>1455</v>
      </c>
      <c r="E203" s="1029" t="s">
        <v>1500</v>
      </c>
      <c r="I203" s="1026" t="str">
        <f t="shared" si="22"/>
        <v>Expiration Date</v>
      </c>
      <c r="J203" s="1376" t="str">
        <f t="shared" si="23"/>
        <v>110</v>
      </c>
      <c r="K203" s="1376" t="str">
        <f t="shared" si="24"/>
        <v>Required Info To Submit</v>
      </c>
      <c r="L203" s="1087" t="s">
        <v>1271</v>
      </c>
      <c r="M203" s="1376">
        <v>110</v>
      </c>
      <c r="N203" s="1376"/>
    </row>
    <row r="204" spans="1:14" s="1370" customFormat="1" x14ac:dyDescent="0.25">
      <c r="A204" s="1115" t="s">
        <v>1272</v>
      </c>
      <c r="B204" s="1029" t="str">
        <f t="shared" ca="1" si="25"/>
        <v>M26</v>
      </c>
      <c r="C204" s="1029" t="str">
        <f t="shared" ca="1" si="19"/>
        <v>M</v>
      </c>
      <c r="D204" s="1376" t="s">
        <v>1455</v>
      </c>
      <c r="E204" s="1029" t="s">
        <v>1500</v>
      </c>
      <c r="I204" s="1026" t="str">
        <f t="shared" si="22"/>
        <v/>
      </c>
      <c r="J204" s="1376"/>
      <c r="K204" s="1376" t="str">
        <f t="shared" si="24"/>
        <v/>
      </c>
      <c r="L204" s="1087" t="s">
        <v>1272</v>
      </c>
      <c r="M204" s="1376">
        <v>111</v>
      </c>
      <c r="N204" s="1376"/>
    </row>
    <row r="205" spans="1:14" s="1370" customFormat="1" x14ac:dyDescent="0.25">
      <c r="A205" s="1115" t="s">
        <v>1273</v>
      </c>
      <c r="B205" s="1029" t="str">
        <f t="shared" ca="1" si="25"/>
        <v>N26</v>
      </c>
      <c r="C205" s="1029" t="str">
        <f t="shared" ca="1" si="19"/>
        <v>N</v>
      </c>
      <c r="D205" s="1376" t="s">
        <v>1455</v>
      </c>
      <c r="E205" s="1029" t="s">
        <v>1500</v>
      </c>
      <c r="I205" s="1026" t="str">
        <f t="shared" si="22"/>
        <v/>
      </c>
      <c r="J205" s="1376"/>
      <c r="K205" s="1376" t="str">
        <f t="shared" si="24"/>
        <v/>
      </c>
      <c r="L205" s="1087" t="s">
        <v>1465</v>
      </c>
      <c r="M205" s="1376">
        <v>112</v>
      </c>
      <c r="N205" s="1376"/>
    </row>
    <row r="206" spans="1:14" s="1370" customFormat="1" x14ac:dyDescent="0.25">
      <c r="A206" s="1115" t="s">
        <v>1390</v>
      </c>
      <c r="B206" s="1029" t="str">
        <f t="shared" ca="1" si="25"/>
        <v>O26</v>
      </c>
      <c r="C206" s="1029" t="str">
        <f t="shared" ca="1" si="19"/>
        <v>O</v>
      </c>
      <c r="D206" s="1376" t="s">
        <v>1455</v>
      </c>
      <c r="E206" s="1029" t="s">
        <v>1500</v>
      </c>
      <c r="I206" s="1026" t="str">
        <f t="shared" si="22"/>
        <v/>
      </c>
      <c r="J206" s="1376"/>
      <c r="K206" s="1376" t="str">
        <f t="shared" si="24"/>
        <v/>
      </c>
      <c r="L206" s="1087" t="s">
        <v>1390</v>
      </c>
      <c r="M206" s="1376">
        <v>113</v>
      </c>
      <c r="N206" s="1376"/>
    </row>
    <row r="207" spans="1:14" s="1370" customFormat="1" x14ac:dyDescent="0.25">
      <c r="A207" s="1115" t="s">
        <v>795</v>
      </c>
      <c r="B207" s="1029" t="str">
        <f t="shared" ca="1" si="25"/>
        <v>G26</v>
      </c>
      <c r="C207" s="1029" t="str">
        <f t="shared" ca="1" si="19"/>
        <v>G</v>
      </c>
      <c r="D207" s="1376" t="s">
        <v>1455</v>
      </c>
      <c r="E207" s="1029" t="s">
        <v>1500</v>
      </c>
      <c r="I207" s="1026" t="str">
        <f t="shared" si="22"/>
        <v>Address</v>
      </c>
      <c r="J207" s="1376" t="str">
        <f t="shared" si="23"/>
        <v>114</v>
      </c>
      <c r="K207" s="1376" t="str">
        <f t="shared" si="24"/>
        <v>Required Info To Submit</v>
      </c>
      <c r="L207" s="1087" t="s">
        <v>795</v>
      </c>
      <c r="M207" s="1376">
        <v>114</v>
      </c>
      <c r="N207" s="1376"/>
    </row>
    <row r="208" spans="1:14" s="1370" customFormat="1" x14ac:dyDescent="0.25">
      <c r="A208" s="1115" t="s">
        <v>800</v>
      </c>
      <c r="B208" s="1029" t="str">
        <f t="shared" ca="1" si="25"/>
        <v>H26</v>
      </c>
      <c r="C208" s="1029" t="str">
        <f t="shared" ca="1" si="19"/>
        <v>H</v>
      </c>
      <c r="D208" s="1376" t="s">
        <v>1455</v>
      </c>
      <c r="E208" s="1029" t="s">
        <v>1500</v>
      </c>
      <c r="I208" s="1026" t="str">
        <f t="shared" si="22"/>
        <v>City</v>
      </c>
      <c r="J208" s="1376" t="str">
        <f t="shared" si="23"/>
        <v>115</v>
      </c>
      <c r="K208" s="1376" t="str">
        <f t="shared" si="24"/>
        <v>Required Info To Submit</v>
      </c>
      <c r="L208" s="1087" t="s">
        <v>800</v>
      </c>
      <c r="M208" s="1376">
        <v>115</v>
      </c>
      <c r="N208" s="1376"/>
    </row>
    <row r="209" spans="1:14" s="1370" customFormat="1" x14ac:dyDescent="0.25">
      <c r="A209" s="1115" t="s">
        <v>801</v>
      </c>
      <c r="B209" s="1029" t="str">
        <f t="shared" ca="1" si="25"/>
        <v>I26</v>
      </c>
      <c r="C209" s="1029" t="str">
        <f t="shared" ca="1" si="19"/>
        <v>I</v>
      </c>
      <c r="D209" s="1376" t="s">
        <v>1455</v>
      </c>
      <c r="E209" s="1029" t="s">
        <v>1500</v>
      </c>
      <c r="I209" s="1026" t="str">
        <f t="shared" si="22"/>
        <v>State</v>
      </c>
      <c r="J209" s="1376" t="str">
        <f t="shared" si="23"/>
        <v>116</v>
      </c>
      <c r="K209" s="1376" t="str">
        <f t="shared" si="24"/>
        <v>Required Info To Submit</v>
      </c>
      <c r="L209" s="1087" t="s">
        <v>801</v>
      </c>
      <c r="M209" s="1376">
        <v>116</v>
      </c>
      <c r="N209" s="1376"/>
    </row>
    <row r="210" spans="1:14" s="1370" customFormat="1" x14ac:dyDescent="0.25">
      <c r="A210" s="1115" t="s">
        <v>204</v>
      </c>
      <c r="B210" s="1029" t="str">
        <f t="shared" ca="1" si="25"/>
        <v>J26</v>
      </c>
      <c r="C210" s="1029" t="str">
        <f t="shared" ca="1" si="19"/>
        <v>J</v>
      </c>
      <c r="D210" s="1376" t="s">
        <v>1455</v>
      </c>
      <c r="E210" s="1029" t="s">
        <v>1500</v>
      </c>
      <c r="I210" s="1026" t="str">
        <f t="shared" si="22"/>
        <v>Zip Code</v>
      </c>
      <c r="J210" s="1376" t="str">
        <f t="shared" si="23"/>
        <v>117</v>
      </c>
      <c r="K210" s="1376" t="str">
        <f t="shared" si="24"/>
        <v>Required Info To Submit</v>
      </c>
      <c r="L210" s="1087" t="s">
        <v>204</v>
      </c>
      <c r="M210" s="1376">
        <v>117</v>
      </c>
      <c r="N210" s="1376"/>
    </row>
    <row r="211" spans="1:14" s="1370" customFormat="1" x14ac:dyDescent="0.25">
      <c r="A211" s="1112" t="s">
        <v>1270</v>
      </c>
      <c r="B211" s="1029" t="str">
        <f ca="1">_xlfn.IFNA(_xlfn.CONCAT(SUBSTITUTE(ADDRESS(1,MATCH(A211,INDIRECT("'"&amp;E211&amp;"'"&amp;"!A22:Z22"),0),4),1,""),27),"")</f>
        <v>E27</v>
      </c>
      <c r="C211" s="1029" t="str">
        <f t="shared" ca="1" si="19"/>
        <v>E</v>
      </c>
      <c r="D211" s="1376" t="s">
        <v>1455</v>
      </c>
      <c r="E211" s="1029" t="s">
        <v>1500</v>
      </c>
      <c r="I211" s="1026" t="str">
        <f t="shared" si="22"/>
        <v/>
      </c>
      <c r="J211" s="1376"/>
      <c r="K211" s="1376" t="str">
        <f t="shared" si="24"/>
        <v/>
      </c>
      <c r="L211" s="1028" t="s">
        <v>1270</v>
      </c>
      <c r="M211" s="1376">
        <v>118</v>
      </c>
      <c r="N211" s="1376"/>
    </row>
    <row r="212" spans="1:14" s="1370" customFormat="1" x14ac:dyDescent="0.25">
      <c r="A212" s="1113" t="s">
        <v>794</v>
      </c>
      <c r="B212" s="1029" t="str">
        <f t="shared" ref="B212:B221" ca="1" si="26">_xlfn.IFNA(_xlfn.CONCAT(SUBSTITUTE(ADDRESS(1,MATCH(A212,INDIRECT("'"&amp;E212&amp;"'"&amp;"!A22:Z22"),0),4),1,""),27),"")</f>
        <v>F27</v>
      </c>
      <c r="C212" s="1029" t="str">
        <f t="shared" ca="1" si="19"/>
        <v>F</v>
      </c>
      <c r="D212" s="1376" t="s">
        <v>1455</v>
      </c>
      <c r="E212" s="1029" t="s">
        <v>1500</v>
      </c>
      <c r="I212" s="1026" t="str">
        <f t="shared" si="22"/>
        <v>Name</v>
      </c>
      <c r="J212" s="1376" t="str">
        <f t="shared" si="23"/>
        <v>120</v>
      </c>
      <c r="K212" s="1376" t="str">
        <f t="shared" si="24"/>
        <v>Required Info To Submit</v>
      </c>
      <c r="L212" s="1087" t="s">
        <v>794</v>
      </c>
      <c r="M212" s="1376">
        <v>120</v>
      </c>
      <c r="N212" s="1376"/>
    </row>
    <row r="213" spans="1:14" s="1370" customFormat="1" x14ac:dyDescent="0.25">
      <c r="A213" s="1113" t="s">
        <v>793</v>
      </c>
      <c r="B213" s="1029" t="str">
        <f t="shared" ca="1" si="26"/>
        <v>K27</v>
      </c>
      <c r="C213" s="1029" t="str">
        <f t="shared" ca="1" si="19"/>
        <v>K</v>
      </c>
      <c r="D213" s="1376" t="s">
        <v>1455</v>
      </c>
      <c r="E213" s="1029" t="s">
        <v>1500</v>
      </c>
      <c r="I213" s="1026" t="str">
        <f t="shared" si="22"/>
        <v>Effective Date</v>
      </c>
      <c r="J213" s="1376" t="str">
        <f t="shared" si="23"/>
        <v>130</v>
      </c>
      <c r="K213" s="1376" t="str">
        <f t="shared" si="24"/>
        <v>Required Info To Submit</v>
      </c>
      <c r="L213" s="1087" t="s">
        <v>793</v>
      </c>
      <c r="M213" s="1376">
        <v>130</v>
      </c>
      <c r="N213" s="1376"/>
    </row>
    <row r="214" spans="1:14" s="1370" customFormat="1" x14ac:dyDescent="0.25">
      <c r="A214" s="1113" t="s">
        <v>1271</v>
      </c>
      <c r="B214" s="1029" t="str">
        <f t="shared" ca="1" si="26"/>
        <v>L27</v>
      </c>
      <c r="C214" s="1029" t="str">
        <f t="shared" ca="1" si="19"/>
        <v>L</v>
      </c>
      <c r="D214" s="1376" t="s">
        <v>1455</v>
      </c>
      <c r="E214" s="1029" t="s">
        <v>1500</v>
      </c>
      <c r="I214" s="1026" t="str">
        <f t="shared" si="22"/>
        <v>Expiration Date</v>
      </c>
      <c r="J214" s="1376" t="str">
        <f t="shared" si="23"/>
        <v>131</v>
      </c>
      <c r="K214" s="1376" t="str">
        <f t="shared" si="24"/>
        <v>Required Info To Submit</v>
      </c>
      <c r="L214" s="1087" t="s">
        <v>1271</v>
      </c>
      <c r="M214" s="1376">
        <v>131</v>
      </c>
      <c r="N214" s="1376"/>
    </row>
    <row r="215" spans="1:14" s="1370" customFormat="1" x14ac:dyDescent="0.25">
      <c r="A215" s="1113" t="s">
        <v>1272</v>
      </c>
      <c r="B215" s="1029" t="str">
        <f t="shared" ca="1" si="26"/>
        <v>M27</v>
      </c>
      <c r="C215" s="1029" t="str">
        <f t="shared" ca="1" si="19"/>
        <v>M</v>
      </c>
      <c r="D215" s="1376" t="s">
        <v>1455</v>
      </c>
      <c r="E215" s="1029" t="s">
        <v>1500</v>
      </c>
      <c r="I215" s="1026" t="str">
        <f t="shared" si="22"/>
        <v/>
      </c>
      <c r="J215" s="1376"/>
      <c r="K215" s="1376" t="str">
        <f t="shared" si="24"/>
        <v/>
      </c>
      <c r="L215" s="1087" t="s">
        <v>1272</v>
      </c>
      <c r="M215" s="1376">
        <v>132</v>
      </c>
      <c r="N215" s="1376"/>
    </row>
    <row r="216" spans="1:14" s="1370" customFormat="1" x14ac:dyDescent="0.25">
      <c r="A216" s="1113" t="s">
        <v>1273</v>
      </c>
      <c r="B216" s="1029" t="str">
        <f t="shared" ca="1" si="26"/>
        <v>N27</v>
      </c>
      <c r="C216" s="1029" t="str">
        <f t="shared" ca="1" si="19"/>
        <v>N</v>
      </c>
      <c r="D216" s="1376" t="s">
        <v>1455</v>
      </c>
      <c r="E216" s="1029" t="s">
        <v>1500</v>
      </c>
      <c r="I216" s="1026" t="str">
        <f t="shared" si="22"/>
        <v/>
      </c>
      <c r="J216" s="1376"/>
      <c r="K216" s="1376" t="str">
        <f t="shared" si="24"/>
        <v/>
      </c>
      <c r="L216" s="1087" t="s">
        <v>1465</v>
      </c>
      <c r="M216" s="1376">
        <v>133</v>
      </c>
      <c r="N216" s="1376"/>
    </row>
    <row r="217" spans="1:14" s="1370" customFormat="1" x14ac:dyDescent="0.25">
      <c r="A217" s="1113" t="s">
        <v>1390</v>
      </c>
      <c r="B217" s="1029" t="str">
        <f t="shared" ca="1" si="26"/>
        <v>O27</v>
      </c>
      <c r="C217" s="1029" t="str">
        <f t="shared" ca="1" si="19"/>
        <v>O</v>
      </c>
      <c r="D217" s="1376" t="s">
        <v>1455</v>
      </c>
      <c r="E217" s="1029" t="s">
        <v>1500</v>
      </c>
      <c r="I217" s="1026" t="str">
        <f t="shared" si="22"/>
        <v/>
      </c>
      <c r="J217" s="1376"/>
      <c r="K217" s="1376" t="str">
        <f t="shared" si="24"/>
        <v/>
      </c>
      <c r="L217" s="1087" t="s">
        <v>1390</v>
      </c>
      <c r="M217" s="1376">
        <v>134</v>
      </c>
      <c r="N217" s="1376"/>
    </row>
    <row r="218" spans="1:14" s="1370" customFormat="1" x14ac:dyDescent="0.25">
      <c r="A218" s="1113" t="s">
        <v>795</v>
      </c>
      <c r="B218" s="1029" t="str">
        <f t="shared" ca="1" si="26"/>
        <v>G27</v>
      </c>
      <c r="C218" s="1029" t="str">
        <f t="shared" ca="1" si="19"/>
        <v>G</v>
      </c>
      <c r="D218" s="1376" t="s">
        <v>1455</v>
      </c>
      <c r="E218" s="1029" t="s">
        <v>1500</v>
      </c>
      <c r="I218" s="1026" t="str">
        <f t="shared" si="22"/>
        <v>Address</v>
      </c>
      <c r="J218" s="1376" t="str">
        <f t="shared" si="23"/>
        <v>135</v>
      </c>
      <c r="K218" s="1376" t="str">
        <f t="shared" si="24"/>
        <v>Required Info To Submit</v>
      </c>
      <c r="L218" s="1087" t="s">
        <v>795</v>
      </c>
      <c r="M218" s="1376">
        <v>135</v>
      </c>
      <c r="N218" s="1376"/>
    </row>
    <row r="219" spans="1:14" s="1370" customFormat="1" x14ac:dyDescent="0.25">
      <c r="A219" s="1113" t="s">
        <v>800</v>
      </c>
      <c r="B219" s="1029" t="str">
        <f t="shared" ca="1" si="26"/>
        <v>H27</v>
      </c>
      <c r="C219" s="1029" t="str">
        <f t="shared" ca="1" si="19"/>
        <v>H</v>
      </c>
      <c r="D219" s="1376" t="s">
        <v>1455</v>
      </c>
      <c r="E219" s="1029" t="s">
        <v>1500</v>
      </c>
      <c r="I219" s="1026" t="str">
        <f t="shared" si="22"/>
        <v>City</v>
      </c>
      <c r="J219" s="1376" t="str">
        <f t="shared" si="23"/>
        <v>136</v>
      </c>
      <c r="K219" s="1376" t="str">
        <f t="shared" si="24"/>
        <v>Required Info To Submit</v>
      </c>
      <c r="L219" s="1087" t="s">
        <v>800</v>
      </c>
      <c r="M219" s="1376">
        <v>136</v>
      </c>
      <c r="N219" s="1376"/>
    </row>
    <row r="220" spans="1:14" s="1370" customFormat="1" x14ac:dyDescent="0.25">
      <c r="A220" s="1113" t="s">
        <v>801</v>
      </c>
      <c r="B220" s="1029" t="str">
        <f t="shared" ca="1" si="26"/>
        <v>I27</v>
      </c>
      <c r="C220" s="1029" t="str">
        <f t="shared" ca="1" si="19"/>
        <v>I</v>
      </c>
      <c r="D220" s="1376" t="s">
        <v>1455</v>
      </c>
      <c r="E220" s="1029" t="s">
        <v>1500</v>
      </c>
      <c r="I220" s="1026" t="str">
        <f t="shared" si="22"/>
        <v>State</v>
      </c>
      <c r="J220" s="1376" t="str">
        <f t="shared" si="23"/>
        <v>137</v>
      </c>
      <c r="K220" s="1376" t="str">
        <f t="shared" si="24"/>
        <v>Required Info To Submit</v>
      </c>
      <c r="L220" s="1087" t="s">
        <v>801</v>
      </c>
      <c r="M220" s="1376">
        <v>137</v>
      </c>
      <c r="N220" s="1376"/>
    </row>
    <row r="221" spans="1:14" s="1370" customFormat="1" x14ac:dyDescent="0.25">
      <c r="A221" s="1113" t="s">
        <v>204</v>
      </c>
      <c r="B221" s="1029" t="str">
        <f t="shared" ca="1" si="26"/>
        <v>J27</v>
      </c>
      <c r="C221" s="1029" t="str">
        <f t="shared" ca="1" si="19"/>
        <v>J</v>
      </c>
      <c r="D221" s="1376" t="s">
        <v>1455</v>
      </c>
      <c r="E221" s="1029" t="s">
        <v>1500</v>
      </c>
      <c r="I221" s="1026" t="str">
        <f t="shared" si="22"/>
        <v>Zip Code</v>
      </c>
      <c r="J221" s="1376" t="str">
        <f t="shared" si="23"/>
        <v>138</v>
      </c>
      <c r="K221" s="1376" t="str">
        <f t="shared" si="24"/>
        <v>Required Info To Submit</v>
      </c>
      <c r="L221" s="1087" t="s">
        <v>204</v>
      </c>
      <c r="M221" s="1376">
        <v>138</v>
      </c>
      <c r="N221" s="1376"/>
    </row>
    <row r="222" spans="1:14" s="1370" customFormat="1" x14ac:dyDescent="0.25">
      <c r="A222" s="1114" t="s">
        <v>1270</v>
      </c>
      <c r="B222" s="1029" t="str">
        <f ca="1">_xlfn.IFNA(_xlfn.CONCAT(SUBSTITUTE(ADDRESS(1,MATCH(A222,INDIRECT("'"&amp;E222&amp;"'"&amp;"!A22:Z22"),0),4),1,""),28),"")</f>
        <v>E28</v>
      </c>
      <c r="C222" s="1029" t="str">
        <f t="shared" ca="1" si="19"/>
        <v>E</v>
      </c>
      <c r="D222" s="1376" t="s">
        <v>1455</v>
      </c>
      <c r="E222" s="1029" t="s">
        <v>1500</v>
      </c>
      <c r="I222" s="1026" t="str">
        <f t="shared" si="22"/>
        <v/>
      </c>
      <c r="J222" s="1376"/>
      <c r="K222" s="1376" t="str">
        <f t="shared" si="24"/>
        <v/>
      </c>
      <c r="L222" s="1028" t="s">
        <v>1270</v>
      </c>
      <c r="M222" s="1376">
        <v>139</v>
      </c>
      <c r="N222" s="1376"/>
    </row>
    <row r="223" spans="1:14" s="1370" customFormat="1" x14ac:dyDescent="0.25">
      <c r="A223" s="1115" t="s">
        <v>794</v>
      </c>
      <c r="B223" s="1029" t="str">
        <f t="shared" ref="B223:B232" ca="1" si="27">_xlfn.IFNA(_xlfn.CONCAT(SUBSTITUTE(ADDRESS(1,MATCH(A223,INDIRECT("'"&amp;E223&amp;"'"&amp;"!A22:Z22"),0),4),1,""),28),"")</f>
        <v>F28</v>
      </c>
      <c r="C223" s="1029" t="str">
        <f t="shared" ca="1" si="19"/>
        <v>F</v>
      </c>
      <c r="D223" s="1376" t="s">
        <v>1455</v>
      </c>
      <c r="E223" s="1029" t="s">
        <v>1500</v>
      </c>
      <c r="I223" s="1026" t="str">
        <f t="shared" si="22"/>
        <v>Name</v>
      </c>
      <c r="J223" s="1376" t="str">
        <f t="shared" si="23"/>
        <v>141</v>
      </c>
      <c r="K223" s="1376" t="str">
        <f t="shared" si="24"/>
        <v>Required Info To Submit</v>
      </c>
      <c r="L223" s="1087" t="s">
        <v>794</v>
      </c>
      <c r="M223" s="1376">
        <v>141</v>
      </c>
      <c r="N223" s="1376"/>
    </row>
    <row r="224" spans="1:14" s="1370" customFormat="1" x14ac:dyDescent="0.25">
      <c r="A224" s="1115" t="s">
        <v>793</v>
      </c>
      <c r="B224" s="1029" t="str">
        <f t="shared" ca="1" si="27"/>
        <v>K28</v>
      </c>
      <c r="C224" s="1029" t="str">
        <f t="shared" ca="1" si="19"/>
        <v>K</v>
      </c>
      <c r="D224" s="1376" t="s">
        <v>1455</v>
      </c>
      <c r="E224" s="1029" t="s">
        <v>1500</v>
      </c>
      <c r="I224" s="1026" t="str">
        <f t="shared" si="22"/>
        <v>Effective Date</v>
      </c>
      <c r="J224" s="1376" t="str">
        <f t="shared" si="23"/>
        <v>151</v>
      </c>
      <c r="K224" s="1376" t="str">
        <f t="shared" si="24"/>
        <v>Required Info To Submit</v>
      </c>
      <c r="L224" s="1087" t="s">
        <v>793</v>
      </c>
      <c r="M224" s="1376">
        <v>151</v>
      </c>
      <c r="N224" s="1376"/>
    </row>
    <row r="225" spans="1:14" s="1370" customFormat="1" x14ac:dyDescent="0.25">
      <c r="A225" s="1115" t="s">
        <v>1271</v>
      </c>
      <c r="B225" s="1029" t="str">
        <f t="shared" ca="1" si="27"/>
        <v>L28</v>
      </c>
      <c r="C225" s="1029" t="str">
        <f t="shared" ca="1" si="19"/>
        <v>L</v>
      </c>
      <c r="D225" s="1376" t="s">
        <v>1455</v>
      </c>
      <c r="E225" s="1029" t="s">
        <v>1500</v>
      </c>
      <c r="I225" s="1026" t="str">
        <f t="shared" si="22"/>
        <v>Expiration Date</v>
      </c>
      <c r="J225" s="1376" t="str">
        <f t="shared" si="23"/>
        <v>152</v>
      </c>
      <c r="K225" s="1376" t="str">
        <f t="shared" si="24"/>
        <v>Required Info To Submit</v>
      </c>
      <c r="L225" s="1087" t="s">
        <v>1271</v>
      </c>
      <c r="M225" s="1376">
        <v>152</v>
      </c>
      <c r="N225" s="1376"/>
    </row>
    <row r="226" spans="1:14" s="1370" customFormat="1" x14ac:dyDescent="0.25">
      <c r="A226" s="1115" t="s">
        <v>1272</v>
      </c>
      <c r="B226" s="1029" t="str">
        <f t="shared" ca="1" si="27"/>
        <v>M28</v>
      </c>
      <c r="C226" s="1029" t="str">
        <f t="shared" ca="1" si="19"/>
        <v>M</v>
      </c>
      <c r="D226" s="1376" t="s">
        <v>1455</v>
      </c>
      <c r="E226" s="1029" t="s">
        <v>1500</v>
      </c>
      <c r="I226" s="1026" t="str">
        <f t="shared" si="22"/>
        <v/>
      </c>
      <c r="J226" s="1376"/>
      <c r="K226" s="1376" t="str">
        <f t="shared" si="24"/>
        <v/>
      </c>
      <c r="L226" s="1087" t="s">
        <v>1272</v>
      </c>
      <c r="M226" s="1376">
        <v>153</v>
      </c>
      <c r="N226" s="1376"/>
    </row>
    <row r="227" spans="1:14" s="1370" customFormat="1" x14ac:dyDescent="0.25">
      <c r="A227" s="1115" t="s">
        <v>1273</v>
      </c>
      <c r="B227" s="1029" t="str">
        <f t="shared" ca="1" si="27"/>
        <v>N28</v>
      </c>
      <c r="C227" s="1029" t="str">
        <f t="shared" ca="1" si="19"/>
        <v>N</v>
      </c>
      <c r="D227" s="1376" t="s">
        <v>1455</v>
      </c>
      <c r="E227" s="1029" t="s">
        <v>1500</v>
      </c>
      <c r="I227" s="1026" t="str">
        <f t="shared" si="22"/>
        <v/>
      </c>
      <c r="J227" s="1376"/>
      <c r="K227" s="1376" t="str">
        <f t="shared" si="24"/>
        <v/>
      </c>
      <c r="L227" s="1087" t="s">
        <v>1465</v>
      </c>
      <c r="M227" s="1376">
        <v>154</v>
      </c>
      <c r="N227" s="1376"/>
    </row>
    <row r="228" spans="1:14" s="1370" customFormat="1" x14ac:dyDescent="0.25">
      <c r="A228" s="1115" t="s">
        <v>1390</v>
      </c>
      <c r="B228" s="1029" t="str">
        <f t="shared" ca="1" si="27"/>
        <v>O28</v>
      </c>
      <c r="C228" s="1029" t="str">
        <f t="shared" ca="1" si="19"/>
        <v>O</v>
      </c>
      <c r="D228" s="1376" t="s">
        <v>1455</v>
      </c>
      <c r="E228" s="1029" t="s">
        <v>1500</v>
      </c>
      <c r="I228" s="1026" t="str">
        <f t="shared" si="22"/>
        <v/>
      </c>
      <c r="J228" s="1376"/>
      <c r="K228" s="1376" t="str">
        <f t="shared" si="24"/>
        <v/>
      </c>
      <c r="L228" s="1087" t="s">
        <v>1390</v>
      </c>
      <c r="M228" s="1376">
        <v>155</v>
      </c>
      <c r="N228" s="1376"/>
    </row>
    <row r="229" spans="1:14" s="1370" customFormat="1" x14ac:dyDescent="0.25">
      <c r="A229" s="1115" t="s">
        <v>795</v>
      </c>
      <c r="B229" s="1029" t="str">
        <f t="shared" ca="1" si="27"/>
        <v>G28</v>
      </c>
      <c r="C229" s="1029" t="str">
        <f t="shared" ca="1" si="19"/>
        <v>G</v>
      </c>
      <c r="D229" s="1376" t="s">
        <v>1455</v>
      </c>
      <c r="E229" s="1029" t="s">
        <v>1500</v>
      </c>
      <c r="I229" s="1026" t="str">
        <f t="shared" si="22"/>
        <v>Address</v>
      </c>
      <c r="J229" s="1376" t="str">
        <f t="shared" si="23"/>
        <v>156</v>
      </c>
      <c r="K229" s="1376" t="str">
        <f t="shared" si="24"/>
        <v>Required Info To Submit</v>
      </c>
      <c r="L229" s="1087" t="s">
        <v>795</v>
      </c>
      <c r="M229" s="1376">
        <v>156</v>
      </c>
      <c r="N229" s="1376"/>
    </row>
    <row r="230" spans="1:14" s="1370" customFormat="1" x14ac:dyDescent="0.25">
      <c r="A230" s="1115" t="s">
        <v>800</v>
      </c>
      <c r="B230" s="1029" t="str">
        <f t="shared" ca="1" si="27"/>
        <v>H28</v>
      </c>
      <c r="C230" s="1029" t="str">
        <f t="shared" ca="1" si="19"/>
        <v>H</v>
      </c>
      <c r="D230" s="1376" t="s">
        <v>1455</v>
      </c>
      <c r="E230" s="1029" t="s">
        <v>1500</v>
      </c>
      <c r="I230" s="1026" t="str">
        <f t="shared" si="22"/>
        <v>City</v>
      </c>
      <c r="J230" s="1376" t="str">
        <f t="shared" si="23"/>
        <v>157</v>
      </c>
      <c r="K230" s="1376" t="str">
        <f t="shared" si="24"/>
        <v>Required Info To Submit</v>
      </c>
      <c r="L230" s="1087" t="s">
        <v>800</v>
      </c>
      <c r="M230" s="1376">
        <v>157</v>
      </c>
      <c r="N230" s="1376"/>
    </row>
    <row r="231" spans="1:14" s="1370" customFormat="1" x14ac:dyDescent="0.25">
      <c r="A231" s="1115" t="s">
        <v>801</v>
      </c>
      <c r="B231" s="1029" t="str">
        <f t="shared" ca="1" si="27"/>
        <v>I28</v>
      </c>
      <c r="C231" s="1029" t="str">
        <f t="shared" ca="1" si="19"/>
        <v>I</v>
      </c>
      <c r="D231" s="1376" t="s">
        <v>1455</v>
      </c>
      <c r="E231" s="1029" t="s">
        <v>1500</v>
      </c>
      <c r="I231" s="1026" t="str">
        <f t="shared" si="22"/>
        <v>State</v>
      </c>
      <c r="J231" s="1376" t="str">
        <f t="shared" si="23"/>
        <v>158</v>
      </c>
      <c r="K231" s="1376" t="str">
        <f t="shared" si="24"/>
        <v>Required Info To Submit</v>
      </c>
      <c r="L231" s="1087" t="s">
        <v>801</v>
      </c>
      <c r="M231" s="1376">
        <v>158</v>
      </c>
      <c r="N231" s="1376"/>
    </row>
    <row r="232" spans="1:14" s="1370" customFormat="1" x14ac:dyDescent="0.25">
      <c r="A232" s="1115" t="s">
        <v>204</v>
      </c>
      <c r="B232" s="1029" t="str">
        <f t="shared" ca="1" si="27"/>
        <v>J28</v>
      </c>
      <c r="C232" s="1029" t="str">
        <f t="shared" ref="C232:C276" ca="1" si="28">_xlfn.IFNA(SUBSTITUTE(ADDRESS(1,MATCH(A232,INDIRECT("'"&amp;E232&amp;"'"&amp;"!A22:Z22"),0),4),1,""),"")</f>
        <v>J</v>
      </c>
      <c r="D232" s="1376" t="s">
        <v>1455</v>
      </c>
      <c r="E232" s="1029" t="s">
        <v>1500</v>
      </c>
      <c r="I232" s="1026" t="str">
        <f t="shared" si="22"/>
        <v>Zip Code</v>
      </c>
      <c r="J232" s="1376" t="str">
        <f t="shared" si="23"/>
        <v>159</v>
      </c>
      <c r="K232" s="1376" t="str">
        <f t="shared" si="24"/>
        <v>Required Info To Submit</v>
      </c>
      <c r="L232" s="1087" t="s">
        <v>204</v>
      </c>
      <c r="M232" s="1376">
        <v>159</v>
      </c>
      <c r="N232" s="1376"/>
    </row>
    <row r="233" spans="1:14" s="1370" customFormat="1" x14ac:dyDescent="0.25">
      <c r="A233" s="1112" t="s">
        <v>1270</v>
      </c>
      <c r="B233" s="1029" t="str">
        <f ca="1">_xlfn.IFNA(_xlfn.CONCAT(SUBSTITUTE(ADDRESS(1,MATCH(A233,INDIRECT("'"&amp;E233&amp;"'"&amp;"!A22:Z22"),0),4),1,""),29),"")</f>
        <v>E29</v>
      </c>
      <c r="C233" s="1029" t="str">
        <f t="shared" ca="1" si="28"/>
        <v>E</v>
      </c>
      <c r="D233" s="1376" t="s">
        <v>1455</v>
      </c>
      <c r="E233" s="1029" t="s">
        <v>1500</v>
      </c>
      <c r="I233" s="1026" t="str">
        <f t="shared" si="22"/>
        <v/>
      </c>
      <c r="J233" s="1376"/>
      <c r="K233" s="1376" t="str">
        <f t="shared" si="24"/>
        <v/>
      </c>
      <c r="L233" s="1028" t="s">
        <v>1270</v>
      </c>
      <c r="M233" s="1376">
        <v>160</v>
      </c>
      <c r="N233" s="1376"/>
    </row>
    <row r="234" spans="1:14" s="1370" customFormat="1" x14ac:dyDescent="0.25">
      <c r="A234" s="1113" t="s">
        <v>794</v>
      </c>
      <c r="B234" s="1029" t="str">
        <f t="shared" ref="B234:B243" ca="1" si="29">_xlfn.IFNA(_xlfn.CONCAT(SUBSTITUTE(ADDRESS(1,MATCH(A234,INDIRECT("'"&amp;E234&amp;"'"&amp;"!A22:Z22"),0),4),1,""),29),"")</f>
        <v>F29</v>
      </c>
      <c r="C234" s="1029" t="str">
        <f t="shared" ca="1" si="28"/>
        <v>F</v>
      </c>
      <c r="D234" s="1376" t="s">
        <v>1455</v>
      </c>
      <c r="E234" s="1029" t="s">
        <v>1500</v>
      </c>
      <c r="I234" s="1026" t="str">
        <f t="shared" si="22"/>
        <v>Name</v>
      </c>
      <c r="J234" s="1376" t="str">
        <f t="shared" si="23"/>
        <v>162</v>
      </c>
      <c r="K234" s="1376" t="str">
        <f t="shared" si="24"/>
        <v>Required Info To Submit</v>
      </c>
      <c r="L234" s="1087" t="s">
        <v>794</v>
      </c>
      <c r="M234" s="1376">
        <v>162</v>
      </c>
      <c r="N234" s="1376"/>
    </row>
    <row r="235" spans="1:14" s="1370" customFormat="1" x14ac:dyDescent="0.25">
      <c r="A235" s="1113" t="s">
        <v>793</v>
      </c>
      <c r="B235" s="1029" t="str">
        <f t="shared" ca="1" si="29"/>
        <v>K29</v>
      </c>
      <c r="C235" s="1029" t="str">
        <f t="shared" ca="1" si="28"/>
        <v>K</v>
      </c>
      <c r="D235" s="1376" t="s">
        <v>1455</v>
      </c>
      <c r="E235" s="1029" t="s">
        <v>1500</v>
      </c>
      <c r="I235" s="1026" t="str">
        <f t="shared" si="22"/>
        <v>Effective Date</v>
      </c>
      <c r="J235" s="1376" t="str">
        <f t="shared" si="23"/>
        <v>172</v>
      </c>
      <c r="K235" s="1376" t="str">
        <f t="shared" si="24"/>
        <v>Required Info To Submit</v>
      </c>
      <c r="L235" s="1087" t="s">
        <v>793</v>
      </c>
      <c r="M235" s="1376">
        <v>172</v>
      </c>
      <c r="N235" s="1376"/>
    </row>
    <row r="236" spans="1:14" s="1370" customFormat="1" x14ac:dyDescent="0.25">
      <c r="A236" s="1113" t="s">
        <v>1271</v>
      </c>
      <c r="B236" s="1029" t="str">
        <f t="shared" ca="1" si="29"/>
        <v>L29</v>
      </c>
      <c r="C236" s="1029" t="str">
        <f t="shared" ca="1" si="28"/>
        <v>L</v>
      </c>
      <c r="D236" s="1376" t="s">
        <v>1455</v>
      </c>
      <c r="E236" s="1029" t="s">
        <v>1500</v>
      </c>
      <c r="I236" s="1026" t="str">
        <f t="shared" si="22"/>
        <v>Expiration Date</v>
      </c>
      <c r="J236" s="1376" t="str">
        <f t="shared" si="23"/>
        <v>173</v>
      </c>
      <c r="K236" s="1376" t="str">
        <f t="shared" si="24"/>
        <v>Required Info To Submit</v>
      </c>
      <c r="L236" s="1087" t="s">
        <v>1271</v>
      </c>
      <c r="M236" s="1376">
        <v>173</v>
      </c>
      <c r="N236" s="1376"/>
    </row>
    <row r="237" spans="1:14" s="1370" customFormat="1" x14ac:dyDescent="0.25">
      <c r="A237" s="1113" t="s">
        <v>1272</v>
      </c>
      <c r="B237" s="1029" t="str">
        <f t="shared" ca="1" si="29"/>
        <v>M29</v>
      </c>
      <c r="C237" s="1029" t="str">
        <f t="shared" ca="1" si="28"/>
        <v>M</v>
      </c>
      <c r="D237" s="1376" t="s">
        <v>1455</v>
      </c>
      <c r="E237" s="1029" t="s">
        <v>1500</v>
      </c>
      <c r="I237" s="1026" t="str">
        <f t="shared" si="22"/>
        <v/>
      </c>
      <c r="J237" s="1376"/>
      <c r="K237" s="1376" t="str">
        <f t="shared" si="24"/>
        <v/>
      </c>
      <c r="L237" s="1087" t="s">
        <v>1272</v>
      </c>
      <c r="M237" s="1376">
        <v>174</v>
      </c>
      <c r="N237" s="1376"/>
    </row>
    <row r="238" spans="1:14" s="1370" customFormat="1" x14ac:dyDescent="0.25">
      <c r="A238" s="1113" t="s">
        <v>1273</v>
      </c>
      <c r="B238" s="1029" t="str">
        <f t="shared" ca="1" si="29"/>
        <v>N29</v>
      </c>
      <c r="C238" s="1029" t="str">
        <f t="shared" ca="1" si="28"/>
        <v>N</v>
      </c>
      <c r="D238" s="1376" t="s">
        <v>1455</v>
      </c>
      <c r="E238" s="1029" t="s">
        <v>1500</v>
      </c>
      <c r="I238" s="1026" t="str">
        <f t="shared" si="22"/>
        <v/>
      </c>
      <c r="J238" s="1376"/>
      <c r="K238" s="1376" t="str">
        <f t="shared" si="24"/>
        <v/>
      </c>
      <c r="L238" s="1087" t="s">
        <v>1465</v>
      </c>
      <c r="M238" s="1376">
        <v>175</v>
      </c>
      <c r="N238" s="1376"/>
    </row>
    <row r="239" spans="1:14" s="1370" customFormat="1" x14ac:dyDescent="0.25">
      <c r="A239" s="1113" t="s">
        <v>1390</v>
      </c>
      <c r="B239" s="1029" t="str">
        <f t="shared" ca="1" si="29"/>
        <v>O29</v>
      </c>
      <c r="C239" s="1029" t="str">
        <f t="shared" ca="1" si="28"/>
        <v>O</v>
      </c>
      <c r="D239" s="1376" t="s">
        <v>1455</v>
      </c>
      <c r="E239" s="1029" t="s">
        <v>1500</v>
      </c>
      <c r="I239" s="1026" t="str">
        <f t="shared" si="22"/>
        <v/>
      </c>
      <c r="J239" s="1376"/>
      <c r="K239" s="1376" t="str">
        <f t="shared" si="24"/>
        <v/>
      </c>
      <c r="L239" s="1087" t="s">
        <v>1390</v>
      </c>
      <c r="M239" s="1376">
        <v>176</v>
      </c>
      <c r="N239" s="1376"/>
    </row>
    <row r="240" spans="1:14" s="1370" customFormat="1" x14ac:dyDescent="0.25">
      <c r="A240" s="1113" t="s">
        <v>795</v>
      </c>
      <c r="B240" s="1029" t="str">
        <f t="shared" ca="1" si="29"/>
        <v>G29</v>
      </c>
      <c r="C240" s="1029" t="str">
        <f t="shared" ca="1" si="28"/>
        <v>G</v>
      </c>
      <c r="D240" s="1376" t="s">
        <v>1455</v>
      </c>
      <c r="E240" s="1029" t="s">
        <v>1500</v>
      </c>
      <c r="I240" s="1026" t="str">
        <f t="shared" si="22"/>
        <v>Address</v>
      </c>
      <c r="J240" s="1376" t="str">
        <f t="shared" si="23"/>
        <v>177</v>
      </c>
      <c r="K240" s="1376" t="str">
        <f t="shared" si="24"/>
        <v>Required Info To Submit</v>
      </c>
      <c r="L240" s="1087" t="s">
        <v>795</v>
      </c>
      <c r="M240" s="1376">
        <v>177</v>
      </c>
      <c r="N240" s="1376"/>
    </row>
    <row r="241" spans="1:14" s="1370" customFormat="1" x14ac:dyDescent="0.25">
      <c r="A241" s="1113" t="s">
        <v>800</v>
      </c>
      <c r="B241" s="1029" t="str">
        <f t="shared" ca="1" si="29"/>
        <v>H29</v>
      </c>
      <c r="C241" s="1029" t="str">
        <f t="shared" ca="1" si="28"/>
        <v>H</v>
      </c>
      <c r="D241" s="1376" t="s">
        <v>1455</v>
      </c>
      <c r="E241" s="1029" t="s">
        <v>1500</v>
      </c>
      <c r="I241" s="1026" t="str">
        <f t="shared" si="22"/>
        <v>City</v>
      </c>
      <c r="J241" s="1376" t="str">
        <f t="shared" si="23"/>
        <v>178</v>
      </c>
      <c r="K241" s="1376" t="str">
        <f t="shared" si="24"/>
        <v>Required Info To Submit</v>
      </c>
      <c r="L241" s="1087" t="s">
        <v>800</v>
      </c>
      <c r="M241" s="1376">
        <v>178</v>
      </c>
      <c r="N241" s="1376"/>
    </row>
    <row r="242" spans="1:14" s="1370" customFormat="1" x14ac:dyDescent="0.25">
      <c r="A242" s="1113" t="s">
        <v>801</v>
      </c>
      <c r="B242" s="1029" t="str">
        <f t="shared" ca="1" si="29"/>
        <v>I29</v>
      </c>
      <c r="C242" s="1029" t="str">
        <f t="shared" ca="1" si="28"/>
        <v>I</v>
      </c>
      <c r="D242" s="1376" t="s">
        <v>1455</v>
      </c>
      <c r="E242" s="1029" t="s">
        <v>1500</v>
      </c>
      <c r="I242" s="1026" t="str">
        <f t="shared" si="22"/>
        <v>State</v>
      </c>
      <c r="J242" s="1376" t="str">
        <f t="shared" si="23"/>
        <v>179</v>
      </c>
      <c r="K242" s="1376" t="str">
        <f t="shared" si="24"/>
        <v>Required Info To Submit</v>
      </c>
      <c r="L242" s="1087" t="s">
        <v>801</v>
      </c>
      <c r="M242" s="1376">
        <v>179</v>
      </c>
      <c r="N242" s="1376"/>
    </row>
    <row r="243" spans="1:14" s="1370" customFormat="1" x14ac:dyDescent="0.25">
      <c r="A243" s="1113" t="s">
        <v>204</v>
      </c>
      <c r="B243" s="1029" t="str">
        <f t="shared" ca="1" si="29"/>
        <v>J29</v>
      </c>
      <c r="C243" s="1029" t="str">
        <f t="shared" ca="1" si="28"/>
        <v>J</v>
      </c>
      <c r="D243" s="1376" t="s">
        <v>1455</v>
      </c>
      <c r="E243" s="1029" t="s">
        <v>1500</v>
      </c>
      <c r="I243" s="1026" t="str">
        <f t="shared" si="22"/>
        <v>Zip Code</v>
      </c>
      <c r="J243" s="1376" t="str">
        <f t="shared" si="23"/>
        <v>180</v>
      </c>
      <c r="K243" s="1376" t="str">
        <f t="shared" si="24"/>
        <v>Required Info To Submit</v>
      </c>
      <c r="L243" s="1087" t="s">
        <v>204</v>
      </c>
      <c r="M243" s="1376">
        <v>180</v>
      </c>
      <c r="N243" s="1376"/>
    </row>
    <row r="244" spans="1:14" s="1370" customFormat="1" x14ac:dyDescent="0.25">
      <c r="A244" s="1114" t="s">
        <v>1270</v>
      </c>
      <c r="B244" s="1029" t="str">
        <f ca="1">_xlfn.IFNA(_xlfn.CONCAT(SUBSTITUTE(ADDRESS(1,MATCH(A244,INDIRECT("'"&amp;E244&amp;"'"&amp;"!A22:Z22"),0),4),1,""),30),"")</f>
        <v>E30</v>
      </c>
      <c r="C244" s="1029" t="str">
        <f t="shared" ca="1" si="28"/>
        <v>E</v>
      </c>
      <c r="D244" s="1376" t="s">
        <v>1455</v>
      </c>
      <c r="E244" s="1029" t="s">
        <v>1500</v>
      </c>
      <c r="I244" s="1026" t="str">
        <f t="shared" si="22"/>
        <v/>
      </c>
      <c r="J244" s="1376"/>
      <c r="K244" s="1376" t="str">
        <f t="shared" si="24"/>
        <v/>
      </c>
      <c r="L244" s="1028" t="s">
        <v>1270</v>
      </c>
      <c r="M244" s="1376">
        <v>181</v>
      </c>
      <c r="N244" s="1376"/>
    </row>
    <row r="245" spans="1:14" s="1370" customFormat="1" x14ac:dyDescent="0.25">
      <c r="A245" s="1115" t="s">
        <v>794</v>
      </c>
      <c r="B245" s="1029" t="str">
        <f t="shared" ref="B245:B254" ca="1" si="30">_xlfn.IFNA(_xlfn.CONCAT(SUBSTITUTE(ADDRESS(1,MATCH(A245,INDIRECT("'"&amp;E245&amp;"'"&amp;"!A22:Z22"),0),4),1,""),30),"")</f>
        <v>F30</v>
      </c>
      <c r="C245" s="1029" t="str">
        <f t="shared" ca="1" si="28"/>
        <v>F</v>
      </c>
      <c r="D245" s="1376" t="s">
        <v>1455</v>
      </c>
      <c r="E245" s="1029" t="s">
        <v>1500</v>
      </c>
      <c r="I245" s="1026" t="str">
        <f t="shared" si="22"/>
        <v>Name</v>
      </c>
      <c r="J245" s="1376" t="str">
        <f t="shared" si="23"/>
        <v>183</v>
      </c>
      <c r="K245" s="1376" t="str">
        <f t="shared" si="24"/>
        <v>Required Info To Submit</v>
      </c>
      <c r="L245" s="1087" t="s">
        <v>794</v>
      </c>
      <c r="M245" s="1376">
        <v>183</v>
      </c>
      <c r="N245" s="1376"/>
    </row>
    <row r="246" spans="1:14" s="1370" customFormat="1" x14ac:dyDescent="0.25">
      <c r="A246" s="1115" t="s">
        <v>793</v>
      </c>
      <c r="B246" s="1029" t="str">
        <f t="shared" ca="1" si="30"/>
        <v>K30</v>
      </c>
      <c r="C246" s="1029" t="str">
        <f t="shared" ca="1" si="28"/>
        <v>K</v>
      </c>
      <c r="D246" s="1376" t="s">
        <v>1455</v>
      </c>
      <c r="E246" s="1029" t="s">
        <v>1500</v>
      </c>
      <c r="I246" s="1026" t="str">
        <f t="shared" si="22"/>
        <v>Effective Date</v>
      </c>
      <c r="J246" s="1376" t="str">
        <f t="shared" si="23"/>
        <v>193</v>
      </c>
      <c r="K246" s="1376" t="str">
        <f t="shared" si="24"/>
        <v>Required Info To Submit</v>
      </c>
      <c r="L246" s="1087" t="s">
        <v>793</v>
      </c>
      <c r="M246" s="1376">
        <v>193</v>
      </c>
      <c r="N246" s="1376"/>
    </row>
    <row r="247" spans="1:14" s="1370" customFormat="1" x14ac:dyDescent="0.25">
      <c r="A247" s="1115" t="s">
        <v>1271</v>
      </c>
      <c r="B247" s="1029" t="str">
        <f t="shared" ca="1" si="30"/>
        <v>L30</v>
      </c>
      <c r="C247" s="1029" t="str">
        <f t="shared" ca="1" si="28"/>
        <v>L</v>
      </c>
      <c r="D247" s="1376" t="s">
        <v>1455</v>
      </c>
      <c r="E247" s="1029" t="s">
        <v>1500</v>
      </c>
      <c r="I247" s="1026" t="str">
        <f t="shared" si="22"/>
        <v>Expiration Date</v>
      </c>
      <c r="J247" s="1376" t="str">
        <f t="shared" si="23"/>
        <v>194</v>
      </c>
      <c r="K247" s="1376" t="str">
        <f t="shared" si="24"/>
        <v>Required Info To Submit</v>
      </c>
      <c r="L247" s="1087" t="s">
        <v>1271</v>
      </c>
      <c r="M247" s="1376">
        <v>194</v>
      </c>
      <c r="N247" s="1376"/>
    </row>
    <row r="248" spans="1:14" s="1370" customFormat="1" x14ac:dyDescent="0.25">
      <c r="A248" s="1115" t="s">
        <v>1272</v>
      </c>
      <c r="B248" s="1029" t="str">
        <f t="shared" ca="1" si="30"/>
        <v>M30</v>
      </c>
      <c r="C248" s="1029" t="str">
        <f t="shared" ca="1" si="28"/>
        <v>M</v>
      </c>
      <c r="D248" s="1376" t="s">
        <v>1455</v>
      </c>
      <c r="E248" s="1029" t="s">
        <v>1500</v>
      </c>
      <c r="I248" s="1026" t="str">
        <f t="shared" si="22"/>
        <v/>
      </c>
      <c r="J248" s="1376"/>
      <c r="K248" s="1376" t="str">
        <f t="shared" si="24"/>
        <v/>
      </c>
      <c r="L248" s="1087" t="s">
        <v>1272</v>
      </c>
      <c r="M248" s="1376">
        <v>195</v>
      </c>
      <c r="N248" s="1376"/>
    </row>
    <row r="249" spans="1:14" s="1370" customFormat="1" x14ac:dyDescent="0.25">
      <c r="A249" s="1115" t="s">
        <v>1273</v>
      </c>
      <c r="B249" s="1029" t="str">
        <f t="shared" ca="1" si="30"/>
        <v>N30</v>
      </c>
      <c r="C249" s="1029" t="str">
        <f t="shared" ca="1" si="28"/>
        <v>N</v>
      </c>
      <c r="D249" s="1376" t="s">
        <v>1455</v>
      </c>
      <c r="E249" s="1029" t="s">
        <v>1500</v>
      </c>
      <c r="I249" s="1026" t="str">
        <f t="shared" si="22"/>
        <v/>
      </c>
      <c r="J249" s="1376"/>
      <c r="K249" s="1376" t="str">
        <f t="shared" si="24"/>
        <v/>
      </c>
      <c r="L249" s="1087" t="s">
        <v>1465</v>
      </c>
      <c r="M249" s="1376">
        <v>196</v>
      </c>
      <c r="N249" s="1376"/>
    </row>
    <row r="250" spans="1:14" s="1370" customFormat="1" x14ac:dyDescent="0.25">
      <c r="A250" s="1115" t="s">
        <v>1390</v>
      </c>
      <c r="B250" s="1029" t="str">
        <f t="shared" ca="1" si="30"/>
        <v>O30</v>
      </c>
      <c r="C250" s="1029" t="str">
        <f t="shared" ca="1" si="28"/>
        <v>O</v>
      </c>
      <c r="D250" s="1376" t="s">
        <v>1455</v>
      </c>
      <c r="E250" s="1029" t="s">
        <v>1500</v>
      </c>
      <c r="I250" s="1026" t="str">
        <f t="shared" si="22"/>
        <v/>
      </c>
      <c r="J250" s="1376"/>
      <c r="K250" s="1376" t="str">
        <f t="shared" si="24"/>
        <v/>
      </c>
      <c r="L250" s="1087" t="s">
        <v>1390</v>
      </c>
      <c r="M250" s="1376">
        <v>197</v>
      </c>
      <c r="N250" s="1376"/>
    </row>
    <row r="251" spans="1:14" s="1370" customFormat="1" x14ac:dyDescent="0.25">
      <c r="A251" s="1115" t="s">
        <v>795</v>
      </c>
      <c r="B251" s="1029" t="str">
        <f t="shared" ca="1" si="30"/>
        <v>G30</v>
      </c>
      <c r="C251" s="1029" t="str">
        <f t="shared" ca="1" si="28"/>
        <v>G</v>
      </c>
      <c r="D251" s="1376" t="s">
        <v>1455</v>
      </c>
      <c r="E251" s="1029" t="s">
        <v>1500</v>
      </c>
      <c r="I251" s="1026" t="str">
        <f t="shared" si="22"/>
        <v>Address</v>
      </c>
      <c r="J251" s="1376" t="str">
        <f t="shared" si="23"/>
        <v>198</v>
      </c>
      <c r="K251" s="1376" t="str">
        <f t="shared" si="24"/>
        <v>Required Info To Submit</v>
      </c>
      <c r="L251" s="1087" t="s">
        <v>795</v>
      </c>
      <c r="M251" s="1376">
        <v>198</v>
      </c>
      <c r="N251" s="1376"/>
    </row>
    <row r="252" spans="1:14" s="1370" customFormat="1" x14ac:dyDescent="0.25">
      <c r="A252" s="1115" t="s">
        <v>800</v>
      </c>
      <c r="B252" s="1029" t="str">
        <f t="shared" ca="1" si="30"/>
        <v>H30</v>
      </c>
      <c r="C252" s="1029" t="str">
        <f t="shared" ca="1" si="28"/>
        <v>H</v>
      </c>
      <c r="D252" s="1376" t="s">
        <v>1455</v>
      </c>
      <c r="E252" s="1029" t="s">
        <v>1500</v>
      </c>
      <c r="I252" s="1026" t="str">
        <f t="shared" si="22"/>
        <v>City</v>
      </c>
      <c r="J252" s="1376" t="str">
        <f t="shared" si="23"/>
        <v>199</v>
      </c>
      <c r="K252" s="1376" t="str">
        <f t="shared" si="24"/>
        <v>Required Info To Submit</v>
      </c>
      <c r="L252" s="1087" t="s">
        <v>800</v>
      </c>
      <c r="M252" s="1376">
        <v>199</v>
      </c>
      <c r="N252" s="1376"/>
    </row>
    <row r="253" spans="1:14" s="1370" customFormat="1" x14ac:dyDescent="0.25">
      <c r="A253" s="1115" t="s">
        <v>801</v>
      </c>
      <c r="B253" s="1029" t="str">
        <f t="shared" ca="1" si="30"/>
        <v>I30</v>
      </c>
      <c r="C253" s="1029" t="str">
        <f t="shared" ca="1" si="28"/>
        <v>I</v>
      </c>
      <c r="D253" s="1376" t="s">
        <v>1455</v>
      </c>
      <c r="E253" s="1029" t="s">
        <v>1500</v>
      </c>
      <c r="I253" s="1026" t="str">
        <f t="shared" si="22"/>
        <v>State</v>
      </c>
      <c r="J253" s="1376" t="str">
        <f t="shared" si="23"/>
        <v>200</v>
      </c>
      <c r="K253" s="1376" t="str">
        <f t="shared" si="24"/>
        <v>Required Info To Submit</v>
      </c>
      <c r="L253" s="1087" t="s">
        <v>801</v>
      </c>
      <c r="M253" s="1376">
        <v>200</v>
      </c>
      <c r="N253" s="1376"/>
    </row>
    <row r="254" spans="1:14" s="1370" customFormat="1" x14ac:dyDescent="0.25">
      <c r="A254" s="1115" t="s">
        <v>204</v>
      </c>
      <c r="B254" s="1029" t="str">
        <f t="shared" ca="1" si="30"/>
        <v>J30</v>
      </c>
      <c r="C254" s="1029" t="str">
        <f t="shared" ca="1" si="28"/>
        <v>J</v>
      </c>
      <c r="D254" s="1376" t="s">
        <v>1455</v>
      </c>
      <c r="E254" s="1029" t="s">
        <v>1500</v>
      </c>
      <c r="I254" s="1026" t="str">
        <f t="shared" si="22"/>
        <v>Zip Code</v>
      </c>
      <c r="J254" s="1376" t="str">
        <f t="shared" si="23"/>
        <v>201</v>
      </c>
      <c r="K254" s="1376" t="str">
        <f t="shared" si="24"/>
        <v>Required Info To Submit</v>
      </c>
      <c r="L254" s="1087" t="s">
        <v>204</v>
      </c>
      <c r="M254" s="1376">
        <v>201</v>
      </c>
      <c r="N254" s="1376"/>
    </row>
    <row r="255" spans="1:14" s="1370" customFormat="1" x14ac:dyDescent="0.25">
      <c r="A255" s="1112" t="s">
        <v>1270</v>
      </c>
      <c r="B255" s="1029" t="str">
        <f ca="1">_xlfn.IFNA(_xlfn.CONCAT(SUBSTITUTE(ADDRESS(1,MATCH(A255,INDIRECT("'"&amp;E255&amp;"'"&amp;"!A22:Z22"),0),4),1,""),31),"")</f>
        <v>E31</v>
      </c>
      <c r="C255" s="1029" t="str">
        <f t="shared" ca="1" si="28"/>
        <v>E</v>
      </c>
      <c r="D255" s="1376" t="s">
        <v>1455</v>
      </c>
      <c r="E255" s="1029" t="s">
        <v>1500</v>
      </c>
      <c r="I255" s="1026" t="str">
        <f t="shared" si="22"/>
        <v/>
      </c>
      <c r="J255" s="1376"/>
      <c r="K255" s="1376" t="str">
        <f t="shared" si="24"/>
        <v/>
      </c>
      <c r="L255" s="1028" t="s">
        <v>1270</v>
      </c>
      <c r="M255" s="1376">
        <v>202</v>
      </c>
      <c r="N255" s="1376"/>
    </row>
    <row r="256" spans="1:14" s="1370" customFormat="1" x14ac:dyDescent="0.25">
      <c r="A256" s="1113" t="s">
        <v>794</v>
      </c>
      <c r="B256" s="1029" t="str">
        <f t="shared" ref="B256:B265" ca="1" si="31">_xlfn.IFNA(_xlfn.CONCAT(SUBSTITUTE(ADDRESS(1,MATCH(A256,INDIRECT("'"&amp;E256&amp;"'"&amp;"!A22:Z22"),0),4),1,""),31),"")</f>
        <v>F31</v>
      </c>
      <c r="C256" s="1029" t="str">
        <f t="shared" ca="1" si="28"/>
        <v>F</v>
      </c>
      <c r="D256" s="1376" t="s">
        <v>1455</v>
      </c>
      <c r="E256" s="1029" t="s">
        <v>1500</v>
      </c>
      <c r="I256" s="1026" t="str">
        <f t="shared" si="22"/>
        <v>Name</v>
      </c>
      <c r="J256" s="1376" t="str">
        <f t="shared" si="23"/>
        <v>204</v>
      </c>
      <c r="K256" s="1376" t="str">
        <f t="shared" si="24"/>
        <v>Required Info To Submit</v>
      </c>
      <c r="L256" s="1087" t="s">
        <v>794</v>
      </c>
      <c r="M256" s="1376">
        <v>204</v>
      </c>
      <c r="N256" s="1376"/>
    </row>
    <row r="257" spans="1:14" s="1370" customFormat="1" x14ac:dyDescent="0.25">
      <c r="A257" s="1113" t="s">
        <v>793</v>
      </c>
      <c r="B257" s="1029" t="str">
        <f t="shared" ca="1" si="31"/>
        <v>K31</v>
      </c>
      <c r="C257" s="1029" t="str">
        <f t="shared" ca="1" si="28"/>
        <v>K</v>
      </c>
      <c r="D257" s="1376" t="s">
        <v>1455</v>
      </c>
      <c r="E257" s="1029" t="s">
        <v>1500</v>
      </c>
      <c r="I257" s="1026" t="str">
        <f t="shared" si="22"/>
        <v>Effective Date</v>
      </c>
      <c r="J257" s="1376" t="str">
        <f t="shared" si="23"/>
        <v>214</v>
      </c>
      <c r="K257" s="1376" t="str">
        <f t="shared" si="24"/>
        <v>Required Info To Submit</v>
      </c>
      <c r="L257" s="1087" t="s">
        <v>793</v>
      </c>
      <c r="M257" s="1376">
        <v>214</v>
      </c>
      <c r="N257" s="1376"/>
    </row>
    <row r="258" spans="1:14" s="1370" customFormat="1" x14ac:dyDescent="0.25">
      <c r="A258" s="1113" t="s">
        <v>1271</v>
      </c>
      <c r="B258" s="1029" t="str">
        <f t="shared" ca="1" si="31"/>
        <v>L31</v>
      </c>
      <c r="C258" s="1029" t="str">
        <f t="shared" ca="1" si="28"/>
        <v>L</v>
      </c>
      <c r="D258" s="1376" t="s">
        <v>1455</v>
      </c>
      <c r="E258" s="1029" t="s">
        <v>1500</v>
      </c>
      <c r="I258" s="1026" t="str">
        <f t="shared" si="22"/>
        <v>Expiration Date</v>
      </c>
      <c r="J258" s="1376" t="str">
        <f t="shared" si="23"/>
        <v>215</v>
      </c>
      <c r="K258" s="1376" t="str">
        <f t="shared" si="24"/>
        <v>Required Info To Submit</v>
      </c>
      <c r="L258" s="1087" t="s">
        <v>1271</v>
      </c>
      <c r="M258" s="1376">
        <v>215</v>
      </c>
      <c r="N258" s="1376"/>
    </row>
    <row r="259" spans="1:14" s="1370" customFormat="1" x14ac:dyDescent="0.25">
      <c r="A259" s="1113" t="s">
        <v>1272</v>
      </c>
      <c r="B259" s="1029" t="str">
        <f t="shared" ca="1" si="31"/>
        <v>M31</v>
      </c>
      <c r="C259" s="1029" t="str">
        <f t="shared" ca="1" si="28"/>
        <v>M</v>
      </c>
      <c r="D259" s="1376" t="s">
        <v>1455</v>
      </c>
      <c r="E259" s="1029" t="s">
        <v>1500</v>
      </c>
      <c r="I259" s="1026" t="str">
        <f t="shared" si="22"/>
        <v/>
      </c>
      <c r="J259" s="1376"/>
      <c r="K259" s="1376" t="str">
        <f t="shared" si="24"/>
        <v/>
      </c>
      <c r="L259" s="1087" t="s">
        <v>1272</v>
      </c>
      <c r="M259" s="1376">
        <v>216</v>
      </c>
      <c r="N259" s="1376"/>
    </row>
    <row r="260" spans="1:14" s="1370" customFormat="1" x14ac:dyDescent="0.25">
      <c r="A260" s="1113" t="s">
        <v>1273</v>
      </c>
      <c r="B260" s="1029" t="str">
        <f t="shared" ca="1" si="31"/>
        <v>N31</v>
      </c>
      <c r="C260" s="1029" t="str">
        <f t="shared" ca="1" si="28"/>
        <v>N</v>
      </c>
      <c r="D260" s="1376" t="s">
        <v>1455</v>
      </c>
      <c r="E260" s="1029" t="s">
        <v>1500</v>
      </c>
      <c r="I260" s="1026" t="str">
        <f t="shared" ref="I260:I323" si="32">IF(J260&lt;&gt;"",A260,"")</f>
        <v/>
      </c>
      <c r="J260" s="1376"/>
      <c r="K260" s="1376" t="str">
        <f t="shared" ref="K260:K323" si="33">IF(J260&lt;&gt;"",E260,"")</f>
        <v/>
      </c>
      <c r="L260" s="1087" t="s">
        <v>1465</v>
      </c>
      <c r="M260" s="1376">
        <v>217</v>
      </c>
      <c r="N260" s="1376"/>
    </row>
    <row r="261" spans="1:14" s="1370" customFormat="1" x14ac:dyDescent="0.25">
      <c r="A261" s="1113" t="s">
        <v>1390</v>
      </c>
      <c r="B261" s="1029" t="str">
        <f t="shared" ca="1" si="31"/>
        <v>O31</v>
      </c>
      <c r="C261" s="1029" t="str">
        <f t="shared" ca="1" si="28"/>
        <v>O</v>
      </c>
      <c r="D261" s="1376" t="s">
        <v>1455</v>
      </c>
      <c r="E261" s="1029" t="s">
        <v>1500</v>
      </c>
      <c r="I261" s="1026" t="str">
        <f t="shared" si="32"/>
        <v/>
      </c>
      <c r="J261" s="1376"/>
      <c r="K261" s="1376" t="str">
        <f t="shared" si="33"/>
        <v/>
      </c>
      <c r="L261" s="1087" t="s">
        <v>1390</v>
      </c>
      <c r="M261" s="1376">
        <v>218</v>
      </c>
      <c r="N261" s="1376"/>
    </row>
    <row r="262" spans="1:14" s="1370" customFormat="1" x14ac:dyDescent="0.25">
      <c r="A262" s="1113" t="s">
        <v>795</v>
      </c>
      <c r="B262" s="1029" t="str">
        <f t="shared" ca="1" si="31"/>
        <v>G31</v>
      </c>
      <c r="C262" s="1029" t="str">
        <f t="shared" ca="1" si="28"/>
        <v>G</v>
      </c>
      <c r="D262" s="1376" t="s">
        <v>1455</v>
      </c>
      <c r="E262" s="1029" t="s">
        <v>1500</v>
      </c>
      <c r="I262" s="1026" t="str">
        <f t="shared" si="32"/>
        <v>Address</v>
      </c>
      <c r="J262" s="1376" t="str">
        <f t="shared" ref="J262:J325" si="34">IF(M262&lt;&gt;"",Q$1&amp;M262,"")</f>
        <v>219</v>
      </c>
      <c r="K262" s="1376" t="str">
        <f t="shared" si="33"/>
        <v>Required Info To Submit</v>
      </c>
      <c r="L262" s="1087" t="s">
        <v>795</v>
      </c>
      <c r="M262" s="1376">
        <v>219</v>
      </c>
      <c r="N262" s="1376"/>
    </row>
    <row r="263" spans="1:14" s="1370" customFormat="1" x14ac:dyDescent="0.25">
      <c r="A263" s="1113" t="s">
        <v>800</v>
      </c>
      <c r="B263" s="1029" t="str">
        <f t="shared" ca="1" si="31"/>
        <v>H31</v>
      </c>
      <c r="C263" s="1029" t="str">
        <f t="shared" ca="1" si="28"/>
        <v>H</v>
      </c>
      <c r="D263" s="1376" t="s">
        <v>1455</v>
      </c>
      <c r="E263" s="1029" t="s">
        <v>1500</v>
      </c>
      <c r="I263" s="1026" t="str">
        <f t="shared" si="32"/>
        <v>City</v>
      </c>
      <c r="J263" s="1376" t="str">
        <f t="shared" si="34"/>
        <v>220</v>
      </c>
      <c r="K263" s="1376" t="str">
        <f t="shared" si="33"/>
        <v>Required Info To Submit</v>
      </c>
      <c r="L263" s="1087" t="s">
        <v>800</v>
      </c>
      <c r="M263" s="1376">
        <v>220</v>
      </c>
      <c r="N263" s="1376"/>
    </row>
    <row r="264" spans="1:14" s="1370" customFormat="1" x14ac:dyDescent="0.25">
      <c r="A264" s="1113" t="s">
        <v>801</v>
      </c>
      <c r="B264" s="1029" t="str">
        <f t="shared" ca="1" si="31"/>
        <v>I31</v>
      </c>
      <c r="C264" s="1029" t="str">
        <f t="shared" ca="1" si="28"/>
        <v>I</v>
      </c>
      <c r="D264" s="1376" t="s">
        <v>1455</v>
      </c>
      <c r="E264" s="1029" t="s">
        <v>1500</v>
      </c>
      <c r="I264" s="1026" t="str">
        <f t="shared" si="32"/>
        <v>State</v>
      </c>
      <c r="J264" s="1376" t="str">
        <f t="shared" si="34"/>
        <v>221</v>
      </c>
      <c r="K264" s="1376" t="str">
        <f t="shared" si="33"/>
        <v>Required Info To Submit</v>
      </c>
      <c r="L264" s="1087" t="s">
        <v>801</v>
      </c>
      <c r="M264" s="1376">
        <v>221</v>
      </c>
      <c r="N264" s="1376"/>
    </row>
    <row r="265" spans="1:14" s="1370" customFormat="1" x14ac:dyDescent="0.25">
      <c r="A265" s="1113" t="s">
        <v>204</v>
      </c>
      <c r="B265" s="1029" t="str">
        <f t="shared" ca="1" si="31"/>
        <v>J31</v>
      </c>
      <c r="C265" s="1029" t="str">
        <f t="shared" ca="1" si="28"/>
        <v>J</v>
      </c>
      <c r="D265" s="1376" t="s">
        <v>1455</v>
      </c>
      <c r="E265" s="1029" t="s">
        <v>1500</v>
      </c>
      <c r="I265" s="1026" t="str">
        <f t="shared" si="32"/>
        <v>Zip Code</v>
      </c>
      <c r="J265" s="1376" t="str">
        <f t="shared" si="34"/>
        <v>222</v>
      </c>
      <c r="K265" s="1376" t="str">
        <f t="shared" si="33"/>
        <v>Required Info To Submit</v>
      </c>
      <c r="L265" s="1087" t="s">
        <v>204</v>
      </c>
      <c r="M265" s="1376">
        <v>222</v>
      </c>
      <c r="N265" s="1376"/>
    </row>
    <row r="266" spans="1:14" s="1370" customFormat="1" x14ac:dyDescent="0.25">
      <c r="A266" s="1114" t="s">
        <v>1270</v>
      </c>
      <c r="B266" s="1029" t="str">
        <f ca="1">_xlfn.IFNA(_xlfn.CONCAT(SUBSTITUTE(ADDRESS(1,MATCH(A266,INDIRECT("'"&amp;E266&amp;"'"&amp;"!A22:Z22"),0),4),1,""),32),"")</f>
        <v>E32</v>
      </c>
      <c r="C266" s="1029" t="str">
        <f t="shared" ca="1" si="28"/>
        <v>E</v>
      </c>
      <c r="D266" s="1376" t="s">
        <v>1455</v>
      </c>
      <c r="E266" s="1029" t="s">
        <v>1500</v>
      </c>
      <c r="I266" s="1026" t="str">
        <f t="shared" si="32"/>
        <v/>
      </c>
      <c r="J266" s="1376"/>
      <c r="K266" s="1376" t="str">
        <f t="shared" si="33"/>
        <v/>
      </c>
      <c r="L266" s="1028" t="s">
        <v>1270</v>
      </c>
      <c r="M266" s="1376">
        <v>223</v>
      </c>
      <c r="N266" s="1376"/>
    </row>
    <row r="267" spans="1:14" s="1370" customFormat="1" x14ac:dyDescent="0.25">
      <c r="A267" s="1115" t="s">
        <v>794</v>
      </c>
      <c r="B267" s="1029" t="str">
        <f t="shared" ref="B267:B276" ca="1" si="35">_xlfn.IFNA(_xlfn.CONCAT(SUBSTITUTE(ADDRESS(1,MATCH(A267,INDIRECT("'"&amp;E267&amp;"'"&amp;"!A22:Z22"),0),4),1,""),32),"")</f>
        <v>F32</v>
      </c>
      <c r="C267" s="1029" t="str">
        <f t="shared" ca="1" si="28"/>
        <v>F</v>
      </c>
      <c r="D267" s="1376" t="s">
        <v>1455</v>
      </c>
      <c r="E267" s="1029" t="s">
        <v>1500</v>
      </c>
      <c r="I267" s="1026" t="str">
        <f t="shared" si="32"/>
        <v>Name</v>
      </c>
      <c r="J267" s="1376" t="str">
        <f t="shared" si="34"/>
        <v>225</v>
      </c>
      <c r="K267" s="1376" t="str">
        <f t="shared" si="33"/>
        <v>Required Info To Submit</v>
      </c>
      <c r="L267" s="1087" t="s">
        <v>794</v>
      </c>
      <c r="M267" s="1376">
        <v>225</v>
      </c>
      <c r="N267" s="1376"/>
    </row>
    <row r="268" spans="1:14" s="1370" customFormat="1" x14ac:dyDescent="0.25">
      <c r="A268" s="1115" t="s">
        <v>793</v>
      </c>
      <c r="B268" s="1029" t="str">
        <f t="shared" ca="1" si="35"/>
        <v>K32</v>
      </c>
      <c r="C268" s="1029" t="str">
        <f t="shared" ca="1" si="28"/>
        <v>K</v>
      </c>
      <c r="D268" s="1376" t="s">
        <v>1455</v>
      </c>
      <c r="E268" s="1029" t="s">
        <v>1500</v>
      </c>
      <c r="I268" s="1026" t="str">
        <f t="shared" si="32"/>
        <v>Effective Date</v>
      </c>
      <c r="J268" s="1376" t="str">
        <f t="shared" si="34"/>
        <v>235</v>
      </c>
      <c r="K268" s="1376" t="str">
        <f t="shared" si="33"/>
        <v>Required Info To Submit</v>
      </c>
      <c r="L268" s="1087" t="s">
        <v>793</v>
      </c>
      <c r="M268" s="1376">
        <v>235</v>
      </c>
      <c r="N268" s="1376"/>
    </row>
    <row r="269" spans="1:14" s="1370" customFormat="1" x14ac:dyDescent="0.25">
      <c r="A269" s="1115" t="s">
        <v>1271</v>
      </c>
      <c r="B269" s="1029" t="str">
        <f t="shared" ca="1" si="35"/>
        <v>L32</v>
      </c>
      <c r="C269" s="1029" t="str">
        <f t="shared" ca="1" si="28"/>
        <v>L</v>
      </c>
      <c r="D269" s="1376" t="s">
        <v>1455</v>
      </c>
      <c r="E269" s="1029" t="s">
        <v>1500</v>
      </c>
      <c r="I269" s="1026" t="str">
        <f t="shared" si="32"/>
        <v>Expiration Date</v>
      </c>
      <c r="J269" s="1376" t="str">
        <f t="shared" si="34"/>
        <v>236</v>
      </c>
      <c r="K269" s="1376" t="str">
        <f t="shared" si="33"/>
        <v>Required Info To Submit</v>
      </c>
      <c r="L269" s="1087" t="s">
        <v>1271</v>
      </c>
      <c r="M269" s="1376">
        <v>236</v>
      </c>
      <c r="N269" s="1376"/>
    </row>
    <row r="270" spans="1:14" s="1370" customFormat="1" x14ac:dyDescent="0.25">
      <c r="A270" s="1115" t="s">
        <v>1272</v>
      </c>
      <c r="B270" s="1029" t="str">
        <f t="shared" ca="1" si="35"/>
        <v>M32</v>
      </c>
      <c r="C270" s="1029" t="str">
        <f t="shared" ca="1" si="28"/>
        <v>M</v>
      </c>
      <c r="D270" s="1376" t="s">
        <v>1455</v>
      </c>
      <c r="E270" s="1029" t="s">
        <v>1500</v>
      </c>
      <c r="I270" s="1026" t="str">
        <f t="shared" si="32"/>
        <v/>
      </c>
      <c r="J270" s="1376"/>
      <c r="K270" s="1376" t="str">
        <f t="shared" si="33"/>
        <v/>
      </c>
      <c r="L270" s="1087" t="s">
        <v>1272</v>
      </c>
      <c r="M270" s="1376">
        <v>237</v>
      </c>
      <c r="N270" s="1376"/>
    </row>
    <row r="271" spans="1:14" s="1370" customFormat="1" x14ac:dyDescent="0.25">
      <c r="A271" s="1115" t="s">
        <v>1273</v>
      </c>
      <c r="B271" s="1029" t="str">
        <f t="shared" ca="1" si="35"/>
        <v>N32</v>
      </c>
      <c r="C271" s="1029" t="str">
        <f t="shared" ca="1" si="28"/>
        <v>N</v>
      </c>
      <c r="D271" s="1376" t="s">
        <v>1455</v>
      </c>
      <c r="E271" s="1029" t="s">
        <v>1500</v>
      </c>
      <c r="I271" s="1026" t="str">
        <f t="shared" si="32"/>
        <v/>
      </c>
      <c r="J271" s="1376"/>
      <c r="K271" s="1376" t="str">
        <f t="shared" si="33"/>
        <v/>
      </c>
      <c r="L271" s="1087" t="s">
        <v>1465</v>
      </c>
      <c r="M271" s="1376">
        <v>238</v>
      </c>
      <c r="N271" s="1376"/>
    </row>
    <row r="272" spans="1:14" s="1370" customFormat="1" x14ac:dyDescent="0.25">
      <c r="A272" s="1115" t="s">
        <v>1390</v>
      </c>
      <c r="B272" s="1029" t="str">
        <f t="shared" ca="1" si="35"/>
        <v>O32</v>
      </c>
      <c r="C272" s="1029" t="str">
        <f t="shared" ca="1" si="28"/>
        <v>O</v>
      </c>
      <c r="D272" s="1376" t="s">
        <v>1455</v>
      </c>
      <c r="E272" s="1029" t="s">
        <v>1500</v>
      </c>
      <c r="I272" s="1026" t="str">
        <f t="shared" si="32"/>
        <v/>
      </c>
      <c r="J272" s="1376"/>
      <c r="K272" s="1376" t="str">
        <f t="shared" si="33"/>
        <v/>
      </c>
      <c r="L272" s="1087" t="s">
        <v>1390</v>
      </c>
      <c r="M272" s="1376">
        <v>239</v>
      </c>
      <c r="N272" s="1376"/>
    </row>
    <row r="273" spans="1:14" s="1370" customFormat="1" x14ac:dyDescent="0.25">
      <c r="A273" s="1115" t="s">
        <v>795</v>
      </c>
      <c r="B273" s="1029" t="str">
        <f t="shared" ca="1" si="35"/>
        <v>G32</v>
      </c>
      <c r="C273" s="1029" t="str">
        <f t="shared" ca="1" si="28"/>
        <v>G</v>
      </c>
      <c r="D273" s="1376" t="s">
        <v>1455</v>
      </c>
      <c r="E273" s="1029" t="s">
        <v>1500</v>
      </c>
      <c r="I273" s="1026" t="str">
        <f t="shared" si="32"/>
        <v>Address</v>
      </c>
      <c r="J273" s="1376" t="str">
        <f t="shared" si="34"/>
        <v>240</v>
      </c>
      <c r="K273" s="1376" t="str">
        <f t="shared" si="33"/>
        <v>Required Info To Submit</v>
      </c>
      <c r="L273" s="1087" t="s">
        <v>795</v>
      </c>
      <c r="M273" s="1376">
        <v>240</v>
      </c>
      <c r="N273" s="1376"/>
    </row>
    <row r="274" spans="1:14" s="1370" customFormat="1" x14ac:dyDescent="0.25">
      <c r="A274" s="1115" t="s">
        <v>800</v>
      </c>
      <c r="B274" s="1029" t="str">
        <f t="shared" ca="1" si="35"/>
        <v>H32</v>
      </c>
      <c r="C274" s="1029" t="str">
        <f t="shared" ca="1" si="28"/>
        <v>H</v>
      </c>
      <c r="D274" s="1376" t="s">
        <v>1455</v>
      </c>
      <c r="E274" s="1029" t="s">
        <v>1500</v>
      </c>
      <c r="I274" s="1026" t="str">
        <f t="shared" si="32"/>
        <v>City</v>
      </c>
      <c r="J274" s="1376" t="str">
        <f t="shared" si="34"/>
        <v>241</v>
      </c>
      <c r="K274" s="1376" t="str">
        <f t="shared" si="33"/>
        <v>Required Info To Submit</v>
      </c>
      <c r="L274" s="1087" t="s">
        <v>800</v>
      </c>
      <c r="M274" s="1376">
        <v>241</v>
      </c>
      <c r="N274" s="1376"/>
    </row>
    <row r="275" spans="1:14" s="1370" customFormat="1" x14ac:dyDescent="0.25">
      <c r="A275" s="1115" t="s">
        <v>801</v>
      </c>
      <c r="B275" s="1029" t="str">
        <f t="shared" ca="1" si="35"/>
        <v>I32</v>
      </c>
      <c r="C275" s="1029" t="str">
        <f t="shared" ca="1" si="28"/>
        <v>I</v>
      </c>
      <c r="D275" s="1376" t="s">
        <v>1455</v>
      </c>
      <c r="E275" s="1029" t="s">
        <v>1500</v>
      </c>
      <c r="I275" s="1026" t="str">
        <f t="shared" si="32"/>
        <v>State</v>
      </c>
      <c r="J275" s="1376" t="str">
        <f t="shared" si="34"/>
        <v>242</v>
      </c>
      <c r="K275" s="1376" t="str">
        <f t="shared" si="33"/>
        <v>Required Info To Submit</v>
      </c>
      <c r="L275" s="1087" t="s">
        <v>801</v>
      </c>
      <c r="M275" s="1376">
        <v>242</v>
      </c>
      <c r="N275" s="1376"/>
    </row>
    <row r="276" spans="1:14" s="1370" customFormat="1" x14ac:dyDescent="0.25">
      <c r="A276" s="1115" t="s">
        <v>204</v>
      </c>
      <c r="B276" s="1029" t="str">
        <f t="shared" ca="1" si="35"/>
        <v>J32</v>
      </c>
      <c r="C276" s="1029" t="str">
        <f t="shared" ca="1" si="28"/>
        <v>J</v>
      </c>
      <c r="D276" s="1376" t="s">
        <v>1455</v>
      </c>
      <c r="E276" s="1029" t="s">
        <v>1500</v>
      </c>
      <c r="I276" s="1026" t="str">
        <f t="shared" si="32"/>
        <v>Zip Code</v>
      </c>
      <c r="J276" s="1376" t="str">
        <f t="shared" si="34"/>
        <v>243</v>
      </c>
      <c r="K276" s="1376" t="str">
        <f t="shared" si="33"/>
        <v>Required Info To Submit</v>
      </c>
      <c r="L276" s="1087" t="s">
        <v>204</v>
      </c>
      <c r="M276" s="1376">
        <v>243</v>
      </c>
      <c r="N276" s="1376"/>
    </row>
    <row r="277" spans="1:14" s="1370" customFormat="1" x14ac:dyDescent="0.25">
      <c r="A277" s="1116" t="s">
        <v>1047</v>
      </c>
      <c r="B277" s="1376" t="str">
        <f>IFERROR(_xlfn.CONCAT("D",MATCH(A277,'[2]Tracking &amp; Profitability'!D$1:D$60,0)),"")</f>
        <v>D16</v>
      </c>
      <c r="C277" s="1376" t="str">
        <f>IFERROR(_xlfn.CONCAT("E",MATCH(A277,'[2]Tracking &amp; Profitability'!D$1:D$60,0)),"")</f>
        <v>E16</v>
      </c>
      <c r="D277" s="1029" t="s">
        <v>1448</v>
      </c>
      <c r="E277" s="1376" t="s">
        <v>129</v>
      </c>
      <c r="I277" s="1026" t="str">
        <f t="shared" si="32"/>
        <v xml:space="preserve">Increase Investment Spend: </v>
      </c>
      <c r="J277" s="1376" t="str">
        <f t="shared" si="34"/>
        <v>521</v>
      </c>
      <c r="K277" s="1376" t="str">
        <f t="shared" si="33"/>
        <v>Tracking &amp; Profitability</v>
      </c>
      <c r="L277" s="1116" t="s">
        <v>1564</v>
      </c>
      <c r="M277" s="1376">
        <v>521</v>
      </c>
      <c r="N277" s="1376"/>
    </row>
    <row r="278" spans="1:14" s="1370" customFormat="1" x14ac:dyDescent="0.25">
      <c r="A278" s="1117" t="s">
        <v>1382</v>
      </c>
      <c r="B278" s="1026" t="str">
        <f ca="1">IF('[2]Pricing Schedule'!$K$5="No",_xlfn.CONCAT(IFERROR(SUBSTITUTE(ADDRESS(1,MATCH(A278,INDIRECT("'"&amp;E278&amp;"'"&amp;"!$A$10:$Z$10"),0),4),1,""),""),16),_xlfn.CONCAT(IFERROR(SUBSTITUTE(ADDRESS(1,MATCH(A278,INDIRECT("'"&amp;E278&amp;"'"&amp;"!$A$10:$Z$10"),0),4),1,""),""),50))</f>
        <v>N50</v>
      </c>
      <c r="C278" s="1026" t="str">
        <f ca="1">IF('[2]Pricing Schedule'!$K$5="No",IFERROR(SUBSTITUTE(ADDRESS(1,MATCH(A278,INDIRECT("'"&amp;E278&amp;"'"&amp;"!$A$10:$Z$10"),0),4),1,""),""),IFERROR(SUBSTITUTE(ADDRESS(1,MATCH(A278,INDIRECT("'"&amp;E278&amp;"'"&amp;"!$A$10:$Z$10"),0),4),1,""),""))</f>
        <v>N</v>
      </c>
      <c r="D278" s="1029" t="s">
        <v>1455</v>
      </c>
      <c r="E278" s="1029" t="s">
        <v>1372</v>
      </c>
      <c r="I278" s="1026" t="str">
        <f t="shared" si="32"/>
        <v/>
      </c>
      <c r="J278" s="1376"/>
      <c r="K278" s="1376" t="str">
        <f t="shared" si="33"/>
        <v/>
      </c>
      <c r="L278" s="1090" t="s">
        <v>1382</v>
      </c>
      <c r="M278" s="1376">
        <v>247</v>
      </c>
      <c r="N278" s="1376"/>
    </row>
    <row r="279" spans="1:14" s="1370" customFormat="1" x14ac:dyDescent="0.25">
      <c r="A279" s="1118" t="s">
        <v>1373</v>
      </c>
      <c r="B279" s="1026" t="str">
        <f ca="1">IF('[2]Pricing Schedule'!$K$5="No",_xlfn.CONCAT(IFERROR(SUBSTITUTE(ADDRESS(1,MATCH(A279,INDIRECT("'"&amp;E279&amp;"'"&amp;"!$A$10:$Z$10"),0),4),1,""),""),16),_xlfn.CONCAT(IFERROR(SUBSTITUTE(ADDRESS(1,MATCH(A279,INDIRECT("'"&amp;E279&amp;"'"&amp;"!$A$10:$Z$10"),0),4),1,""),""),50))</f>
        <v>C50</v>
      </c>
      <c r="C279" s="1026" t="str">
        <f ca="1">IF('[2]Pricing Schedule'!$K$5="No",IFERROR(SUBSTITUTE(ADDRESS(1,MATCH(A279,INDIRECT("'"&amp;E279&amp;"'"&amp;"!$A$10:$Z$10"),0),4),1,""),""),IFERROR(SUBSTITUTE(ADDRESS(1,MATCH(A279,INDIRECT("'"&amp;E279&amp;"'"&amp;"!$A$10:$Z$10"),0),4),1,""),""))</f>
        <v>C</v>
      </c>
      <c r="D279" s="1029" t="s">
        <v>1455</v>
      </c>
      <c r="E279" s="1029" t="s">
        <v>1372</v>
      </c>
      <c r="I279" s="1026" t="str">
        <f t="shared" si="32"/>
        <v/>
      </c>
      <c r="J279" s="1376"/>
      <c r="K279" s="1376" t="str">
        <f t="shared" si="33"/>
        <v/>
      </c>
      <c r="L279" s="1090" t="s">
        <v>254</v>
      </c>
      <c r="M279" s="1376">
        <v>248</v>
      </c>
      <c r="N279" s="1376"/>
    </row>
    <row r="280" spans="1:14" s="1370" customFormat="1" x14ac:dyDescent="0.25">
      <c r="A280" s="1118" t="s">
        <v>1338</v>
      </c>
      <c r="B280" s="1026" t="str">
        <f ca="1">IF('[2]Pricing Schedule'!$K$5="No",_xlfn.CONCAT(IFERROR(SUBSTITUTE(ADDRESS(1,MATCH(A280,INDIRECT("'"&amp;E280&amp;"'"&amp;"!$A$10:$Z$10"),0),4),1,""),""),16),_xlfn.CONCAT(IFERROR(SUBSTITUTE(ADDRESS(1,MATCH(A280,INDIRECT("'"&amp;E280&amp;"'"&amp;"!$A$10:$Z$10"),0),4),1,""),""),50))</f>
        <v>H50</v>
      </c>
      <c r="C280" s="1026" t="str">
        <f ca="1">IF('[2]Pricing Schedule'!$K$5="No",IFERROR(SUBSTITUTE(ADDRESS(1,MATCH(A280,INDIRECT("'"&amp;E280&amp;"'"&amp;"!$A$10:$Z$10"),0),4),1,""),""),IFERROR(SUBSTITUTE(ADDRESS(1,MATCH(A280,INDIRECT("'"&amp;E280&amp;"'"&amp;"!$A$10:$Z$10"),0),4),1,""),""))</f>
        <v>H</v>
      </c>
      <c r="D280" s="1029" t="s">
        <v>1455</v>
      </c>
      <c r="E280" s="1029" t="s">
        <v>1372</v>
      </c>
      <c r="I280" s="1026" t="str">
        <f t="shared" si="32"/>
        <v/>
      </c>
      <c r="J280" s="1376"/>
      <c r="K280" s="1376" t="str">
        <f t="shared" si="33"/>
        <v/>
      </c>
      <c r="L280" s="1090" t="s">
        <v>1338</v>
      </c>
      <c r="M280" s="1376">
        <v>249</v>
      </c>
      <c r="N280" s="1376"/>
    </row>
    <row r="281" spans="1:14" s="1370" customFormat="1" x14ac:dyDescent="0.25">
      <c r="A281" s="1118" t="s">
        <v>1376</v>
      </c>
      <c r="B281" s="1026" t="str">
        <f ca="1">IF('[2]Pricing Schedule'!$K$5="No",_xlfn.CONCAT(IFERROR(SUBSTITUTE(ADDRESS(1,MATCH(A281,INDIRECT("'"&amp;E281&amp;"'"&amp;"!$A$10:$Z$10"),0),4),1,""),""),16),_xlfn.CONCAT(IFERROR(SUBSTITUTE(ADDRESS(1,MATCH(A281,INDIRECT("'"&amp;E281&amp;"'"&amp;"!$A$10:$Z$10"),0),4),1,""),""),50))</f>
        <v>F50</v>
      </c>
      <c r="C281" s="1026" t="str">
        <f ca="1">IF('[2]Pricing Schedule'!$K$5="No",IFERROR(SUBSTITUTE(ADDRESS(1,MATCH(A281,INDIRECT("'"&amp;E281&amp;"'"&amp;"!$A$10:$Z$10"),0),4),1,""),""),IFERROR(SUBSTITUTE(ADDRESS(1,MATCH(A281,INDIRECT("'"&amp;E281&amp;"'"&amp;"!$A$10:$Z$10"),0),4),1,""),""))</f>
        <v>F</v>
      </c>
      <c r="D281" s="1029" t="s">
        <v>1455</v>
      </c>
      <c r="E281" s="1029" t="s">
        <v>1372</v>
      </c>
      <c r="I281" s="1026" t="str">
        <f t="shared" si="32"/>
        <v/>
      </c>
      <c r="J281" s="1376"/>
      <c r="K281" s="1376" t="str">
        <f t="shared" si="33"/>
        <v/>
      </c>
      <c r="L281" s="1090" t="s">
        <v>225</v>
      </c>
      <c r="M281" s="1376">
        <v>250</v>
      </c>
      <c r="N281" s="1376"/>
    </row>
    <row r="282" spans="1:14" s="1370" customFormat="1" x14ac:dyDescent="0.25">
      <c r="A282" s="1119" t="s">
        <v>466</v>
      </c>
      <c r="B282" s="1026" t="str">
        <f ca="1">_xlfn.CONCAT(IFERROR(SUBSTITUTE(ADDRESS(1,MATCH(A282,INDIRECT("'"&amp;E282&amp;"'"&amp;"!A9:Z9"),0),4),1,""),""),10)</f>
        <v>E10</v>
      </c>
      <c r="C282" s="1026" t="str">
        <f ca="1">_xlfn.CONCAT(IFERROR(SUBSTITUTE(ADDRESS(1,MATCH(A282,INDIRECT("'"&amp;E282&amp;"'"&amp;"!A9:Z9"),0),4),1,""),""))</f>
        <v>E</v>
      </c>
      <c r="D282" s="1376" t="s">
        <v>1455</v>
      </c>
      <c r="E282" s="1029" t="s">
        <v>208</v>
      </c>
      <c r="I282" s="1026" t="str">
        <f t="shared" si="32"/>
        <v>Exclude PIM Classes Below</v>
      </c>
      <c r="J282" s="1376" t="str">
        <f t="shared" si="34"/>
        <v>251</v>
      </c>
      <c r="K282" s="1376" t="str">
        <f t="shared" si="33"/>
        <v>PIM Model</v>
      </c>
      <c r="L282" s="1090" t="s">
        <v>466</v>
      </c>
      <c r="M282" s="1376">
        <v>251</v>
      </c>
      <c r="N282" s="1376"/>
    </row>
    <row r="283" spans="1:14" s="1370" customFormat="1" x14ac:dyDescent="0.25">
      <c r="A283" s="1119" t="s">
        <v>1375</v>
      </c>
      <c r="B283" s="1026" t="str">
        <f ca="1">IF('[2]Pricing Schedule'!$K$5="No",_xlfn.CONCAT(IFERROR(SUBSTITUTE(ADDRESS(1,MATCH(A283,INDIRECT("'"&amp;E283&amp;"'"&amp;"!$A$10:$Z$10"),0),4),1,""),""),16),_xlfn.CONCAT(IFERROR(SUBSTITUTE(ADDRESS(1,MATCH(A283,INDIRECT("'"&amp;E283&amp;"'"&amp;"!$A$10:$Z$10"),0),4),1,""),""),50))</f>
        <v>E50</v>
      </c>
      <c r="C283" s="1026" t="str">
        <f ca="1">IF('[2]Pricing Schedule'!$K$5="No",IFERROR(SUBSTITUTE(ADDRESS(1,MATCH(A283,INDIRECT("'"&amp;E283&amp;"'"&amp;"!$A$10:$Z$10"),0),4),1,""),""),IFERROR(SUBSTITUTE(ADDRESS(1,MATCH(A283,INDIRECT("'"&amp;E283&amp;"'"&amp;"!$A$10:$Z$10"),0),4),1,""),""))</f>
        <v>E</v>
      </c>
      <c r="D283" s="1029" t="s">
        <v>1455</v>
      </c>
      <c r="E283" s="1029" t="s">
        <v>1372</v>
      </c>
      <c r="I283" s="1026" t="str">
        <f t="shared" si="32"/>
        <v>Special Pricing Code</v>
      </c>
      <c r="J283" s="1376" t="str">
        <f t="shared" si="34"/>
        <v>252</v>
      </c>
      <c r="K283" s="1376" t="str">
        <f t="shared" si="33"/>
        <v>Pricing Schedule</v>
      </c>
      <c r="L283" s="1090" t="s">
        <v>1375</v>
      </c>
      <c r="M283" s="1376">
        <v>252</v>
      </c>
      <c r="N283" s="1376"/>
    </row>
    <row r="284" spans="1:14" s="1370" customFormat="1" x14ac:dyDescent="0.25">
      <c r="A284" s="1119" t="s">
        <v>1377</v>
      </c>
      <c r="B284" s="1026" t="str">
        <f ca="1">IF('[2]Pricing Schedule'!$K$5="No",_xlfn.CONCAT(IFERROR(SUBSTITUTE(ADDRESS(1,MATCH(A284,INDIRECT("'"&amp;E284&amp;"'"&amp;"!$A$10:$Z$10"),0),4),1,""),""),16),_xlfn.CONCAT(IFERROR(SUBSTITUTE(ADDRESS(1,MATCH(A284,INDIRECT("'"&amp;E284&amp;"'"&amp;"!$A$10:$Z$10"),0),4),1,""),""),50))</f>
        <v>G50</v>
      </c>
      <c r="C284" s="1026" t="str">
        <f ca="1">IF('[2]Pricing Schedule'!$K$5="No",IFERROR(SUBSTITUTE(ADDRESS(1,MATCH(A284,INDIRECT("'"&amp;E284&amp;"'"&amp;"!$A$10:$Z$10"),0),4),1,""),""),IFERROR(SUBSTITUTE(ADDRESS(1,MATCH(A284,INDIRECT("'"&amp;E284&amp;"'"&amp;"!$A$10:$Z$10"),0),4),1,""),""))</f>
        <v>G</v>
      </c>
      <c r="D284" s="1029" t="s">
        <v>1455</v>
      </c>
      <c r="E284" s="1029" t="s">
        <v>1372</v>
      </c>
      <c r="I284" s="1026" t="str">
        <f t="shared" si="32"/>
        <v>EB Markup Amt</v>
      </c>
      <c r="J284" s="1376" t="str">
        <f t="shared" si="34"/>
        <v>253</v>
      </c>
      <c r="K284" s="1376" t="str">
        <f t="shared" si="33"/>
        <v>Pricing Schedule</v>
      </c>
      <c r="L284" s="1090" t="s">
        <v>1377</v>
      </c>
      <c r="M284" s="1376">
        <v>253</v>
      </c>
      <c r="N284" s="1376"/>
    </row>
    <row r="285" spans="1:14" s="1370" customFormat="1" x14ac:dyDescent="0.25">
      <c r="A285" s="1119" t="s">
        <v>1378</v>
      </c>
      <c r="B285" s="1026" t="str">
        <f ca="1">IF('[2]Pricing Schedule'!$K$5="No",_xlfn.CONCAT(IFERROR(SUBSTITUTE(ADDRESS(1,MATCH(A285,INDIRECT("'"&amp;E285&amp;"'"&amp;"!$A$10:$Z$10"),0),4),1,""),""),16),_xlfn.CONCAT(IFERROR(SUBSTITUTE(ADDRESS(1,MATCH(A285,INDIRECT("'"&amp;E285&amp;"'"&amp;"!$A$10:$Z$10"),0),4),1,""),""),50))</f>
        <v>I50</v>
      </c>
      <c r="C285" s="1026" t="str">
        <f ca="1">IF('[2]Pricing Schedule'!$K$5="No",IFERROR(SUBSTITUTE(ADDRESS(1,MATCH(A285,INDIRECT("'"&amp;E285&amp;"'"&amp;"!$A$10:$Z$10"),0),4),1,""),""),IFERROR(SUBSTITUTE(ADDRESS(1,MATCH(A285,INDIRECT("'"&amp;E285&amp;"'"&amp;"!$A$10:$Z$10"),0),4),1,""),""))</f>
        <v>I</v>
      </c>
      <c r="D285" s="1029" t="s">
        <v>1455</v>
      </c>
      <c r="E285" s="1029" t="s">
        <v>1372</v>
      </c>
      <c r="I285" s="1026" t="str">
        <f t="shared" si="32"/>
        <v>Min CS Markup Override Flag</v>
      </c>
      <c r="J285" s="1376" t="str">
        <f t="shared" si="34"/>
        <v>254</v>
      </c>
      <c r="K285" s="1376" t="str">
        <f t="shared" si="33"/>
        <v>Pricing Schedule</v>
      </c>
      <c r="L285" s="1090" t="s">
        <v>1378</v>
      </c>
      <c r="M285" s="1376">
        <v>254</v>
      </c>
      <c r="N285" s="1376"/>
    </row>
    <row r="286" spans="1:14" s="1370" customFormat="1" x14ac:dyDescent="0.25">
      <c r="A286" s="1119" t="s">
        <v>1379</v>
      </c>
      <c r="B286" s="1026" t="str">
        <f ca="1">IF('[2]Pricing Schedule'!$K$5="No",_xlfn.CONCAT(IFERROR(SUBSTITUTE(ADDRESS(1,MATCH(A286,INDIRECT("'"&amp;E286&amp;"'"&amp;"!$A$10:$Z$10"),0),4),1,""),""),16),_xlfn.CONCAT(IFERROR(SUBSTITUTE(ADDRESS(1,MATCH(A286,INDIRECT("'"&amp;E286&amp;"'"&amp;"!$A$10:$Z$10"),0),4),1,""),""),50))</f>
        <v>J50</v>
      </c>
      <c r="C286" s="1026" t="str">
        <f ca="1">IF('[2]Pricing Schedule'!$K$5="No",IFERROR(SUBSTITUTE(ADDRESS(1,MATCH(A286,INDIRECT("'"&amp;E286&amp;"'"&amp;"!$A$10:$Z$10"),0),4),1,""),""),IFERROR(SUBSTITUTE(ADDRESS(1,MATCH(A286,INDIRECT("'"&amp;E286&amp;"'"&amp;"!$A$10:$Z$10"),0),4),1,""),""))</f>
        <v>J</v>
      </c>
      <c r="D286" s="1029" t="s">
        <v>1455</v>
      </c>
      <c r="E286" s="1029" t="s">
        <v>1372</v>
      </c>
      <c r="I286" s="1026" t="str">
        <f t="shared" si="32"/>
        <v>Min CS Markup Amt</v>
      </c>
      <c r="J286" s="1376" t="str">
        <f t="shared" si="34"/>
        <v>255</v>
      </c>
      <c r="K286" s="1376" t="str">
        <f t="shared" si="33"/>
        <v>Pricing Schedule</v>
      </c>
      <c r="L286" s="1090" t="s">
        <v>1379</v>
      </c>
      <c r="M286" s="1376">
        <v>255</v>
      </c>
      <c r="N286" s="1376"/>
    </row>
    <row r="287" spans="1:14" s="1370" customFormat="1" x14ac:dyDescent="0.25">
      <c r="A287" s="1119" t="s">
        <v>1380</v>
      </c>
      <c r="B287" s="1026" t="str">
        <f ca="1">IF('[2]Pricing Schedule'!$K$5="No",_xlfn.CONCAT(IFERROR(SUBSTITUTE(ADDRESS(1,MATCH(A287,INDIRECT("'"&amp;E287&amp;"'"&amp;"!$A$10:$Z$10"),0),4),1,""),""),16),_xlfn.CONCAT(IFERROR(SUBSTITUTE(ADDRESS(1,MATCH(A287,INDIRECT("'"&amp;E287&amp;"'"&amp;"!$A$10:$Z$10"),0),4),1,""),""),50))</f>
        <v>K50</v>
      </c>
      <c r="C287" s="1026" t="str">
        <f ca="1">IF('[2]Pricing Schedule'!$K$5="No",IFERROR(SUBSTITUTE(ADDRESS(1,MATCH(A287,INDIRECT("'"&amp;E287&amp;"'"&amp;"!$A$10:$Z$10"),0),4),1,""),""),IFERROR(SUBSTITUTE(ADDRESS(1,MATCH(A287,INDIRECT("'"&amp;E287&amp;"'"&amp;"!$A$10:$Z$10"),0),4),1,""),""))</f>
        <v>K</v>
      </c>
      <c r="D287" s="1029" t="s">
        <v>1455</v>
      </c>
      <c r="E287" s="1029" t="s">
        <v>1372</v>
      </c>
      <c r="I287" s="1026" t="str">
        <f t="shared" si="32"/>
        <v>Split Case Fee Override Flag</v>
      </c>
      <c r="J287" s="1376" t="str">
        <f t="shared" si="34"/>
        <v>256</v>
      </c>
      <c r="K287" s="1376" t="str">
        <f t="shared" si="33"/>
        <v>Pricing Schedule</v>
      </c>
      <c r="L287" s="1090" t="s">
        <v>1380</v>
      </c>
      <c r="M287" s="1376">
        <v>256</v>
      </c>
      <c r="N287" s="1376"/>
    </row>
    <row r="288" spans="1:14" s="1370" customFormat="1" x14ac:dyDescent="0.25">
      <c r="A288" s="1119" t="s">
        <v>1381</v>
      </c>
      <c r="B288" s="1026" t="str">
        <f ca="1">IF('[2]Pricing Schedule'!$K$5="No",_xlfn.CONCAT(IFERROR(SUBSTITUTE(ADDRESS(1,MATCH(A288,INDIRECT("'"&amp;E288&amp;"'"&amp;"!$A$10:$Z$10"),0),4),1,""),""),16),_xlfn.CONCAT(IFERROR(SUBSTITUTE(ADDRESS(1,MATCH(A288,INDIRECT("'"&amp;E288&amp;"'"&amp;"!$A$10:$Z$10"),0),4),1,""),""),50))</f>
        <v>L50</v>
      </c>
      <c r="C288" s="1026" t="str">
        <f ca="1">IF('[2]Pricing Schedule'!$K$5="No",IFERROR(SUBSTITUTE(ADDRESS(1,MATCH(A288,INDIRECT("'"&amp;E288&amp;"'"&amp;"!$A$10:$Z$10"),0),4),1,""),""),IFERROR(SUBSTITUTE(ADDRESS(1,MATCH(A288,INDIRECT("'"&amp;E288&amp;"'"&amp;"!$A$10:$Z$10"),0),4),1,""),""))</f>
        <v>L</v>
      </c>
      <c r="D288" s="1029" t="s">
        <v>1455</v>
      </c>
      <c r="E288" s="1029" t="s">
        <v>1372</v>
      </c>
      <c r="I288" s="1026" t="str">
        <f t="shared" si="32"/>
        <v>Split Case Fee</v>
      </c>
      <c r="J288" s="1376" t="str">
        <f t="shared" si="34"/>
        <v>257</v>
      </c>
      <c r="K288" s="1376" t="str">
        <f t="shared" si="33"/>
        <v>Pricing Schedule</v>
      </c>
      <c r="L288" s="1090" t="s">
        <v>1381</v>
      </c>
      <c r="M288" s="1376">
        <v>257</v>
      </c>
      <c r="N288" s="1376"/>
    </row>
    <row r="289" spans="1:14" s="1370" customFormat="1" x14ac:dyDescent="0.25">
      <c r="A289" s="1119" t="s">
        <v>1320</v>
      </c>
      <c r="B289" s="1026" t="str">
        <f ca="1">IF('[2]Pricing Schedule'!$K$5="No",_xlfn.CONCAT(IFERROR(SUBSTITUTE(ADDRESS(1,MATCH(A289,INDIRECT("'"&amp;E289&amp;"'"&amp;"!$A$10:$Z$10"),0),4),1,""),""),16),_xlfn.CONCAT(IFERROR(SUBSTITUTE(ADDRESS(1,MATCH(A289,INDIRECT("'"&amp;E289&amp;"'"&amp;"!$A$10:$Z$10"),0),4),1,""),""),50))</f>
        <v>M50</v>
      </c>
      <c r="C289" s="1026" t="str">
        <f ca="1">IF('[2]Pricing Schedule'!$K$5="No",IFERROR(SUBSTITUTE(ADDRESS(1,MATCH(A289,INDIRECT("'"&amp;E289&amp;"'"&amp;"!$A$10:$Z$10"),0),4),1,""),""),IFERROR(SUBSTITUTE(ADDRESS(1,MATCH(A289,INDIRECT("'"&amp;E289&amp;"'"&amp;"!$A$10:$Z$10"),0),4),1,""),""))</f>
        <v>M</v>
      </c>
      <c r="D289" s="1029" t="s">
        <v>1455</v>
      </c>
      <c r="E289" s="1029" t="s">
        <v>1372</v>
      </c>
      <c r="I289" s="1026" t="str">
        <f t="shared" si="32"/>
        <v>Split Case Per</v>
      </c>
      <c r="J289" s="1376" t="str">
        <f t="shared" si="34"/>
        <v>258</v>
      </c>
      <c r="K289" s="1376" t="str">
        <f t="shared" si="33"/>
        <v>Pricing Schedule</v>
      </c>
      <c r="L289" s="1090" t="s">
        <v>1320</v>
      </c>
      <c r="M289" s="1376">
        <v>258</v>
      </c>
      <c r="N289" s="1376"/>
    </row>
    <row r="290" spans="1:14" s="1370" customFormat="1" x14ac:dyDescent="0.25">
      <c r="A290" s="1120" t="s">
        <v>1382</v>
      </c>
      <c r="B290" s="1026" t="str">
        <f ca="1">IF('[2]Pricing Schedule'!$K$5="No",_xlfn.CONCAT(IFERROR(SUBSTITUTE(ADDRESS(1,MATCH(A290,INDIRECT("'"&amp;E290&amp;"'"&amp;"!A10:Z10"),0),4),1,""),""),11),_xlfn.CONCAT(IFERROR(SUBSTITUTE(ADDRESS(1,MATCH(A290,INDIRECT("'"&amp;E290&amp;"'"&amp;"!A10:Z10"),0),4),1,""),""),35))</f>
        <v>N35</v>
      </c>
      <c r="C290" s="1026" t="str">
        <f ca="1">IF('[2]Pricing Schedule'!$K$5="No",IFERROR(SUBSTITUTE(ADDRESS(1,MATCH(A290,INDIRECT("'"&amp;E290&amp;"'"&amp;"!A10:Z10"),0),4),1,""),""),IFERROR(SUBSTITUTE(ADDRESS(1,MATCH(A290,INDIRECT("'"&amp;E290&amp;"'"&amp;"!A10:Z10"),0),4),1,""),""))</f>
        <v>N</v>
      </c>
      <c r="D290" s="1029" t="s">
        <v>1455</v>
      </c>
      <c r="E290" s="1029" t="s">
        <v>1372</v>
      </c>
      <c r="I290" s="1026" t="str">
        <f t="shared" si="32"/>
        <v/>
      </c>
      <c r="J290" s="1376"/>
      <c r="K290" s="1376" t="str">
        <f t="shared" si="33"/>
        <v/>
      </c>
      <c r="L290" s="1090" t="s">
        <v>1382</v>
      </c>
      <c r="M290" s="1376">
        <v>259</v>
      </c>
      <c r="N290" s="1376"/>
    </row>
    <row r="291" spans="1:14" s="1370" customFormat="1" x14ac:dyDescent="0.25">
      <c r="A291" s="1121" t="s">
        <v>1373</v>
      </c>
      <c r="B291" s="1026" t="str">
        <f ca="1">IF('[2]Pricing Schedule'!$K$5="No",_xlfn.CONCAT(IFERROR(SUBSTITUTE(ADDRESS(1,MATCH(A291,INDIRECT("'"&amp;E291&amp;"'"&amp;"!A10:Z10"),0),4),1,""),""),11),_xlfn.CONCAT(IFERROR(SUBSTITUTE(ADDRESS(1,MATCH(A291,INDIRECT("'"&amp;E291&amp;"'"&amp;"!A10:Z10"),0),4),1,""),""),35))</f>
        <v>C35</v>
      </c>
      <c r="C291" s="1026" t="str">
        <f ca="1">IF('[2]Pricing Schedule'!$K$5="No",IFERROR(SUBSTITUTE(ADDRESS(1,MATCH(A291,INDIRECT("'"&amp;E291&amp;"'"&amp;"!A10:Z10"),0),4),1,""),""),IFERROR(SUBSTITUTE(ADDRESS(1,MATCH(A291,INDIRECT("'"&amp;E291&amp;"'"&amp;"!A10:Z10"),0),4),1,""),""))</f>
        <v>C</v>
      </c>
      <c r="D291" s="1029" t="s">
        <v>1455</v>
      </c>
      <c r="E291" s="1029" t="s">
        <v>1372</v>
      </c>
      <c r="I291" s="1026" t="str">
        <f t="shared" si="32"/>
        <v/>
      </c>
      <c r="J291" s="1376"/>
      <c r="K291" s="1376" t="str">
        <f t="shared" si="33"/>
        <v/>
      </c>
      <c r="L291" s="1090" t="s">
        <v>254</v>
      </c>
      <c r="M291" s="1376">
        <v>260</v>
      </c>
      <c r="N291" s="1376"/>
    </row>
    <row r="292" spans="1:14" s="1370" customFormat="1" x14ac:dyDescent="0.25">
      <c r="A292" s="1121" t="s">
        <v>1338</v>
      </c>
      <c r="B292" s="1026" t="str">
        <f ca="1">IF('[2]Pricing Schedule'!$K$5="No",_xlfn.CONCAT(IFERROR(SUBSTITUTE(ADDRESS(1,MATCH(A292,INDIRECT("'"&amp;E292&amp;"'"&amp;"!A10:Z10"),0),4),1,""),""),11),_xlfn.CONCAT(IFERROR(SUBSTITUTE(ADDRESS(1,MATCH(A292,INDIRECT("'"&amp;E292&amp;"'"&amp;"!A10:Z10"),0),4),1,""),""),35))</f>
        <v>H35</v>
      </c>
      <c r="C292" s="1026" t="str">
        <f ca="1">IF('[2]Pricing Schedule'!$K$5="No",IFERROR(SUBSTITUTE(ADDRESS(1,MATCH(A292,INDIRECT("'"&amp;E292&amp;"'"&amp;"!A10:Z10"),0),4),1,""),""),IFERROR(SUBSTITUTE(ADDRESS(1,MATCH(A292,INDIRECT("'"&amp;E292&amp;"'"&amp;"!A10:Z10"),0),4),1,""),""))</f>
        <v>H</v>
      </c>
      <c r="D292" s="1029" t="s">
        <v>1455</v>
      </c>
      <c r="E292" s="1029" t="s">
        <v>1372</v>
      </c>
      <c r="I292" s="1026" t="str">
        <f t="shared" si="32"/>
        <v/>
      </c>
      <c r="J292" s="1376"/>
      <c r="K292" s="1376" t="str">
        <f t="shared" si="33"/>
        <v/>
      </c>
      <c r="L292" s="1090" t="s">
        <v>1338</v>
      </c>
      <c r="M292" s="1376">
        <v>261</v>
      </c>
      <c r="N292" s="1376"/>
    </row>
    <row r="293" spans="1:14" s="1370" customFormat="1" x14ac:dyDescent="0.25">
      <c r="A293" s="1121" t="s">
        <v>1376</v>
      </c>
      <c r="B293" s="1026" t="str">
        <f ca="1">IF('[2]Pricing Schedule'!$K$5="No",_xlfn.CONCAT(IFERROR(SUBSTITUTE(ADDRESS(1,MATCH(A293,INDIRECT("'"&amp;E293&amp;"'"&amp;"!A10:Z10"),0),4),1,""),""),11),_xlfn.CONCAT(IFERROR(SUBSTITUTE(ADDRESS(1,MATCH(A293,INDIRECT("'"&amp;E293&amp;"'"&amp;"!A10:Z10"),0),4),1,""),""),35))</f>
        <v>F35</v>
      </c>
      <c r="C293" s="1026" t="str">
        <f ca="1">IF('[2]Pricing Schedule'!$K$5="No",IFERROR(SUBSTITUTE(ADDRESS(1,MATCH(A293,INDIRECT("'"&amp;E293&amp;"'"&amp;"!A10:Z10"),0),4),1,""),""),IFERROR(SUBSTITUTE(ADDRESS(1,MATCH(A293,INDIRECT("'"&amp;E293&amp;"'"&amp;"!A10:Z10"),0),4),1,""),""))</f>
        <v>F</v>
      </c>
      <c r="D293" s="1029" t="s">
        <v>1455</v>
      </c>
      <c r="E293" s="1029" t="s">
        <v>1372</v>
      </c>
      <c r="I293" s="1026" t="str">
        <f t="shared" si="32"/>
        <v/>
      </c>
      <c r="J293" s="1376"/>
      <c r="K293" s="1376" t="str">
        <f t="shared" si="33"/>
        <v/>
      </c>
      <c r="L293" s="1090" t="s">
        <v>225</v>
      </c>
      <c r="M293" s="1376">
        <v>262</v>
      </c>
      <c r="N293" s="1376"/>
    </row>
    <row r="294" spans="1:14" s="1370" customFormat="1" x14ac:dyDescent="0.25">
      <c r="A294" s="1122" t="s">
        <v>466</v>
      </c>
      <c r="B294" s="1026" t="str">
        <f ca="1">_xlfn.CONCAT(IFERROR(SUBSTITUTE(ADDRESS(1,MATCH(A294,INDIRECT("'"&amp;E294&amp;"'"&amp;"!A9:Z9"),0),4),1,""),""),11)</f>
        <v>E11</v>
      </c>
      <c r="C294" s="1026" t="str">
        <f ca="1">_xlfn.CONCAT(IFERROR(SUBSTITUTE(ADDRESS(1,MATCH(A294,INDIRECT("'"&amp;E294&amp;"'"&amp;"!A9:Z9"),0),4),1,""),""))</f>
        <v>E</v>
      </c>
      <c r="D294" s="1376" t="s">
        <v>1455</v>
      </c>
      <c r="E294" s="1029" t="s">
        <v>208</v>
      </c>
      <c r="I294" s="1026" t="str">
        <f t="shared" si="32"/>
        <v>Exclude PIM Classes Below</v>
      </c>
      <c r="J294" s="1376" t="str">
        <f t="shared" si="34"/>
        <v>263</v>
      </c>
      <c r="K294" s="1376" t="str">
        <f t="shared" si="33"/>
        <v>PIM Model</v>
      </c>
      <c r="L294" s="1090" t="s">
        <v>466</v>
      </c>
      <c r="M294" s="1376">
        <v>263</v>
      </c>
      <c r="N294" s="1376"/>
    </row>
    <row r="295" spans="1:14" s="1370" customFormat="1" x14ac:dyDescent="0.25">
      <c r="A295" s="1122" t="s">
        <v>1375</v>
      </c>
      <c r="B295" s="1026" t="str">
        <f ca="1">IF('[2]Pricing Schedule'!$K$5="No",_xlfn.CONCAT(IFERROR(SUBSTITUTE(ADDRESS(1,MATCH(A295,INDIRECT("'"&amp;E295&amp;"'"&amp;"!A10:Z10"),0),4),1,""),""),11),_xlfn.CONCAT(IFERROR(SUBSTITUTE(ADDRESS(1,MATCH(A295,INDIRECT("'"&amp;E295&amp;"'"&amp;"!A10:Z10"),0),4),1,""),""),35))</f>
        <v>E35</v>
      </c>
      <c r="C295" s="1026" t="str">
        <f ca="1">IF('[2]Pricing Schedule'!$K$5="No",IFERROR(SUBSTITUTE(ADDRESS(1,MATCH(A295,INDIRECT("'"&amp;E295&amp;"'"&amp;"!A10:Z10"),0),4),1,""),""),IFERROR(SUBSTITUTE(ADDRESS(1,MATCH(A295,INDIRECT("'"&amp;E295&amp;"'"&amp;"!A10:Z10"),0),4),1,""),""))</f>
        <v>E</v>
      </c>
      <c r="D295" s="1029" t="s">
        <v>1455</v>
      </c>
      <c r="E295" s="1029" t="s">
        <v>1372</v>
      </c>
      <c r="I295" s="1026" t="str">
        <f t="shared" si="32"/>
        <v>Special Pricing Code</v>
      </c>
      <c r="J295" s="1376" t="str">
        <f t="shared" si="34"/>
        <v>264</v>
      </c>
      <c r="K295" s="1376" t="str">
        <f t="shared" si="33"/>
        <v>Pricing Schedule</v>
      </c>
      <c r="L295" s="1090" t="s">
        <v>1375</v>
      </c>
      <c r="M295" s="1376">
        <v>264</v>
      </c>
      <c r="N295" s="1376"/>
    </row>
    <row r="296" spans="1:14" s="1370" customFormat="1" x14ac:dyDescent="0.25">
      <c r="A296" s="1122" t="s">
        <v>1377</v>
      </c>
      <c r="B296" s="1026" t="str">
        <f ca="1">IF('[2]Pricing Schedule'!$K$5="No",_xlfn.CONCAT(IFERROR(SUBSTITUTE(ADDRESS(1,MATCH(A296,INDIRECT("'"&amp;E296&amp;"'"&amp;"!A10:Z10"),0),4),1,""),""),11),_xlfn.CONCAT(IFERROR(SUBSTITUTE(ADDRESS(1,MATCH(A296,INDIRECT("'"&amp;E296&amp;"'"&amp;"!A10:Z10"),0),4),1,""),""),35))</f>
        <v>G35</v>
      </c>
      <c r="C296" s="1026" t="str">
        <f ca="1">IF('[2]Pricing Schedule'!$K$5="No",IFERROR(SUBSTITUTE(ADDRESS(1,MATCH(A296,INDIRECT("'"&amp;E296&amp;"'"&amp;"!A10:Z10"),0),4),1,""),""),IFERROR(SUBSTITUTE(ADDRESS(1,MATCH(A296,INDIRECT("'"&amp;E296&amp;"'"&amp;"!A10:Z10"),0),4),1,""),""))</f>
        <v>G</v>
      </c>
      <c r="D296" s="1029" t="s">
        <v>1455</v>
      </c>
      <c r="E296" s="1029" t="s">
        <v>1372</v>
      </c>
      <c r="I296" s="1026" t="str">
        <f t="shared" si="32"/>
        <v>EB Markup Amt</v>
      </c>
      <c r="J296" s="1376" t="str">
        <f t="shared" si="34"/>
        <v>265</v>
      </c>
      <c r="K296" s="1376" t="str">
        <f t="shared" si="33"/>
        <v>Pricing Schedule</v>
      </c>
      <c r="L296" s="1090" t="s">
        <v>1377</v>
      </c>
      <c r="M296" s="1376">
        <v>265</v>
      </c>
      <c r="N296" s="1376"/>
    </row>
    <row r="297" spans="1:14" s="1370" customFormat="1" x14ac:dyDescent="0.25">
      <c r="A297" s="1122" t="s">
        <v>1378</v>
      </c>
      <c r="B297" s="1026" t="str">
        <f ca="1">IF('[2]Pricing Schedule'!$K$5="No",_xlfn.CONCAT(IFERROR(SUBSTITUTE(ADDRESS(1,MATCH(A297,INDIRECT("'"&amp;E297&amp;"'"&amp;"!A10:Z10"),0),4),1,""),""),11),_xlfn.CONCAT(IFERROR(SUBSTITUTE(ADDRESS(1,MATCH(A297,INDIRECT("'"&amp;E297&amp;"'"&amp;"!A10:Z10"),0),4),1,""),""),35))</f>
        <v>I35</v>
      </c>
      <c r="C297" s="1026" t="str">
        <f ca="1">IF('[2]Pricing Schedule'!$K$5="No",IFERROR(SUBSTITUTE(ADDRESS(1,MATCH(A297,INDIRECT("'"&amp;E297&amp;"'"&amp;"!A10:Z10"),0),4),1,""),""),IFERROR(SUBSTITUTE(ADDRESS(1,MATCH(A297,INDIRECT("'"&amp;E297&amp;"'"&amp;"!A10:Z10"),0),4),1,""),""))</f>
        <v>I</v>
      </c>
      <c r="D297" s="1029" t="s">
        <v>1455</v>
      </c>
      <c r="E297" s="1029" t="s">
        <v>1372</v>
      </c>
      <c r="I297" s="1026" t="str">
        <f t="shared" si="32"/>
        <v>Min CS Markup Override Flag</v>
      </c>
      <c r="J297" s="1376" t="str">
        <f t="shared" si="34"/>
        <v>266</v>
      </c>
      <c r="K297" s="1376" t="str">
        <f t="shared" si="33"/>
        <v>Pricing Schedule</v>
      </c>
      <c r="L297" s="1090" t="s">
        <v>1378</v>
      </c>
      <c r="M297" s="1376">
        <v>266</v>
      </c>
      <c r="N297" s="1376"/>
    </row>
    <row r="298" spans="1:14" s="1370" customFormat="1" x14ac:dyDescent="0.25">
      <c r="A298" s="1122" t="s">
        <v>1379</v>
      </c>
      <c r="B298" s="1026" t="str">
        <f ca="1">IF('[2]Pricing Schedule'!$K$5="No",_xlfn.CONCAT(IFERROR(SUBSTITUTE(ADDRESS(1,MATCH(A298,INDIRECT("'"&amp;E298&amp;"'"&amp;"!A10:Z10"),0),4),1,""),""),11),_xlfn.CONCAT(IFERROR(SUBSTITUTE(ADDRESS(1,MATCH(A298,INDIRECT("'"&amp;E298&amp;"'"&amp;"!A10:Z10"),0),4),1,""),""),35))</f>
        <v>J35</v>
      </c>
      <c r="C298" s="1026" t="str">
        <f ca="1">IF('[2]Pricing Schedule'!$K$5="No",IFERROR(SUBSTITUTE(ADDRESS(1,MATCH(A298,INDIRECT("'"&amp;E298&amp;"'"&amp;"!A10:Z10"),0),4),1,""),""),IFERROR(SUBSTITUTE(ADDRESS(1,MATCH(A298,INDIRECT("'"&amp;E298&amp;"'"&amp;"!A10:Z10"),0),4),1,""),""))</f>
        <v>J</v>
      </c>
      <c r="D298" s="1029" t="s">
        <v>1455</v>
      </c>
      <c r="E298" s="1029" t="s">
        <v>1372</v>
      </c>
      <c r="I298" s="1026" t="str">
        <f t="shared" si="32"/>
        <v>Min CS Markup Amt</v>
      </c>
      <c r="J298" s="1376" t="str">
        <f t="shared" si="34"/>
        <v>267</v>
      </c>
      <c r="K298" s="1376" t="str">
        <f t="shared" si="33"/>
        <v>Pricing Schedule</v>
      </c>
      <c r="L298" s="1090" t="s">
        <v>1379</v>
      </c>
      <c r="M298" s="1376">
        <v>267</v>
      </c>
      <c r="N298" s="1376"/>
    </row>
    <row r="299" spans="1:14" s="1370" customFormat="1" x14ac:dyDescent="0.25">
      <c r="A299" s="1122" t="s">
        <v>1380</v>
      </c>
      <c r="B299" s="1026" t="str">
        <f ca="1">IF('[2]Pricing Schedule'!$K$5="No",_xlfn.CONCAT(IFERROR(SUBSTITUTE(ADDRESS(1,MATCH(A299,INDIRECT("'"&amp;E299&amp;"'"&amp;"!A10:Z10"),0),4),1,""),""),11),_xlfn.CONCAT(IFERROR(SUBSTITUTE(ADDRESS(1,MATCH(A299,INDIRECT("'"&amp;E299&amp;"'"&amp;"!A10:Z10"),0),4),1,""),""),35))</f>
        <v>K35</v>
      </c>
      <c r="C299" s="1026" t="str">
        <f ca="1">IF('[2]Pricing Schedule'!$K$5="No",IFERROR(SUBSTITUTE(ADDRESS(1,MATCH(A299,INDIRECT("'"&amp;E299&amp;"'"&amp;"!A10:Z10"),0),4),1,""),""),IFERROR(SUBSTITUTE(ADDRESS(1,MATCH(A299,INDIRECT("'"&amp;E299&amp;"'"&amp;"!A10:Z10"),0),4),1,""),""))</f>
        <v>K</v>
      </c>
      <c r="D299" s="1029" t="s">
        <v>1455</v>
      </c>
      <c r="E299" s="1029" t="s">
        <v>1372</v>
      </c>
      <c r="I299" s="1026" t="str">
        <f t="shared" si="32"/>
        <v>Split Case Fee Override Flag</v>
      </c>
      <c r="J299" s="1376" t="str">
        <f t="shared" si="34"/>
        <v>268</v>
      </c>
      <c r="K299" s="1376" t="str">
        <f t="shared" si="33"/>
        <v>Pricing Schedule</v>
      </c>
      <c r="L299" s="1090" t="s">
        <v>1380</v>
      </c>
      <c r="M299" s="1376">
        <v>268</v>
      </c>
      <c r="N299" s="1376"/>
    </row>
    <row r="300" spans="1:14" s="1370" customFormat="1" x14ac:dyDescent="0.25">
      <c r="A300" s="1122" t="s">
        <v>1381</v>
      </c>
      <c r="B300" s="1026" t="str">
        <f ca="1">IF('[2]Pricing Schedule'!$K$5="No",_xlfn.CONCAT(IFERROR(SUBSTITUTE(ADDRESS(1,MATCH(A300,INDIRECT("'"&amp;E300&amp;"'"&amp;"!A10:Z10"),0),4),1,""),""),11),_xlfn.CONCAT(IFERROR(SUBSTITUTE(ADDRESS(1,MATCH(A300,INDIRECT("'"&amp;E300&amp;"'"&amp;"!A10:Z10"),0),4),1,""),""),35))</f>
        <v>L35</v>
      </c>
      <c r="C300" s="1026" t="str">
        <f ca="1">IF('[2]Pricing Schedule'!$K$5="No",IFERROR(SUBSTITUTE(ADDRESS(1,MATCH(A300,INDIRECT("'"&amp;E300&amp;"'"&amp;"!A10:Z10"),0),4),1,""),""),IFERROR(SUBSTITUTE(ADDRESS(1,MATCH(A300,INDIRECT("'"&amp;E300&amp;"'"&amp;"!A10:Z10"),0),4),1,""),""))</f>
        <v>L</v>
      </c>
      <c r="D300" s="1029" t="s">
        <v>1455</v>
      </c>
      <c r="E300" s="1029" t="s">
        <v>1372</v>
      </c>
      <c r="I300" s="1026" t="str">
        <f t="shared" si="32"/>
        <v>Split Case Fee</v>
      </c>
      <c r="J300" s="1376" t="str">
        <f t="shared" si="34"/>
        <v>269</v>
      </c>
      <c r="K300" s="1376" t="str">
        <f t="shared" si="33"/>
        <v>Pricing Schedule</v>
      </c>
      <c r="L300" s="1090" t="s">
        <v>1381</v>
      </c>
      <c r="M300" s="1376">
        <v>269</v>
      </c>
      <c r="N300" s="1376"/>
    </row>
    <row r="301" spans="1:14" s="1370" customFormat="1" x14ac:dyDescent="0.25">
      <c r="A301" s="1122" t="s">
        <v>1320</v>
      </c>
      <c r="B301" s="1026" t="str">
        <f ca="1">IF('[2]Pricing Schedule'!$K$5="No",_xlfn.CONCAT(IFERROR(SUBSTITUTE(ADDRESS(1,MATCH(A301,INDIRECT("'"&amp;E301&amp;"'"&amp;"!A10:Z10"),0),4),1,""),""),11),_xlfn.CONCAT(IFERROR(SUBSTITUTE(ADDRESS(1,MATCH(A301,INDIRECT("'"&amp;E301&amp;"'"&amp;"!A10:Z10"),0),4),1,""),""),35))</f>
        <v>M35</v>
      </c>
      <c r="C301" s="1026" t="str">
        <f ca="1">IF('[2]Pricing Schedule'!$K$5="No",IFERROR(SUBSTITUTE(ADDRESS(1,MATCH(A301,INDIRECT("'"&amp;E301&amp;"'"&amp;"!A10:Z10"),0),4),1,""),""),IFERROR(SUBSTITUTE(ADDRESS(1,MATCH(A301,INDIRECT("'"&amp;E301&amp;"'"&amp;"!A10:Z10"),0),4),1,""),""))</f>
        <v>M</v>
      </c>
      <c r="D301" s="1029" t="s">
        <v>1455</v>
      </c>
      <c r="E301" s="1029" t="s">
        <v>1372</v>
      </c>
      <c r="I301" s="1026" t="str">
        <f t="shared" si="32"/>
        <v>Split Case Per</v>
      </c>
      <c r="J301" s="1376" t="str">
        <f t="shared" si="34"/>
        <v>270</v>
      </c>
      <c r="K301" s="1376" t="str">
        <f t="shared" si="33"/>
        <v>Pricing Schedule</v>
      </c>
      <c r="L301" s="1090" t="s">
        <v>1320</v>
      </c>
      <c r="M301" s="1376">
        <v>270</v>
      </c>
      <c r="N301" s="1376"/>
    </row>
    <row r="302" spans="1:14" s="1370" customFormat="1" x14ac:dyDescent="0.25">
      <c r="A302" s="1117" t="s">
        <v>1382</v>
      </c>
      <c r="B302" s="1026" t="str">
        <f ca="1">IF('[2]Pricing Schedule'!$K$5="No",_xlfn.CONCAT(IFERROR(SUBSTITUTE(ADDRESS(1,MATCH(A302,INDIRECT("'"&amp;E302&amp;"'"&amp;"!A10:Z10"),0),4),1,""),""),11),_xlfn.CONCAT(IFERROR(SUBSTITUTE(ADDRESS(1,MATCH(A302,INDIRECT("'"&amp;E302&amp;"'"&amp;"!A10:Z10"),0),4),1,""),""),36))</f>
        <v>N36</v>
      </c>
      <c r="C302" s="1026" t="str">
        <f ca="1">IF('[2]Pricing Schedule'!$K$5="No",IFERROR(SUBSTITUTE(ADDRESS(1,MATCH(A302,INDIRECT("'"&amp;E302&amp;"'"&amp;"!A10:Z10"),0),4),1,""),""),IFERROR(SUBSTITUTE(ADDRESS(1,MATCH(A302,INDIRECT("'"&amp;E302&amp;"'"&amp;"!A10:Z10"),0),4),1,""),""))</f>
        <v>N</v>
      </c>
      <c r="D302" s="1029" t="s">
        <v>1455</v>
      </c>
      <c r="E302" s="1029" t="s">
        <v>1372</v>
      </c>
      <c r="I302" s="1026" t="str">
        <f t="shared" si="32"/>
        <v/>
      </c>
      <c r="J302" s="1376"/>
      <c r="K302" s="1376" t="str">
        <f t="shared" si="33"/>
        <v/>
      </c>
      <c r="L302" s="1090" t="s">
        <v>1382</v>
      </c>
      <c r="M302" s="1376">
        <v>271</v>
      </c>
      <c r="N302" s="1376"/>
    </row>
    <row r="303" spans="1:14" s="1370" customFormat="1" x14ac:dyDescent="0.25">
      <c r="A303" s="1118" t="s">
        <v>1373</v>
      </c>
      <c r="B303" s="1026" t="str">
        <f ca="1">IF('[2]Pricing Schedule'!$K$5="No",_xlfn.CONCAT(IFERROR(SUBSTITUTE(ADDRESS(1,MATCH(A303,INDIRECT("'"&amp;E303&amp;"'"&amp;"!A10:Z10"),0),4),1,""),""),11),_xlfn.CONCAT(IFERROR(SUBSTITUTE(ADDRESS(1,MATCH(A303,INDIRECT("'"&amp;E303&amp;"'"&amp;"!A10:Z10"),0),4),1,""),""),36))</f>
        <v>C36</v>
      </c>
      <c r="C303" s="1026" t="str">
        <f ca="1">IF('[2]Pricing Schedule'!$K$5="No",IFERROR(SUBSTITUTE(ADDRESS(1,MATCH(A303,INDIRECT("'"&amp;E303&amp;"'"&amp;"!A10:Z10"),0),4),1,""),""),IFERROR(SUBSTITUTE(ADDRESS(1,MATCH(A303,INDIRECT("'"&amp;E303&amp;"'"&amp;"!A10:Z10"),0),4),1,""),""))</f>
        <v>C</v>
      </c>
      <c r="D303" s="1029" t="s">
        <v>1455</v>
      </c>
      <c r="E303" s="1029" t="s">
        <v>1372</v>
      </c>
      <c r="I303" s="1026" t="str">
        <f t="shared" si="32"/>
        <v/>
      </c>
      <c r="J303" s="1376"/>
      <c r="K303" s="1376" t="str">
        <f t="shared" si="33"/>
        <v/>
      </c>
      <c r="L303" s="1090" t="s">
        <v>254</v>
      </c>
      <c r="M303" s="1376">
        <v>272</v>
      </c>
      <c r="N303" s="1376"/>
    </row>
    <row r="304" spans="1:14" s="1370" customFormat="1" x14ac:dyDescent="0.25">
      <c r="A304" s="1118" t="s">
        <v>1338</v>
      </c>
      <c r="B304" s="1026" t="str">
        <f ca="1">IF('[2]Pricing Schedule'!$K$5="No",_xlfn.CONCAT(IFERROR(SUBSTITUTE(ADDRESS(1,MATCH(A304,INDIRECT("'"&amp;E304&amp;"'"&amp;"!A10:Z10"),0),4),1,""),""),11),_xlfn.CONCAT(IFERROR(SUBSTITUTE(ADDRESS(1,MATCH(A304,INDIRECT("'"&amp;E304&amp;"'"&amp;"!A10:Z10"),0),4),1,""),""),36))</f>
        <v>H36</v>
      </c>
      <c r="C304" s="1026" t="str">
        <f ca="1">IF('[2]Pricing Schedule'!$K$5="No",IFERROR(SUBSTITUTE(ADDRESS(1,MATCH(A304,INDIRECT("'"&amp;E304&amp;"'"&amp;"!A10:Z10"),0),4),1,""),""),IFERROR(SUBSTITUTE(ADDRESS(1,MATCH(A304,INDIRECT("'"&amp;E304&amp;"'"&amp;"!A10:Z10"),0),4),1,""),""))</f>
        <v>H</v>
      </c>
      <c r="D304" s="1029" t="s">
        <v>1455</v>
      </c>
      <c r="E304" s="1029" t="s">
        <v>1372</v>
      </c>
      <c r="I304" s="1026" t="str">
        <f t="shared" si="32"/>
        <v/>
      </c>
      <c r="J304" s="1376"/>
      <c r="K304" s="1376" t="str">
        <f t="shared" si="33"/>
        <v/>
      </c>
      <c r="L304" s="1090" t="s">
        <v>1338</v>
      </c>
      <c r="M304" s="1376">
        <v>273</v>
      </c>
      <c r="N304" s="1376"/>
    </row>
    <row r="305" spans="1:14" s="1370" customFormat="1" x14ac:dyDescent="0.25">
      <c r="A305" s="1118" t="s">
        <v>1376</v>
      </c>
      <c r="B305" s="1026" t="str">
        <f ca="1">IF('[2]Pricing Schedule'!$K$5="No",_xlfn.CONCAT(IFERROR(SUBSTITUTE(ADDRESS(1,MATCH(A305,INDIRECT("'"&amp;E305&amp;"'"&amp;"!A10:Z10"),0),4),1,""),""),11),_xlfn.CONCAT(IFERROR(SUBSTITUTE(ADDRESS(1,MATCH(A305,INDIRECT("'"&amp;E305&amp;"'"&amp;"!A10:Z10"),0),4),1,""),""),36))</f>
        <v>F36</v>
      </c>
      <c r="C305" s="1026" t="str">
        <f ca="1">IF('[2]Pricing Schedule'!$K$5="No",IFERROR(SUBSTITUTE(ADDRESS(1,MATCH(A305,INDIRECT("'"&amp;E305&amp;"'"&amp;"!A10:Z10"),0),4),1,""),""),IFERROR(SUBSTITUTE(ADDRESS(1,MATCH(A305,INDIRECT("'"&amp;E305&amp;"'"&amp;"!A10:Z10"),0),4),1,""),""))</f>
        <v>F</v>
      </c>
      <c r="D305" s="1029" t="s">
        <v>1455</v>
      </c>
      <c r="E305" s="1029" t="s">
        <v>1372</v>
      </c>
      <c r="I305" s="1026" t="str">
        <f t="shared" si="32"/>
        <v/>
      </c>
      <c r="J305" s="1376"/>
      <c r="K305" s="1376" t="str">
        <f t="shared" si="33"/>
        <v/>
      </c>
      <c r="L305" s="1090" t="s">
        <v>225</v>
      </c>
      <c r="M305" s="1376">
        <v>274</v>
      </c>
      <c r="N305" s="1376"/>
    </row>
    <row r="306" spans="1:14" s="1370" customFormat="1" x14ac:dyDescent="0.25">
      <c r="A306" s="1119" t="s">
        <v>466</v>
      </c>
      <c r="B306" s="1026" t="str">
        <f ca="1">_xlfn.CONCAT(IFERROR(SUBSTITUTE(ADDRESS(1,MATCH(A306,INDIRECT("'"&amp;E306&amp;"'"&amp;"!A9:Z9"),0),4),1,""),""),12)</f>
        <v>E12</v>
      </c>
      <c r="C306" s="1026" t="str">
        <f ca="1">_xlfn.CONCAT(IFERROR(SUBSTITUTE(ADDRESS(1,MATCH(A306,INDIRECT("'"&amp;E306&amp;"'"&amp;"!A9:Z9"),0),4),1,""),""))</f>
        <v>E</v>
      </c>
      <c r="D306" s="1376" t="s">
        <v>1455</v>
      </c>
      <c r="E306" s="1029" t="s">
        <v>208</v>
      </c>
      <c r="I306" s="1026" t="str">
        <f t="shared" si="32"/>
        <v>Exclude PIM Classes Below</v>
      </c>
      <c r="J306" s="1376" t="str">
        <f t="shared" si="34"/>
        <v>275</v>
      </c>
      <c r="K306" s="1376" t="str">
        <f t="shared" si="33"/>
        <v>PIM Model</v>
      </c>
      <c r="L306" s="1090" t="s">
        <v>466</v>
      </c>
      <c r="M306" s="1376">
        <v>275</v>
      </c>
      <c r="N306" s="1376"/>
    </row>
    <row r="307" spans="1:14" s="1370" customFormat="1" x14ac:dyDescent="0.25">
      <c r="A307" s="1119" t="s">
        <v>1375</v>
      </c>
      <c r="B307" s="1026" t="str">
        <f ca="1">IF('[2]Pricing Schedule'!$K$5="No",_xlfn.CONCAT(IFERROR(SUBSTITUTE(ADDRESS(1,MATCH(A307,INDIRECT("'"&amp;E307&amp;"'"&amp;"!A10:Z10"),0),4),1,""),""),11),_xlfn.CONCAT(IFERROR(SUBSTITUTE(ADDRESS(1,MATCH(A307,INDIRECT("'"&amp;E307&amp;"'"&amp;"!A10:Z10"),0),4),1,""),""),36))</f>
        <v>E36</v>
      </c>
      <c r="C307" s="1026" t="str">
        <f ca="1">IF('[2]Pricing Schedule'!$K$5="No",IFERROR(SUBSTITUTE(ADDRESS(1,MATCH(A307,INDIRECT("'"&amp;E307&amp;"'"&amp;"!A10:Z10"),0),4),1,""),""),IFERROR(SUBSTITUTE(ADDRESS(1,MATCH(A307,INDIRECT("'"&amp;E307&amp;"'"&amp;"!A10:Z10"),0),4),1,""),""))</f>
        <v>E</v>
      </c>
      <c r="D307" s="1029" t="s">
        <v>1455</v>
      </c>
      <c r="E307" s="1029" t="s">
        <v>1372</v>
      </c>
      <c r="I307" s="1026" t="str">
        <f t="shared" si="32"/>
        <v>Special Pricing Code</v>
      </c>
      <c r="J307" s="1376" t="str">
        <f t="shared" si="34"/>
        <v>276</v>
      </c>
      <c r="K307" s="1376" t="str">
        <f t="shared" si="33"/>
        <v>Pricing Schedule</v>
      </c>
      <c r="L307" s="1090" t="s">
        <v>1375</v>
      </c>
      <c r="M307" s="1376">
        <v>276</v>
      </c>
      <c r="N307" s="1376"/>
    </row>
    <row r="308" spans="1:14" s="1370" customFormat="1" x14ac:dyDescent="0.25">
      <c r="A308" s="1119" t="s">
        <v>1377</v>
      </c>
      <c r="B308" s="1026" t="str">
        <f ca="1">IF('[2]Pricing Schedule'!$K$5="No",_xlfn.CONCAT(IFERROR(SUBSTITUTE(ADDRESS(1,MATCH(A308,INDIRECT("'"&amp;E308&amp;"'"&amp;"!A10:Z10"),0),4),1,""),""),11),_xlfn.CONCAT(IFERROR(SUBSTITUTE(ADDRESS(1,MATCH(A308,INDIRECT("'"&amp;E308&amp;"'"&amp;"!A10:Z10"),0),4),1,""),""),36))</f>
        <v>G36</v>
      </c>
      <c r="C308" s="1026" t="str">
        <f ca="1">IF('[2]Pricing Schedule'!$K$5="No",IFERROR(SUBSTITUTE(ADDRESS(1,MATCH(A308,INDIRECT("'"&amp;E308&amp;"'"&amp;"!A10:Z10"),0),4),1,""),""),IFERROR(SUBSTITUTE(ADDRESS(1,MATCH(A308,INDIRECT("'"&amp;E308&amp;"'"&amp;"!A10:Z10"),0),4),1,""),""))</f>
        <v>G</v>
      </c>
      <c r="D308" s="1029" t="s">
        <v>1455</v>
      </c>
      <c r="E308" s="1029" t="s">
        <v>1372</v>
      </c>
      <c r="I308" s="1026" t="str">
        <f t="shared" si="32"/>
        <v>EB Markup Amt</v>
      </c>
      <c r="J308" s="1376" t="str">
        <f t="shared" si="34"/>
        <v>277</v>
      </c>
      <c r="K308" s="1376" t="str">
        <f t="shared" si="33"/>
        <v>Pricing Schedule</v>
      </c>
      <c r="L308" s="1090" t="s">
        <v>1377</v>
      </c>
      <c r="M308" s="1376">
        <v>277</v>
      </c>
      <c r="N308" s="1376"/>
    </row>
    <row r="309" spans="1:14" s="1370" customFormat="1" x14ac:dyDescent="0.25">
      <c r="A309" s="1119" t="s">
        <v>1378</v>
      </c>
      <c r="B309" s="1026" t="str">
        <f ca="1">IF('[2]Pricing Schedule'!$K$5="No",_xlfn.CONCAT(IFERROR(SUBSTITUTE(ADDRESS(1,MATCH(A309,INDIRECT("'"&amp;E309&amp;"'"&amp;"!A10:Z10"),0),4),1,""),""),11),_xlfn.CONCAT(IFERROR(SUBSTITUTE(ADDRESS(1,MATCH(A309,INDIRECT("'"&amp;E309&amp;"'"&amp;"!A10:Z10"),0),4),1,""),""),36))</f>
        <v>I36</v>
      </c>
      <c r="C309" s="1026" t="str">
        <f ca="1">IF('[2]Pricing Schedule'!$K$5="No",IFERROR(SUBSTITUTE(ADDRESS(1,MATCH(A309,INDIRECT("'"&amp;E309&amp;"'"&amp;"!A10:Z10"),0),4),1,""),""),IFERROR(SUBSTITUTE(ADDRESS(1,MATCH(A309,INDIRECT("'"&amp;E309&amp;"'"&amp;"!A10:Z10"),0),4),1,""),""))</f>
        <v>I</v>
      </c>
      <c r="D309" s="1029" t="s">
        <v>1455</v>
      </c>
      <c r="E309" s="1029" t="s">
        <v>1372</v>
      </c>
      <c r="I309" s="1026" t="str">
        <f t="shared" si="32"/>
        <v>Min CS Markup Override Flag</v>
      </c>
      <c r="J309" s="1376" t="str">
        <f t="shared" si="34"/>
        <v>278</v>
      </c>
      <c r="K309" s="1376" t="str">
        <f t="shared" si="33"/>
        <v>Pricing Schedule</v>
      </c>
      <c r="L309" s="1090" t="s">
        <v>1378</v>
      </c>
      <c r="M309" s="1376">
        <v>278</v>
      </c>
      <c r="N309" s="1376"/>
    </row>
    <row r="310" spans="1:14" s="1370" customFormat="1" x14ac:dyDescent="0.25">
      <c r="A310" s="1119" t="s">
        <v>1379</v>
      </c>
      <c r="B310" s="1026" t="str">
        <f ca="1">IF('[2]Pricing Schedule'!$K$5="No",_xlfn.CONCAT(IFERROR(SUBSTITUTE(ADDRESS(1,MATCH(A310,INDIRECT("'"&amp;E310&amp;"'"&amp;"!A10:Z10"),0),4),1,""),""),11),_xlfn.CONCAT(IFERROR(SUBSTITUTE(ADDRESS(1,MATCH(A310,INDIRECT("'"&amp;E310&amp;"'"&amp;"!A10:Z10"),0),4),1,""),""),36))</f>
        <v>J36</v>
      </c>
      <c r="C310" s="1026" t="str">
        <f ca="1">IF('[2]Pricing Schedule'!$K$5="No",IFERROR(SUBSTITUTE(ADDRESS(1,MATCH(A310,INDIRECT("'"&amp;E310&amp;"'"&amp;"!A10:Z10"),0),4),1,""),""),IFERROR(SUBSTITUTE(ADDRESS(1,MATCH(A310,INDIRECT("'"&amp;E310&amp;"'"&amp;"!A10:Z10"),0),4),1,""),""))</f>
        <v>J</v>
      </c>
      <c r="D310" s="1029" t="s">
        <v>1455</v>
      </c>
      <c r="E310" s="1029" t="s">
        <v>1372</v>
      </c>
      <c r="I310" s="1026" t="str">
        <f t="shared" si="32"/>
        <v>Min CS Markup Amt</v>
      </c>
      <c r="J310" s="1376" t="str">
        <f t="shared" si="34"/>
        <v>279</v>
      </c>
      <c r="K310" s="1376" t="str">
        <f t="shared" si="33"/>
        <v>Pricing Schedule</v>
      </c>
      <c r="L310" s="1090" t="s">
        <v>1379</v>
      </c>
      <c r="M310" s="1376">
        <v>279</v>
      </c>
      <c r="N310" s="1376"/>
    </row>
    <row r="311" spans="1:14" s="1370" customFormat="1" x14ac:dyDescent="0.25">
      <c r="A311" s="1119" t="s">
        <v>1380</v>
      </c>
      <c r="B311" s="1026" t="str">
        <f ca="1">IF('[2]Pricing Schedule'!$K$5="No",_xlfn.CONCAT(IFERROR(SUBSTITUTE(ADDRESS(1,MATCH(A311,INDIRECT("'"&amp;E311&amp;"'"&amp;"!A10:Z10"),0),4),1,""),""),11),_xlfn.CONCAT(IFERROR(SUBSTITUTE(ADDRESS(1,MATCH(A311,INDIRECT("'"&amp;E311&amp;"'"&amp;"!A10:Z10"),0),4),1,""),""),36))</f>
        <v>K36</v>
      </c>
      <c r="C311" s="1026" t="str">
        <f ca="1">IF('[2]Pricing Schedule'!$K$5="No",IFERROR(SUBSTITUTE(ADDRESS(1,MATCH(A311,INDIRECT("'"&amp;E311&amp;"'"&amp;"!A10:Z10"),0),4),1,""),""),IFERROR(SUBSTITUTE(ADDRESS(1,MATCH(A311,INDIRECT("'"&amp;E311&amp;"'"&amp;"!A10:Z10"),0),4),1,""),""))</f>
        <v>K</v>
      </c>
      <c r="D311" s="1029" t="s">
        <v>1455</v>
      </c>
      <c r="E311" s="1029" t="s">
        <v>1372</v>
      </c>
      <c r="I311" s="1026" t="str">
        <f t="shared" si="32"/>
        <v>Split Case Fee Override Flag</v>
      </c>
      <c r="J311" s="1376" t="str">
        <f t="shared" si="34"/>
        <v>280</v>
      </c>
      <c r="K311" s="1376" t="str">
        <f t="shared" si="33"/>
        <v>Pricing Schedule</v>
      </c>
      <c r="L311" s="1090" t="s">
        <v>1380</v>
      </c>
      <c r="M311" s="1376">
        <v>280</v>
      </c>
      <c r="N311" s="1376"/>
    </row>
    <row r="312" spans="1:14" s="1370" customFormat="1" x14ac:dyDescent="0.25">
      <c r="A312" s="1119" t="s">
        <v>1381</v>
      </c>
      <c r="B312" s="1026" t="str">
        <f ca="1">IF('[2]Pricing Schedule'!$K$5="No",_xlfn.CONCAT(IFERROR(SUBSTITUTE(ADDRESS(1,MATCH(A312,INDIRECT("'"&amp;E312&amp;"'"&amp;"!A10:Z10"),0),4),1,""),""),11),_xlfn.CONCAT(IFERROR(SUBSTITUTE(ADDRESS(1,MATCH(A312,INDIRECT("'"&amp;E312&amp;"'"&amp;"!A10:Z10"),0),4),1,""),""),36))</f>
        <v>L36</v>
      </c>
      <c r="C312" s="1026" t="str">
        <f ca="1">IF('[2]Pricing Schedule'!$K$5="No",IFERROR(SUBSTITUTE(ADDRESS(1,MATCH(A312,INDIRECT("'"&amp;E312&amp;"'"&amp;"!A10:Z10"),0),4),1,""),""),IFERROR(SUBSTITUTE(ADDRESS(1,MATCH(A312,INDIRECT("'"&amp;E312&amp;"'"&amp;"!A10:Z10"),0),4),1,""),""))</f>
        <v>L</v>
      </c>
      <c r="D312" s="1029" t="s">
        <v>1455</v>
      </c>
      <c r="E312" s="1029" t="s">
        <v>1372</v>
      </c>
      <c r="I312" s="1026" t="str">
        <f t="shared" si="32"/>
        <v>Split Case Fee</v>
      </c>
      <c r="J312" s="1376" t="str">
        <f t="shared" si="34"/>
        <v>281</v>
      </c>
      <c r="K312" s="1376" t="str">
        <f t="shared" si="33"/>
        <v>Pricing Schedule</v>
      </c>
      <c r="L312" s="1090" t="s">
        <v>1381</v>
      </c>
      <c r="M312" s="1376">
        <v>281</v>
      </c>
      <c r="N312" s="1376"/>
    </row>
    <row r="313" spans="1:14" s="1370" customFormat="1" x14ac:dyDescent="0.25">
      <c r="A313" s="1119" t="s">
        <v>1320</v>
      </c>
      <c r="B313" s="1026" t="str">
        <f ca="1">IF('[2]Pricing Schedule'!$K$5="No",_xlfn.CONCAT(IFERROR(SUBSTITUTE(ADDRESS(1,MATCH(A313,INDIRECT("'"&amp;E313&amp;"'"&amp;"!A10:Z10"),0),4),1,""),""),11),_xlfn.CONCAT(IFERROR(SUBSTITUTE(ADDRESS(1,MATCH(A313,INDIRECT("'"&amp;E313&amp;"'"&amp;"!A10:Z10"),0),4),1,""),""),36))</f>
        <v>M36</v>
      </c>
      <c r="C313" s="1026" t="str">
        <f ca="1">IF('[2]Pricing Schedule'!$K$5="No",IFERROR(SUBSTITUTE(ADDRESS(1,MATCH(A313,INDIRECT("'"&amp;E313&amp;"'"&amp;"!A10:Z10"),0),4),1,""),""),IFERROR(SUBSTITUTE(ADDRESS(1,MATCH(A313,INDIRECT("'"&amp;E313&amp;"'"&amp;"!A10:Z10"),0),4),1,""),""))</f>
        <v>M</v>
      </c>
      <c r="D313" s="1029" t="s">
        <v>1455</v>
      </c>
      <c r="E313" s="1029" t="s">
        <v>1372</v>
      </c>
      <c r="I313" s="1026" t="str">
        <f t="shared" si="32"/>
        <v>Split Case Per</v>
      </c>
      <c r="J313" s="1376" t="str">
        <f t="shared" si="34"/>
        <v>282</v>
      </c>
      <c r="K313" s="1376" t="str">
        <f t="shared" si="33"/>
        <v>Pricing Schedule</v>
      </c>
      <c r="L313" s="1090" t="s">
        <v>1320</v>
      </c>
      <c r="M313" s="1376">
        <v>282</v>
      </c>
      <c r="N313" s="1376"/>
    </row>
    <row r="314" spans="1:14" s="1370" customFormat="1" x14ac:dyDescent="0.25">
      <c r="A314" s="1120" t="s">
        <v>1382</v>
      </c>
      <c r="B314" s="1026" t="str">
        <f ca="1">IF('[2]Pricing Schedule'!$K$5="No",_xlfn.CONCAT(IFERROR(SUBSTITUTE(ADDRESS(1,MATCH(A314,INDIRECT("'"&amp;E314&amp;"'"&amp;"!A10:Z10"),0),4),1,""),""),12),_xlfn.CONCAT(IFERROR(SUBSTITUTE(ADDRESS(1,MATCH(A314,INDIRECT("'"&amp;E314&amp;"'"&amp;"!A10:Z10"),0),4),1,""),""),46))</f>
        <v>N46</v>
      </c>
      <c r="C314" s="1026" t="str">
        <f ca="1">IF('[2]Pricing Schedule'!$K$5="No",IFERROR(SUBSTITUTE(ADDRESS(1,MATCH(A314,INDIRECT("'"&amp;E314&amp;"'"&amp;"!A10:Z10"),0),4),1,""),""),IFERROR(SUBSTITUTE(ADDRESS(1,MATCH(A314,INDIRECT("'"&amp;E314&amp;"'"&amp;"!A10:Z10"),0),4),1,""),""))</f>
        <v>N</v>
      </c>
      <c r="D314" s="1029" t="s">
        <v>1455</v>
      </c>
      <c r="E314" s="1029" t="s">
        <v>1372</v>
      </c>
      <c r="I314" s="1026" t="str">
        <f t="shared" si="32"/>
        <v/>
      </c>
      <c r="J314" s="1376"/>
      <c r="K314" s="1376" t="str">
        <f t="shared" si="33"/>
        <v/>
      </c>
      <c r="L314" s="1090" t="s">
        <v>1382</v>
      </c>
      <c r="M314" s="1376">
        <v>283</v>
      </c>
      <c r="N314" s="1376"/>
    </row>
    <row r="315" spans="1:14" s="1370" customFormat="1" x14ac:dyDescent="0.25">
      <c r="A315" s="1121" t="s">
        <v>1373</v>
      </c>
      <c r="B315" s="1026" t="str">
        <f ca="1">IF('[2]Pricing Schedule'!$K$5="No",_xlfn.CONCAT(IFERROR(SUBSTITUTE(ADDRESS(1,MATCH(A315,INDIRECT("'"&amp;E315&amp;"'"&amp;"!A10:Z10"),0),4),1,""),""),12),_xlfn.CONCAT(IFERROR(SUBSTITUTE(ADDRESS(1,MATCH(A315,INDIRECT("'"&amp;E315&amp;"'"&amp;"!A10:Z10"),0),4),1,""),""),46))</f>
        <v>C46</v>
      </c>
      <c r="C315" s="1026" t="str">
        <f ca="1">IF('[2]Pricing Schedule'!$K$5="No",IFERROR(SUBSTITUTE(ADDRESS(1,MATCH(A315,INDIRECT("'"&amp;E315&amp;"'"&amp;"!A10:Z10"),0),4),1,""),""),IFERROR(SUBSTITUTE(ADDRESS(1,MATCH(A315,INDIRECT("'"&amp;E315&amp;"'"&amp;"!A10:Z10"),0),4),1,""),""))</f>
        <v>C</v>
      </c>
      <c r="D315" s="1029" t="s">
        <v>1455</v>
      </c>
      <c r="E315" s="1029" t="s">
        <v>1372</v>
      </c>
      <c r="I315" s="1026" t="str">
        <f t="shared" si="32"/>
        <v/>
      </c>
      <c r="J315" s="1376"/>
      <c r="K315" s="1376" t="str">
        <f t="shared" si="33"/>
        <v/>
      </c>
      <c r="L315" s="1090" t="s">
        <v>254</v>
      </c>
      <c r="M315" s="1376">
        <v>284</v>
      </c>
      <c r="N315" s="1376"/>
    </row>
    <row r="316" spans="1:14" s="1370" customFormat="1" x14ac:dyDescent="0.25">
      <c r="A316" s="1121" t="s">
        <v>1338</v>
      </c>
      <c r="B316" s="1026" t="str">
        <f ca="1">IF('[2]Pricing Schedule'!$K$5="No",_xlfn.CONCAT(IFERROR(SUBSTITUTE(ADDRESS(1,MATCH(A316,INDIRECT("'"&amp;E316&amp;"'"&amp;"!A10:Z10"),0),4),1,""),""),12),_xlfn.CONCAT(IFERROR(SUBSTITUTE(ADDRESS(1,MATCH(A316,INDIRECT("'"&amp;E316&amp;"'"&amp;"!A10:Z10"),0),4),1,""),""),46))</f>
        <v>H46</v>
      </c>
      <c r="C316" s="1026" t="str">
        <f ca="1">IF('[2]Pricing Schedule'!$K$5="No",IFERROR(SUBSTITUTE(ADDRESS(1,MATCH(A316,INDIRECT("'"&amp;E316&amp;"'"&amp;"!A10:Z10"),0),4),1,""),""),IFERROR(SUBSTITUTE(ADDRESS(1,MATCH(A316,INDIRECT("'"&amp;E316&amp;"'"&amp;"!A10:Z10"),0),4),1,""),""))</f>
        <v>H</v>
      </c>
      <c r="D316" s="1029" t="s">
        <v>1455</v>
      </c>
      <c r="E316" s="1029" t="s">
        <v>1372</v>
      </c>
      <c r="I316" s="1026" t="str">
        <f t="shared" si="32"/>
        <v/>
      </c>
      <c r="J316" s="1376"/>
      <c r="K316" s="1376" t="str">
        <f t="shared" si="33"/>
        <v/>
      </c>
      <c r="L316" s="1090" t="s">
        <v>1338</v>
      </c>
      <c r="M316" s="1376">
        <v>285</v>
      </c>
      <c r="N316" s="1376"/>
    </row>
    <row r="317" spans="1:14" s="1370" customFormat="1" x14ac:dyDescent="0.25">
      <c r="A317" s="1121" t="s">
        <v>1376</v>
      </c>
      <c r="B317" s="1026" t="str">
        <f ca="1">IF('[2]Pricing Schedule'!$K$5="No",_xlfn.CONCAT(IFERROR(SUBSTITUTE(ADDRESS(1,MATCH(A317,INDIRECT("'"&amp;E317&amp;"'"&amp;"!A10:Z10"),0),4),1,""),""),12),_xlfn.CONCAT(IFERROR(SUBSTITUTE(ADDRESS(1,MATCH(A317,INDIRECT("'"&amp;E317&amp;"'"&amp;"!A10:Z10"),0),4),1,""),""),46))</f>
        <v>F46</v>
      </c>
      <c r="C317" s="1026" t="str">
        <f ca="1">IF('[2]Pricing Schedule'!$K$5="No",IFERROR(SUBSTITUTE(ADDRESS(1,MATCH(A317,INDIRECT("'"&amp;E317&amp;"'"&amp;"!A10:Z10"),0),4),1,""),""),IFERROR(SUBSTITUTE(ADDRESS(1,MATCH(A317,INDIRECT("'"&amp;E317&amp;"'"&amp;"!A10:Z10"),0),4),1,""),""))</f>
        <v>F</v>
      </c>
      <c r="D317" s="1029" t="s">
        <v>1455</v>
      </c>
      <c r="E317" s="1029" t="s">
        <v>1372</v>
      </c>
      <c r="I317" s="1026" t="str">
        <f t="shared" si="32"/>
        <v/>
      </c>
      <c r="J317" s="1376"/>
      <c r="K317" s="1376" t="str">
        <f t="shared" si="33"/>
        <v/>
      </c>
      <c r="L317" s="1090" t="s">
        <v>225</v>
      </c>
      <c r="M317" s="1376">
        <v>286</v>
      </c>
      <c r="N317" s="1376"/>
    </row>
    <row r="318" spans="1:14" s="1370" customFormat="1" x14ac:dyDescent="0.25">
      <c r="A318" s="1122" t="s">
        <v>466</v>
      </c>
      <c r="B318" s="1026" t="str">
        <f ca="1">_xlfn.CONCAT(IFERROR(SUBSTITUTE(ADDRESS(1,MATCH(A318,INDIRECT("'"&amp;E318&amp;"'"&amp;"!A9:Z9"),0),4),1,""),""),13)</f>
        <v>E13</v>
      </c>
      <c r="C318" s="1026" t="str">
        <f ca="1">_xlfn.CONCAT(IFERROR(SUBSTITUTE(ADDRESS(1,MATCH(A318,INDIRECT("'"&amp;E318&amp;"'"&amp;"!A9:Z9"),0),4),1,""),""))</f>
        <v>E</v>
      </c>
      <c r="D318" s="1376" t="s">
        <v>1455</v>
      </c>
      <c r="E318" s="1029" t="s">
        <v>208</v>
      </c>
      <c r="I318" s="1026" t="str">
        <f t="shared" si="32"/>
        <v>Exclude PIM Classes Below</v>
      </c>
      <c r="J318" s="1376" t="str">
        <f t="shared" si="34"/>
        <v>287</v>
      </c>
      <c r="K318" s="1376" t="str">
        <f t="shared" si="33"/>
        <v>PIM Model</v>
      </c>
      <c r="L318" s="1090" t="s">
        <v>466</v>
      </c>
      <c r="M318" s="1376">
        <v>287</v>
      </c>
      <c r="N318" s="1376"/>
    </row>
    <row r="319" spans="1:14" s="1370" customFormat="1" x14ac:dyDescent="0.25">
      <c r="A319" s="1122" t="s">
        <v>1375</v>
      </c>
      <c r="B319" s="1026" t="str">
        <f ca="1">IF('[2]Pricing Schedule'!$K$5="No",_xlfn.CONCAT(IFERROR(SUBSTITUTE(ADDRESS(1,MATCH(A319,INDIRECT("'"&amp;E319&amp;"'"&amp;"!A10:Z10"),0),4),1,""),""),12),_xlfn.CONCAT(IFERROR(SUBSTITUTE(ADDRESS(1,MATCH(A319,INDIRECT("'"&amp;E319&amp;"'"&amp;"!A10:Z10"),0),4),1,""),""),46))</f>
        <v>E46</v>
      </c>
      <c r="C319" s="1026" t="str">
        <f ca="1">IF('[2]Pricing Schedule'!$K$5="No",IFERROR(SUBSTITUTE(ADDRESS(1,MATCH(A319,INDIRECT("'"&amp;E319&amp;"'"&amp;"!A10:Z10"),0),4),1,""),""),IFERROR(SUBSTITUTE(ADDRESS(1,MATCH(A319,INDIRECT("'"&amp;E319&amp;"'"&amp;"!A10:Z10"),0),4),1,""),""))</f>
        <v>E</v>
      </c>
      <c r="D319" s="1029" t="s">
        <v>1455</v>
      </c>
      <c r="E319" s="1029" t="s">
        <v>1372</v>
      </c>
      <c r="I319" s="1026" t="str">
        <f t="shared" si="32"/>
        <v>Special Pricing Code</v>
      </c>
      <c r="J319" s="1376" t="str">
        <f t="shared" si="34"/>
        <v>288</v>
      </c>
      <c r="K319" s="1376" t="str">
        <f t="shared" si="33"/>
        <v>Pricing Schedule</v>
      </c>
      <c r="L319" s="1090" t="s">
        <v>1375</v>
      </c>
      <c r="M319" s="1376">
        <v>288</v>
      </c>
      <c r="N319" s="1376"/>
    </row>
    <row r="320" spans="1:14" s="1370" customFormat="1" x14ac:dyDescent="0.25">
      <c r="A320" s="1122" t="s">
        <v>1377</v>
      </c>
      <c r="B320" s="1026" t="str">
        <f ca="1">IF('[2]Pricing Schedule'!$K$5="No",_xlfn.CONCAT(IFERROR(SUBSTITUTE(ADDRESS(1,MATCH(A320,INDIRECT("'"&amp;E320&amp;"'"&amp;"!A10:Z10"),0),4),1,""),""),12),_xlfn.CONCAT(IFERROR(SUBSTITUTE(ADDRESS(1,MATCH(A320,INDIRECT("'"&amp;E320&amp;"'"&amp;"!A10:Z10"),0),4),1,""),""),46))</f>
        <v>G46</v>
      </c>
      <c r="C320" s="1026" t="str">
        <f ca="1">IF('[2]Pricing Schedule'!$K$5="No",IFERROR(SUBSTITUTE(ADDRESS(1,MATCH(A320,INDIRECT("'"&amp;E320&amp;"'"&amp;"!A10:Z10"),0),4),1,""),""),IFERROR(SUBSTITUTE(ADDRESS(1,MATCH(A320,INDIRECT("'"&amp;E320&amp;"'"&amp;"!A10:Z10"),0),4),1,""),""))</f>
        <v>G</v>
      </c>
      <c r="D320" s="1029" t="s">
        <v>1455</v>
      </c>
      <c r="E320" s="1029" t="s">
        <v>1372</v>
      </c>
      <c r="I320" s="1026" t="str">
        <f t="shared" si="32"/>
        <v>EB Markup Amt</v>
      </c>
      <c r="J320" s="1376" t="str">
        <f t="shared" si="34"/>
        <v>289</v>
      </c>
      <c r="K320" s="1376" t="str">
        <f t="shared" si="33"/>
        <v>Pricing Schedule</v>
      </c>
      <c r="L320" s="1090" t="s">
        <v>1377</v>
      </c>
      <c r="M320" s="1376">
        <v>289</v>
      </c>
      <c r="N320" s="1376"/>
    </row>
    <row r="321" spans="1:14" s="1370" customFormat="1" x14ac:dyDescent="0.25">
      <c r="A321" s="1122" t="s">
        <v>1378</v>
      </c>
      <c r="B321" s="1026" t="str">
        <f ca="1">IF('[2]Pricing Schedule'!$K$5="No",_xlfn.CONCAT(IFERROR(SUBSTITUTE(ADDRESS(1,MATCH(A321,INDIRECT("'"&amp;E321&amp;"'"&amp;"!A10:Z10"),0),4),1,""),""),12),_xlfn.CONCAT(IFERROR(SUBSTITUTE(ADDRESS(1,MATCH(A321,INDIRECT("'"&amp;E321&amp;"'"&amp;"!A10:Z10"),0),4),1,""),""),46))</f>
        <v>I46</v>
      </c>
      <c r="C321" s="1026" t="str">
        <f ca="1">IF('[2]Pricing Schedule'!$K$5="No",IFERROR(SUBSTITUTE(ADDRESS(1,MATCH(A321,INDIRECT("'"&amp;E321&amp;"'"&amp;"!A10:Z10"),0),4),1,""),""),IFERROR(SUBSTITUTE(ADDRESS(1,MATCH(A321,INDIRECT("'"&amp;E321&amp;"'"&amp;"!A10:Z10"),0),4),1,""),""))</f>
        <v>I</v>
      </c>
      <c r="D321" s="1029" t="s">
        <v>1455</v>
      </c>
      <c r="E321" s="1029" t="s">
        <v>1372</v>
      </c>
      <c r="I321" s="1026" t="str">
        <f t="shared" si="32"/>
        <v>Min CS Markup Override Flag</v>
      </c>
      <c r="J321" s="1376" t="str">
        <f t="shared" si="34"/>
        <v>290</v>
      </c>
      <c r="K321" s="1376" t="str">
        <f t="shared" si="33"/>
        <v>Pricing Schedule</v>
      </c>
      <c r="L321" s="1090" t="s">
        <v>1378</v>
      </c>
      <c r="M321" s="1376">
        <v>290</v>
      </c>
      <c r="N321" s="1376"/>
    </row>
    <row r="322" spans="1:14" s="1370" customFormat="1" x14ac:dyDescent="0.25">
      <c r="A322" s="1122" t="s">
        <v>1379</v>
      </c>
      <c r="B322" s="1026" t="str">
        <f ca="1">IF('[2]Pricing Schedule'!$K$5="No",_xlfn.CONCAT(IFERROR(SUBSTITUTE(ADDRESS(1,MATCH(A322,INDIRECT("'"&amp;E322&amp;"'"&amp;"!A10:Z10"),0),4),1,""),""),12),_xlfn.CONCAT(IFERROR(SUBSTITUTE(ADDRESS(1,MATCH(A322,INDIRECT("'"&amp;E322&amp;"'"&amp;"!A10:Z10"),0),4),1,""),""),46))</f>
        <v>J46</v>
      </c>
      <c r="C322" s="1026" t="str">
        <f ca="1">IF('[2]Pricing Schedule'!$K$5="No",IFERROR(SUBSTITUTE(ADDRESS(1,MATCH(A322,INDIRECT("'"&amp;E322&amp;"'"&amp;"!A10:Z10"),0),4),1,""),""),IFERROR(SUBSTITUTE(ADDRESS(1,MATCH(A322,INDIRECT("'"&amp;E322&amp;"'"&amp;"!A10:Z10"),0),4),1,""),""))</f>
        <v>J</v>
      </c>
      <c r="D322" s="1029" t="s">
        <v>1455</v>
      </c>
      <c r="E322" s="1029" t="s">
        <v>1372</v>
      </c>
      <c r="I322" s="1026" t="str">
        <f t="shared" si="32"/>
        <v>Min CS Markup Amt</v>
      </c>
      <c r="J322" s="1376" t="str">
        <f t="shared" si="34"/>
        <v>291</v>
      </c>
      <c r="K322" s="1376" t="str">
        <f t="shared" si="33"/>
        <v>Pricing Schedule</v>
      </c>
      <c r="L322" s="1090" t="s">
        <v>1379</v>
      </c>
      <c r="M322" s="1376">
        <v>291</v>
      </c>
      <c r="N322" s="1376"/>
    </row>
    <row r="323" spans="1:14" s="1370" customFormat="1" x14ac:dyDescent="0.25">
      <c r="A323" s="1122" t="s">
        <v>1380</v>
      </c>
      <c r="B323" s="1026" t="str">
        <f ca="1">IF('[2]Pricing Schedule'!$K$5="No",_xlfn.CONCAT(IFERROR(SUBSTITUTE(ADDRESS(1,MATCH(A323,INDIRECT("'"&amp;E323&amp;"'"&amp;"!A10:Z10"),0),4),1,""),""),12),_xlfn.CONCAT(IFERROR(SUBSTITUTE(ADDRESS(1,MATCH(A323,INDIRECT("'"&amp;E323&amp;"'"&amp;"!A10:Z10"),0),4),1,""),""),46))</f>
        <v>K46</v>
      </c>
      <c r="C323" s="1026" t="str">
        <f ca="1">IF('[2]Pricing Schedule'!$K$5="No",IFERROR(SUBSTITUTE(ADDRESS(1,MATCH(A323,INDIRECT("'"&amp;E323&amp;"'"&amp;"!A10:Z10"),0),4),1,""),""),IFERROR(SUBSTITUTE(ADDRESS(1,MATCH(A323,INDIRECT("'"&amp;E323&amp;"'"&amp;"!A10:Z10"),0),4),1,""),""))</f>
        <v>K</v>
      </c>
      <c r="D323" s="1029" t="s">
        <v>1455</v>
      </c>
      <c r="E323" s="1029" t="s">
        <v>1372</v>
      </c>
      <c r="I323" s="1026" t="str">
        <f t="shared" si="32"/>
        <v>Split Case Fee Override Flag</v>
      </c>
      <c r="J323" s="1376" t="str">
        <f t="shared" si="34"/>
        <v>292</v>
      </c>
      <c r="K323" s="1376" t="str">
        <f t="shared" si="33"/>
        <v>Pricing Schedule</v>
      </c>
      <c r="L323" s="1090" t="s">
        <v>1380</v>
      </c>
      <c r="M323" s="1376">
        <v>292</v>
      </c>
      <c r="N323" s="1376"/>
    </row>
    <row r="324" spans="1:14" s="1370" customFormat="1" x14ac:dyDescent="0.25">
      <c r="A324" s="1122" t="s">
        <v>1381</v>
      </c>
      <c r="B324" s="1026" t="str">
        <f ca="1">IF('[2]Pricing Schedule'!$K$5="No",_xlfn.CONCAT(IFERROR(SUBSTITUTE(ADDRESS(1,MATCH(A324,INDIRECT("'"&amp;E324&amp;"'"&amp;"!A10:Z10"),0),4),1,""),""),12),_xlfn.CONCAT(IFERROR(SUBSTITUTE(ADDRESS(1,MATCH(A324,INDIRECT("'"&amp;E324&amp;"'"&amp;"!A10:Z10"),0),4),1,""),""),46))</f>
        <v>L46</v>
      </c>
      <c r="C324" s="1026" t="str">
        <f ca="1">IF('[2]Pricing Schedule'!$K$5="No",IFERROR(SUBSTITUTE(ADDRESS(1,MATCH(A324,INDIRECT("'"&amp;E324&amp;"'"&amp;"!A10:Z10"),0),4),1,""),""),IFERROR(SUBSTITUTE(ADDRESS(1,MATCH(A324,INDIRECT("'"&amp;E324&amp;"'"&amp;"!A10:Z10"),0),4),1,""),""))</f>
        <v>L</v>
      </c>
      <c r="D324" s="1029" t="s">
        <v>1455</v>
      </c>
      <c r="E324" s="1029" t="s">
        <v>1372</v>
      </c>
      <c r="I324" s="1026" t="str">
        <f t="shared" ref="I324:I387" si="36">IF(J324&lt;&gt;"",A324,"")</f>
        <v>Split Case Fee</v>
      </c>
      <c r="J324" s="1376" t="str">
        <f t="shared" si="34"/>
        <v>293</v>
      </c>
      <c r="K324" s="1376" t="str">
        <f t="shared" ref="K324:K387" si="37">IF(J324&lt;&gt;"",E324,"")</f>
        <v>Pricing Schedule</v>
      </c>
      <c r="L324" s="1090" t="s">
        <v>1381</v>
      </c>
      <c r="M324" s="1376">
        <v>293</v>
      </c>
      <c r="N324" s="1376"/>
    </row>
    <row r="325" spans="1:14" s="1370" customFormat="1" x14ac:dyDescent="0.25">
      <c r="A325" s="1122" t="s">
        <v>1320</v>
      </c>
      <c r="B325" s="1026" t="str">
        <f ca="1">IF('[2]Pricing Schedule'!$K$5="No",_xlfn.CONCAT(IFERROR(SUBSTITUTE(ADDRESS(1,MATCH(A325,INDIRECT("'"&amp;E325&amp;"'"&amp;"!A10:Z10"),0),4),1,""),""),12),_xlfn.CONCAT(IFERROR(SUBSTITUTE(ADDRESS(1,MATCH(A325,INDIRECT("'"&amp;E325&amp;"'"&amp;"!A10:Z10"),0),4),1,""),""),46))</f>
        <v>M46</v>
      </c>
      <c r="C325" s="1026" t="str">
        <f ca="1">IF('[2]Pricing Schedule'!$K$5="No",IFERROR(SUBSTITUTE(ADDRESS(1,MATCH(A325,INDIRECT("'"&amp;E325&amp;"'"&amp;"!A10:Z10"),0),4),1,""),""),IFERROR(SUBSTITUTE(ADDRESS(1,MATCH(A325,INDIRECT("'"&amp;E325&amp;"'"&amp;"!A10:Z10"),0),4),1,""),""))</f>
        <v>M</v>
      </c>
      <c r="D325" s="1029" t="s">
        <v>1455</v>
      </c>
      <c r="E325" s="1029" t="s">
        <v>1372</v>
      </c>
      <c r="I325" s="1026" t="str">
        <f t="shared" si="36"/>
        <v>Split Case Per</v>
      </c>
      <c r="J325" s="1376" t="str">
        <f t="shared" si="34"/>
        <v>294</v>
      </c>
      <c r="K325" s="1376" t="str">
        <f t="shared" si="37"/>
        <v>Pricing Schedule</v>
      </c>
      <c r="L325" s="1090" t="s">
        <v>1320</v>
      </c>
      <c r="M325" s="1376">
        <v>294</v>
      </c>
      <c r="N325" s="1376"/>
    </row>
    <row r="326" spans="1:14" s="1370" customFormat="1" x14ac:dyDescent="0.25">
      <c r="A326" s="1117" t="s">
        <v>1382</v>
      </c>
      <c r="B326" s="1026" t="str">
        <f ca="1">IF('[2]Pricing Schedule'!$K$5="No",_xlfn.CONCAT(IFERROR(SUBSTITUTE(ADDRESS(1,MATCH(A326,INDIRECT("'"&amp;E326&amp;"'"&amp;"!A10:Z10"),0),4),1,""),""),14),_xlfn.CONCAT(IFERROR(SUBSTITUTE(ADDRESS(1,MATCH(A326,INDIRECT("'"&amp;E326&amp;"'"&amp;"!A10:Z10"),0),4),1,""),""),48))</f>
        <v>N48</v>
      </c>
      <c r="C326" s="1026" t="str">
        <f ca="1">IF('[2]Pricing Schedule'!$K$5="No",IFERROR(SUBSTITUTE(ADDRESS(1,MATCH(A326,INDIRECT("'"&amp;E326&amp;"'"&amp;"!A10:Z10"),0),4),1,""),""),IFERROR(SUBSTITUTE(ADDRESS(1,MATCH(A326,INDIRECT("'"&amp;E326&amp;"'"&amp;"!A10:Z10"),0),4),1,""),""))</f>
        <v>N</v>
      </c>
      <c r="D326" s="1029" t="s">
        <v>1455</v>
      </c>
      <c r="E326" s="1029" t="s">
        <v>1372</v>
      </c>
      <c r="I326" s="1026" t="str">
        <f t="shared" si="36"/>
        <v/>
      </c>
      <c r="J326" s="1376"/>
      <c r="K326" s="1376" t="str">
        <f t="shared" si="37"/>
        <v/>
      </c>
      <c r="L326" s="1090" t="s">
        <v>1382</v>
      </c>
      <c r="M326" s="1376">
        <v>295</v>
      </c>
      <c r="N326" s="1376"/>
    </row>
    <row r="327" spans="1:14" s="1370" customFormat="1" x14ac:dyDescent="0.25">
      <c r="A327" s="1118" t="s">
        <v>1373</v>
      </c>
      <c r="B327" s="1026" t="str">
        <f ca="1">IF('[2]Pricing Schedule'!$K$5="No",_xlfn.CONCAT(IFERROR(SUBSTITUTE(ADDRESS(1,MATCH(A327,INDIRECT("'"&amp;E327&amp;"'"&amp;"!A10:Z10"),0),4),1,""),""),14),_xlfn.CONCAT(IFERROR(SUBSTITUTE(ADDRESS(1,MATCH(A327,INDIRECT("'"&amp;E327&amp;"'"&amp;"!A10:Z10"),0),4),1,""),""),48))</f>
        <v>C48</v>
      </c>
      <c r="C327" s="1026" t="str">
        <f ca="1">IF('[2]Pricing Schedule'!$K$5="No",IFERROR(SUBSTITUTE(ADDRESS(1,MATCH(A327,INDIRECT("'"&amp;E327&amp;"'"&amp;"!A10:Z10"),0),4),1,""),""),IFERROR(SUBSTITUTE(ADDRESS(1,MATCH(A327,INDIRECT("'"&amp;E327&amp;"'"&amp;"!A10:Z10"),0),4),1,""),""))</f>
        <v>C</v>
      </c>
      <c r="D327" s="1029" t="s">
        <v>1455</v>
      </c>
      <c r="E327" s="1029" t="s">
        <v>1372</v>
      </c>
      <c r="I327" s="1026" t="str">
        <f t="shared" si="36"/>
        <v/>
      </c>
      <c r="J327" s="1376"/>
      <c r="K327" s="1376" t="str">
        <f t="shared" si="37"/>
        <v/>
      </c>
      <c r="L327" s="1090" t="s">
        <v>254</v>
      </c>
      <c r="M327" s="1376">
        <v>296</v>
      </c>
      <c r="N327" s="1376"/>
    </row>
    <row r="328" spans="1:14" s="1370" customFormat="1" x14ac:dyDescent="0.25">
      <c r="A328" s="1118" t="s">
        <v>1338</v>
      </c>
      <c r="B328" s="1026" t="str">
        <f ca="1">IF('[2]Pricing Schedule'!$K$5="No",_xlfn.CONCAT(IFERROR(SUBSTITUTE(ADDRESS(1,MATCH(A328,INDIRECT("'"&amp;E328&amp;"'"&amp;"!A10:Z10"),0),4),1,""),""),14),_xlfn.CONCAT(IFERROR(SUBSTITUTE(ADDRESS(1,MATCH(A328,INDIRECT("'"&amp;E328&amp;"'"&amp;"!A10:Z10"),0),4),1,""),""),48))</f>
        <v>H48</v>
      </c>
      <c r="C328" s="1026" t="str">
        <f ca="1">IF('[2]Pricing Schedule'!$K$5="No",IFERROR(SUBSTITUTE(ADDRESS(1,MATCH(A328,INDIRECT("'"&amp;E328&amp;"'"&amp;"!A10:Z10"),0),4),1,""),""),IFERROR(SUBSTITUTE(ADDRESS(1,MATCH(A328,INDIRECT("'"&amp;E328&amp;"'"&amp;"!A10:Z10"),0),4),1,""),""))</f>
        <v>H</v>
      </c>
      <c r="D328" s="1029" t="s">
        <v>1455</v>
      </c>
      <c r="E328" s="1029" t="s">
        <v>1372</v>
      </c>
      <c r="I328" s="1026" t="str">
        <f t="shared" si="36"/>
        <v/>
      </c>
      <c r="J328" s="1376"/>
      <c r="K328" s="1376" t="str">
        <f t="shared" si="37"/>
        <v/>
      </c>
      <c r="L328" s="1090" t="s">
        <v>1338</v>
      </c>
      <c r="M328" s="1376">
        <v>297</v>
      </c>
      <c r="N328" s="1376"/>
    </row>
    <row r="329" spans="1:14" s="1370" customFormat="1" x14ac:dyDescent="0.25">
      <c r="A329" s="1118" t="s">
        <v>1376</v>
      </c>
      <c r="B329" s="1026" t="str">
        <f ca="1">IF('[2]Pricing Schedule'!$K$5="No",_xlfn.CONCAT(IFERROR(SUBSTITUTE(ADDRESS(1,MATCH(A329,INDIRECT("'"&amp;E329&amp;"'"&amp;"!A10:Z10"),0),4),1,""),""),14),_xlfn.CONCAT(IFERROR(SUBSTITUTE(ADDRESS(1,MATCH(A329,INDIRECT("'"&amp;E329&amp;"'"&amp;"!A10:Z10"),0),4),1,""),""),48))</f>
        <v>F48</v>
      </c>
      <c r="C329" s="1026" t="str">
        <f ca="1">IF('[2]Pricing Schedule'!$K$5="No",IFERROR(SUBSTITUTE(ADDRESS(1,MATCH(A329,INDIRECT("'"&amp;E329&amp;"'"&amp;"!A10:Z10"),0),4),1,""),""),IFERROR(SUBSTITUTE(ADDRESS(1,MATCH(A329,INDIRECT("'"&amp;E329&amp;"'"&amp;"!A10:Z10"),0),4),1,""),""))</f>
        <v>F</v>
      </c>
      <c r="D329" s="1029" t="s">
        <v>1455</v>
      </c>
      <c r="E329" s="1029" t="s">
        <v>1372</v>
      </c>
      <c r="I329" s="1026" t="str">
        <f t="shared" si="36"/>
        <v/>
      </c>
      <c r="J329" s="1376"/>
      <c r="K329" s="1376" t="str">
        <f t="shared" si="37"/>
        <v/>
      </c>
      <c r="L329" s="1090" t="s">
        <v>225</v>
      </c>
      <c r="M329" s="1376">
        <v>298</v>
      </c>
      <c r="N329" s="1376"/>
    </row>
    <row r="330" spans="1:14" s="1370" customFormat="1" x14ac:dyDescent="0.25">
      <c r="A330" s="1119" t="s">
        <v>466</v>
      </c>
      <c r="B330" s="1026" t="str">
        <f ca="1">_xlfn.CONCAT(IFERROR(SUBSTITUTE(ADDRESS(1,MATCH(A330,INDIRECT("'"&amp;E330&amp;"'"&amp;"!A9:Z9"),0),4),1,""),""),14)</f>
        <v>E14</v>
      </c>
      <c r="C330" s="1026" t="str">
        <f ca="1">_xlfn.CONCAT(IFERROR(SUBSTITUTE(ADDRESS(1,MATCH(A330,INDIRECT("'"&amp;E330&amp;"'"&amp;"!A9:Z9"),0),4),1,""),""))</f>
        <v>E</v>
      </c>
      <c r="D330" s="1376" t="s">
        <v>1455</v>
      </c>
      <c r="E330" s="1029" t="s">
        <v>208</v>
      </c>
      <c r="I330" s="1026" t="str">
        <f t="shared" si="36"/>
        <v>Exclude PIM Classes Below</v>
      </c>
      <c r="J330" s="1376" t="str">
        <f t="shared" ref="J330:J385" si="38">IF(M330&lt;&gt;"",Q$1&amp;M330,"")</f>
        <v>299</v>
      </c>
      <c r="K330" s="1376" t="str">
        <f t="shared" si="37"/>
        <v>PIM Model</v>
      </c>
      <c r="L330" s="1090" t="s">
        <v>466</v>
      </c>
      <c r="M330" s="1376">
        <v>299</v>
      </c>
      <c r="N330" s="1376"/>
    </row>
    <row r="331" spans="1:14" s="1370" customFormat="1" x14ac:dyDescent="0.25">
      <c r="A331" s="1119" t="s">
        <v>1375</v>
      </c>
      <c r="B331" s="1026" t="str">
        <f ca="1">IF('[2]Pricing Schedule'!$K$5="No",_xlfn.CONCAT(IFERROR(SUBSTITUTE(ADDRESS(1,MATCH(A331,INDIRECT("'"&amp;E331&amp;"'"&amp;"!A10:Z10"),0),4),1,""),""),14),_xlfn.CONCAT(IFERROR(SUBSTITUTE(ADDRESS(1,MATCH(A331,INDIRECT("'"&amp;E331&amp;"'"&amp;"!A10:Z10"),0),4),1,""),""),48))</f>
        <v>E48</v>
      </c>
      <c r="C331" s="1026" t="str">
        <f ca="1">IF('[2]Pricing Schedule'!$K$5="No",IFERROR(SUBSTITUTE(ADDRESS(1,MATCH(A331,INDIRECT("'"&amp;E331&amp;"'"&amp;"!A10:Z10"),0),4),1,""),""),IFERROR(SUBSTITUTE(ADDRESS(1,MATCH(A331,INDIRECT("'"&amp;E331&amp;"'"&amp;"!A10:Z10"),0),4),1,""),""))</f>
        <v>E</v>
      </c>
      <c r="D331" s="1029" t="s">
        <v>1455</v>
      </c>
      <c r="E331" s="1029" t="s">
        <v>1372</v>
      </c>
      <c r="I331" s="1026" t="str">
        <f t="shared" si="36"/>
        <v>Special Pricing Code</v>
      </c>
      <c r="J331" s="1376" t="str">
        <f t="shared" si="38"/>
        <v>300</v>
      </c>
      <c r="K331" s="1376" t="str">
        <f t="shared" si="37"/>
        <v>Pricing Schedule</v>
      </c>
      <c r="L331" s="1090" t="s">
        <v>1375</v>
      </c>
      <c r="M331" s="1376">
        <v>300</v>
      </c>
      <c r="N331" s="1376"/>
    </row>
    <row r="332" spans="1:14" s="1370" customFormat="1" x14ac:dyDescent="0.25">
      <c r="A332" s="1119" t="s">
        <v>1377</v>
      </c>
      <c r="B332" s="1026" t="str">
        <f ca="1">IF('[2]Pricing Schedule'!$K$5="No",_xlfn.CONCAT(IFERROR(SUBSTITUTE(ADDRESS(1,MATCH(A332,INDIRECT("'"&amp;E332&amp;"'"&amp;"!A10:Z10"),0),4),1,""),""),14),_xlfn.CONCAT(IFERROR(SUBSTITUTE(ADDRESS(1,MATCH(A332,INDIRECT("'"&amp;E332&amp;"'"&amp;"!A10:Z10"),0),4),1,""),""),48))</f>
        <v>G48</v>
      </c>
      <c r="C332" s="1026" t="str">
        <f ca="1">IF('[2]Pricing Schedule'!$K$5="No",IFERROR(SUBSTITUTE(ADDRESS(1,MATCH(A332,INDIRECT("'"&amp;E332&amp;"'"&amp;"!A10:Z10"),0),4),1,""),""),IFERROR(SUBSTITUTE(ADDRESS(1,MATCH(A332,INDIRECT("'"&amp;E332&amp;"'"&amp;"!A10:Z10"),0),4),1,""),""))</f>
        <v>G</v>
      </c>
      <c r="D332" s="1029" t="s">
        <v>1455</v>
      </c>
      <c r="E332" s="1029" t="s">
        <v>1372</v>
      </c>
      <c r="I332" s="1026" t="str">
        <f t="shared" si="36"/>
        <v>EB Markup Amt</v>
      </c>
      <c r="J332" s="1376" t="str">
        <f t="shared" si="38"/>
        <v>301</v>
      </c>
      <c r="K332" s="1376" t="str">
        <f t="shared" si="37"/>
        <v>Pricing Schedule</v>
      </c>
      <c r="L332" s="1090" t="s">
        <v>1377</v>
      </c>
      <c r="M332" s="1376">
        <v>301</v>
      </c>
      <c r="N332" s="1376"/>
    </row>
    <row r="333" spans="1:14" s="1370" customFormat="1" x14ac:dyDescent="0.25">
      <c r="A333" s="1119" t="s">
        <v>1378</v>
      </c>
      <c r="B333" s="1026" t="str">
        <f ca="1">IF('[2]Pricing Schedule'!$K$5="No",_xlfn.CONCAT(IFERROR(SUBSTITUTE(ADDRESS(1,MATCH(A333,INDIRECT("'"&amp;E333&amp;"'"&amp;"!A10:Z10"),0),4),1,""),""),14),_xlfn.CONCAT(IFERROR(SUBSTITUTE(ADDRESS(1,MATCH(A333,INDIRECT("'"&amp;E333&amp;"'"&amp;"!A10:Z10"),0),4),1,""),""),48))</f>
        <v>I48</v>
      </c>
      <c r="C333" s="1026" t="str">
        <f ca="1">IF('[2]Pricing Schedule'!$K$5="No",IFERROR(SUBSTITUTE(ADDRESS(1,MATCH(A333,INDIRECT("'"&amp;E333&amp;"'"&amp;"!A10:Z10"),0),4),1,""),""),IFERROR(SUBSTITUTE(ADDRESS(1,MATCH(A333,INDIRECT("'"&amp;E333&amp;"'"&amp;"!A10:Z10"),0),4),1,""),""))</f>
        <v>I</v>
      </c>
      <c r="D333" s="1029" t="s">
        <v>1455</v>
      </c>
      <c r="E333" s="1029" t="s">
        <v>1372</v>
      </c>
      <c r="I333" s="1026" t="str">
        <f t="shared" si="36"/>
        <v>Min CS Markup Override Flag</v>
      </c>
      <c r="J333" s="1376" t="str">
        <f t="shared" si="38"/>
        <v>302</v>
      </c>
      <c r="K333" s="1376" t="str">
        <f t="shared" si="37"/>
        <v>Pricing Schedule</v>
      </c>
      <c r="L333" s="1090" t="s">
        <v>1378</v>
      </c>
      <c r="M333" s="1376">
        <v>302</v>
      </c>
      <c r="N333" s="1376"/>
    </row>
    <row r="334" spans="1:14" s="1370" customFormat="1" x14ac:dyDescent="0.25">
      <c r="A334" s="1119" t="s">
        <v>1379</v>
      </c>
      <c r="B334" s="1026" t="str">
        <f ca="1">IF('[2]Pricing Schedule'!$K$5="No",_xlfn.CONCAT(IFERROR(SUBSTITUTE(ADDRESS(1,MATCH(A334,INDIRECT("'"&amp;E334&amp;"'"&amp;"!A10:Z10"),0),4),1,""),""),14),_xlfn.CONCAT(IFERROR(SUBSTITUTE(ADDRESS(1,MATCH(A334,INDIRECT("'"&amp;E334&amp;"'"&amp;"!A10:Z10"),0),4),1,""),""),48))</f>
        <v>J48</v>
      </c>
      <c r="C334" s="1026" t="str">
        <f ca="1">IF('[2]Pricing Schedule'!$K$5="No",IFERROR(SUBSTITUTE(ADDRESS(1,MATCH(A334,INDIRECT("'"&amp;E334&amp;"'"&amp;"!A10:Z10"),0),4),1,""),""),IFERROR(SUBSTITUTE(ADDRESS(1,MATCH(A334,INDIRECT("'"&amp;E334&amp;"'"&amp;"!A10:Z10"),0),4),1,""),""))</f>
        <v>J</v>
      </c>
      <c r="D334" s="1029" t="s">
        <v>1455</v>
      </c>
      <c r="E334" s="1029" t="s">
        <v>1372</v>
      </c>
      <c r="I334" s="1026" t="str">
        <f t="shared" si="36"/>
        <v>Min CS Markup Amt</v>
      </c>
      <c r="J334" s="1376" t="str">
        <f t="shared" si="38"/>
        <v>303</v>
      </c>
      <c r="K334" s="1376" t="str">
        <f t="shared" si="37"/>
        <v>Pricing Schedule</v>
      </c>
      <c r="L334" s="1090" t="s">
        <v>1379</v>
      </c>
      <c r="M334" s="1376">
        <v>303</v>
      </c>
      <c r="N334" s="1376"/>
    </row>
    <row r="335" spans="1:14" s="1370" customFormat="1" x14ac:dyDescent="0.25">
      <c r="A335" s="1119" t="s">
        <v>1380</v>
      </c>
      <c r="B335" s="1026" t="str">
        <f ca="1">IF('[2]Pricing Schedule'!$K$5="No",_xlfn.CONCAT(IFERROR(SUBSTITUTE(ADDRESS(1,MATCH(A335,INDIRECT("'"&amp;E335&amp;"'"&amp;"!A10:Z10"),0),4),1,""),""),14),_xlfn.CONCAT(IFERROR(SUBSTITUTE(ADDRESS(1,MATCH(A335,INDIRECT("'"&amp;E335&amp;"'"&amp;"!A10:Z10"),0),4),1,""),""),48))</f>
        <v>K48</v>
      </c>
      <c r="C335" s="1026" t="str">
        <f ca="1">IF('[2]Pricing Schedule'!$K$5="No",IFERROR(SUBSTITUTE(ADDRESS(1,MATCH(A335,INDIRECT("'"&amp;E335&amp;"'"&amp;"!A10:Z10"),0),4),1,""),""),IFERROR(SUBSTITUTE(ADDRESS(1,MATCH(A335,INDIRECT("'"&amp;E335&amp;"'"&amp;"!A10:Z10"),0),4),1,""),""))</f>
        <v>K</v>
      </c>
      <c r="D335" s="1029" t="s">
        <v>1455</v>
      </c>
      <c r="E335" s="1029" t="s">
        <v>1372</v>
      </c>
      <c r="I335" s="1026" t="str">
        <f t="shared" si="36"/>
        <v>Split Case Fee Override Flag</v>
      </c>
      <c r="J335" s="1376" t="str">
        <f t="shared" si="38"/>
        <v>304</v>
      </c>
      <c r="K335" s="1376" t="str">
        <f t="shared" si="37"/>
        <v>Pricing Schedule</v>
      </c>
      <c r="L335" s="1090" t="s">
        <v>1380</v>
      </c>
      <c r="M335" s="1376">
        <v>304</v>
      </c>
      <c r="N335" s="1376"/>
    </row>
    <row r="336" spans="1:14" s="1370" customFormat="1" x14ac:dyDescent="0.25">
      <c r="A336" s="1119" t="s">
        <v>1381</v>
      </c>
      <c r="B336" s="1026" t="str">
        <f ca="1">IF('[2]Pricing Schedule'!$K$5="No",_xlfn.CONCAT(IFERROR(SUBSTITUTE(ADDRESS(1,MATCH(A336,INDIRECT("'"&amp;E336&amp;"'"&amp;"!A10:Z10"),0),4),1,""),""),14),_xlfn.CONCAT(IFERROR(SUBSTITUTE(ADDRESS(1,MATCH(A336,INDIRECT("'"&amp;E336&amp;"'"&amp;"!A10:Z10"),0),4),1,""),""),48))</f>
        <v>L48</v>
      </c>
      <c r="C336" s="1026" t="str">
        <f ca="1">IF('[2]Pricing Schedule'!$K$5="No",IFERROR(SUBSTITUTE(ADDRESS(1,MATCH(A336,INDIRECT("'"&amp;E336&amp;"'"&amp;"!A10:Z10"),0),4),1,""),""),IFERROR(SUBSTITUTE(ADDRESS(1,MATCH(A336,INDIRECT("'"&amp;E336&amp;"'"&amp;"!A10:Z10"),0),4),1,""),""))</f>
        <v>L</v>
      </c>
      <c r="D336" s="1029" t="s">
        <v>1455</v>
      </c>
      <c r="E336" s="1029" t="s">
        <v>1372</v>
      </c>
      <c r="I336" s="1026" t="str">
        <f t="shared" si="36"/>
        <v>Split Case Fee</v>
      </c>
      <c r="J336" s="1376" t="str">
        <f t="shared" si="38"/>
        <v>305</v>
      </c>
      <c r="K336" s="1376" t="str">
        <f t="shared" si="37"/>
        <v>Pricing Schedule</v>
      </c>
      <c r="L336" s="1090" t="s">
        <v>1381</v>
      </c>
      <c r="M336" s="1376">
        <v>305</v>
      </c>
      <c r="N336" s="1376"/>
    </row>
    <row r="337" spans="1:14" s="1370" customFormat="1" x14ac:dyDescent="0.25">
      <c r="A337" s="1119" t="s">
        <v>1320</v>
      </c>
      <c r="B337" s="1026" t="str">
        <f ca="1">IF('[2]Pricing Schedule'!$K$5="No",_xlfn.CONCAT(IFERROR(SUBSTITUTE(ADDRESS(1,MATCH(A337,INDIRECT("'"&amp;E337&amp;"'"&amp;"!A10:Z10"),0),4),1,""),""),14),_xlfn.CONCAT(IFERROR(SUBSTITUTE(ADDRESS(1,MATCH(A337,INDIRECT("'"&amp;E337&amp;"'"&amp;"!A10:Z10"),0),4),1,""),""),48))</f>
        <v>M48</v>
      </c>
      <c r="C337" s="1026" t="str">
        <f ca="1">IF('[2]Pricing Schedule'!$K$5="No",IFERROR(SUBSTITUTE(ADDRESS(1,MATCH(A337,INDIRECT("'"&amp;E337&amp;"'"&amp;"!A10:Z10"),0),4),1,""),""),IFERROR(SUBSTITUTE(ADDRESS(1,MATCH(A337,INDIRECT("'"&amp;E337&amp;"'"&amp;"!A10:Z10"),0),4),1,""),""))</f>
        <v>M</v>
      </c>
      <c r="D337" s="1029" t="s">
        <v>1455</v>
      </c>
      <c r="E337" s="1029" t="s">
        <v>1372</v>
      </c>
      <c r="I337" s="1026" t="str">
        <f t="shared" si="36"/>
        <v>Split Case Per</v>
      </c>
      <c r="J337" s="1376" t="str">
        <f t="shared" si="38"/>
        <v>306</v>
      </c>
      <c r="K337" s="1376" t="str">
        <f t="shared" si="37"/>
        <v>Pricing Schedule</v>
      </c>
      <c r="L337" s="1090" t="s">
        <v>1320</v>
      </c>
      <c r="M337" s="1376">
        <v>306</v>
      </c>
      <c r="N337" s="1376"/>
    </row>
    <row r="338" spans="1:14" s="1370" customFormat="1" x14ac:dyDescent="0.25">
      <c r="A338" s="1120" t="s">
        <v>1382</v>
      </c>
      <c r="B338" s="1026" t="str">
        <f ca="1">IF('[2]Pricing Schedule'!$K$5="No",_xlfn.CONCAT(IFERROR(SUBSTITUTE(ADDRESS(1,MATCH(A338,INDIRECT("'"&amp;E338&amp;"'"&amp;"!A10:Z10"),0),4),1,""),""),15),_xlfn.CONCAT(IFERROR(SUBSTITUTE(ADDRESS(1,MATCH(A338,INDIRECT("'"&amp;E338&amp;"'"&amp;"!A10:Z10"),0),4),1,""),""),49))</f>
        <v>N49</v>
      </c>
      <c r="C338" s="1026" t="str">
        <f ca="1">IF('[2]Pricing Schedule'!$K$5="No",IFERROR(SUBSTITUTE(ADDRESS(1,MATCH(A338,INDIRECT("'"&amp;E338&amp;"'"&amp;"!A10:Z10"),0),4),1,""),""),IFERROR(SUBSTITUTE(ADDRESS(1,MATCH(A338,INDIRECT("'"&amp;E338&amp;"'"&amp;"!A10:Z10"),0),4),1,""),""))</f>
        <v>N</v>
      </c>
      <c r="D338" s="1029" t="s">
        <v>1455</v>
      </c>
      <c r="E338" s="1029" t="s">
        <v>1372</v>
      </c>
      <c r="I338" s="1026" t="str">
        <f t="shared" si="36"/>
        <v/>
      </c>
      <c r="J338" s="1376"/>
      <c r="K338" s="1376" t="str">
        <f t="shared" si="37"/>
        <v/>
      </c>
      <c r="L338" s="1090" t="s">
        <v>1382</v>
      </c>
      <c r="M338" s="1376">
        <v>307</v>
      </c>
      <c r="N338" s="1376"/>
    </row>
    <row r="339" spans="1:14" s="1370" customFormat="1" x14ac:dyDescent="0.25">
      <c r="A339" s="1121" t="s">
        <v>1373</v>
      </c>
      <c r="B339" s="1026" t="str">
        <f ca="1">IF('[2]Pricing Schedule'!$K$5="No",_xlfn.CONCAT(IFERROR(SUBSTITUTE(ADDRESS(1,MATCH(A339,INDIRECT("'"&amp;E339&amp;"'"&amp;"!A10:Z10"),0),4),1,""),""),15),_xlfn.CONCAT(IFERROR(SUBSTITUTE(ADDRESS(1,MATCH(A339,INDIRECT("'"&amp;E339&amp;"'"&amp;"!A10:Z10"),0),4),1,""),""),49))</f>
        <v>C49</v>
      </c>
      <c r="C339" s="1026" t="str">
        <f ca="1">IF('[2]Pricing Schedule'!$K$5="No",IFERROR(SUBSTITUTE(ADDRESS(1,MATCH(A339,INDIRECT("'"&amp;E339&amp;"'"&amp;"!A10:Z10"),0),4),1,""),""),IFERROR(SUBSTITUTE(ADDRESS(1,MATCH(A339,INDIRECT("'"&amp;E339&amp;"'"&amp;"!A10:Z10"),0),4),1,""),""))</f>
        <v>C</v>
      </c>
      <c r="D339" s="1029" t="s">
        <v>1455</v>
      </c>
      <c r="E339" s="1029" t="s">
        <v>1372</v>
      </c>
      <c r="I339" s="1026" t="str">
        <f t="shared" si="36"/>
        <v/>
      </c>
      <c r="J339" s="1376"/>
      <c r="K339" s="1376" t="str">
        <f t="shared" si="37"/>
        <v/>
      </c>
      <c r="L339" s="1090" t="s">
        <v>254</v>
      </c>
      <c r="M339" s="1376">
        <v>308</v>
      </c>
      <c r="N339" s="1376"/>
    </row>
    <row r="340" spans="1:14" s="1370" customFormat="1" x14ac:dyDescent="0.25">
      <c r="A340" s="1121" t="s">
        <v>1338</v>
      </c>
      <c r="B340" s="1026" t="str">
        <f ca="1">IF('[2]Pricing Schedule'!$K$5="No",_xlfn.CONCAT(IFERROR(SUBSTITUTE(ADDRESS(1,MATCH(A340,INDIRECT("'"&amp;E340&amp;"'"&amp;"!A10:Z10"),0),4),1,""),""),15),_xlfn.CONCAT(IFERROR(SUBSTITUTE(ADDRESS(1,MATCH(A340,INDIRECT("'"&amp;E340&amp;"'"&amp;"!A10:Z10"),0),4),1,""),""),49))</f>
        <v>H49</v>
      </c>
      <c r="C340" s="1026" t="str">
        <f ca="1">IF('[2]Pricing Schedule'!$K$5="No",IFERROR(SUBSTITUTE(ADDRESS(1,MATCH(A340,INDIRECT("'"&amp;E340&amp;"'"&amp;"!A10:Z10"),0),4),1,""),""),IFERROR(SUBSTITUTE(ADDRESS(1,MATCH(A340,INDIRECT("'"&amp;E340&amp;"'"&amp;"!A10:Z10"),0),4),1,""),""))</f>
        <v>H</v>
      </c>
      <c r="D340" s="1029" t="s">
        <v>1455</v>
      </c>
      <c r="E340" s="1029" t="s">
        <v>1372</v>
      </c>
      <c r="I340" s="1026" t="str">
        <f t="shared" si="36"/>
        <v/>
      </c>
      <c r="J340" s="1376"/>
      <c r="K340" s="1376" t="str">
        <f t="shared" si="37"/>
        <v/>
      </c>
      <c r="L340" s="1090" t="s">
        <v>1338</v>
      </c>
      <c r="M340" s="1376">
        <v>309</v>
      </c>
      <c r="N340" s="1376"/>
    </row>
    <row r="341" spans="1:14" s="1370" customFormat="1" x14ac:dyDescent="0.25">
      <c r="A341" s="1121" t="s">
        <v>1376</v>
      </c>
      <c r="B341" s="1026" t="str">
        <f ca="1">IF('[2]Pricing Schedule'!$K$5="No",_xlfn.CONCAT(IFERROR(SUBSTITUTE(ADDRESS(1,MATCH(A341,INDIRECT("'"&amp;E341&amp;"'"&amp;"!A10:Z10"),0),4),1,""),""),15),_xlfn.CONCAT(IFERROR(SUBSTITUTE(ADDRESS(1,MATCH(A341,INDIRECT("'"&amp;E341&amp;"'"&amp;"!A10:Z10"),0),4),1,""),""),49))</f>
        <v>F49</v>
      </c>
      <c r="C341" s="1026" t="str">
        <f ca="1">IF('[2]Pricing Schedule'!$K$5="No",IFERROR(SUBSTITUTE(ADDRESS(1,MATCH(A341,INDIRECT("'"&amp;E341&amp;"'"&amp;"!A10:Z10"),0),4),1,""),""),IFERROR(SUBSTITUTE(ADDRESS(1,MATCH(A341,INDIRECT("'"&amp;E341&amp;"'"&amp;"!A10:Z10"),0),4),1,""),""))</f>
        <v>F</v>
      </c>
      <c r="D341" s="1029" t="s">
        <v>1455</v>
      </c>
      <c r="E341" s="1029" t="s">
        <v>1372</v>
      </c>
      <c r="I341" s="1026" t="str">
        <f t="shared" si="36"/>
        <v/>
      </c>
      <c r="J341" s="1376"/>
      <c r="K341" s="1376" t="str">
        <f t="shared" si="37"/>
        <v/>
      </c>
      <c r="L341" s="1090" t="s">
        <v>225</v>
      </c>
      <c r="M341" s="1376">
        <v>310</v>
      </c>
      <c r="N341" s="1376"/>
    </row>
    <row r="342" spans="1:14" s="1370" customFormat="1" x14ac:dyDescent="0.25">
      <c r="A342" s="1122" t="s">
        <v>466</v>
      </c>
      <c r="B342" s="1026" t="str">
        <f ca="1">_xlfn.CONCAT(IFERROR(SUBSTITUTE(ADDRESS(1,MATCH(A342,INDIRECT("'"&amp;E342&amp;"'"&amp;"!A9:Z9"),0),4),1,""),""),15)</f>
        <v>E15</v>
      </c>
      <c r="C342" s="1026" t="str">
        <f ca="1">_xlfn.CONCAT(IFERROR(SUBSTITUTE(ADDRESS(1,MATCH(A342,INDIRECT("'"&amp;E342&amp;"'"&amp;"!A9:Z9"),0),4),1,""),""))</f>
        <v>E</v>
      </c>
      <c r="D342" s="1376" t="s">
        <v>1455</v>
      </c>
      <c r="E342" s="1029" t="s">
        <v>208</v>
      </c>
      <c r="I342" s="1026" t="str">
        <f t="shared" si="36"/>
        <v>Exclude PIM Classes Below</v>
      </c>
      <c r="J342" s="1376" t="str">
        <f t="shared" si="38"/>
        <v>311</v>
      </c>
      <c r="K342" s="1376" t="str">
        <f t="shared" si="37"/>
        <v>PIM Model</v>
      </c>
      <c r="L342" s="1090" t="s">
        <v>466</v>
      </c>
      <c r="M342" s="1376">
        <v>311</v>
      </c>
      <c r="N342" s="1376"/>
    </row>
    <row r="343" spans="1:14" s="1370" customFormat="1" x14ac:dyDescent="0.25">
      <c r="A343" s="1122" t="s">
        <v>1375</v>
      </c>
      <c r="B343" s="1026" t="str">
        <f ca="1">IF('[2]Pricing Schedule'!$K$5="No",_xlfn.CONCAT(IFERROR(SUBSTITUTE(ADDRESS(1,MATCH(A343,INDIRECT("'"&amp;E343&amp;"'"&amp;"!A10:Z10"),0),4),1,""),""),15),_xlfn.CONCAT(IFERROR(SUBSTITUTE(ADDRESS(1,MATCH(A343,INDIRECT("'"&amp;E343&amp;"'"&amp;"!A10:Z10"),0),4),1,""),""),49))</f>
        <v>E49</v>
      </c>
      <c r="C343" s="1026" t="str">
        <f ca="1">IF('[2]Pricing Schedule'!$K$5="No",IFERROR(SUBSTITUTE(ADDRESS(1,MATCH(A343,INDIRECT("'"&amp;E343&amp;"'"&amp;"!A10:Z10"),0),4),1,""),""),IFERROR(SUBSTITUTE(ADDRESS(1,MATCH(A343,INDIRECT("'"&amp;E343&amp;"'"&amp;"!A10:Z10"),0),4),1,""),""))</f>
        <v>E</v>
      </c>
      <c r="D343" s="1029" t="s">
        <v>1455</v>
      </c>
      <c r="E343" s="1029" t="s">
        <v>1372</v>
      </c>
      <c r="I343" s="1026" t="str">
        <f t="shared" si="36"/>
        <v>Special Pricing Code</v>
      </c>
      <c r="J343" s="1376" t="str">
        <f t="shared" si="38"/>
        <v>312</v>
      </c>
      <c r="K343" s="1376" t="str">
        <f t="shared" si="37"/>
        <v>Pricing Schedule</v>
      </c>
      <c r="L343" s="1090" t="s">
        <v>1375</v>
      </c>
      <c r="M343" s="1376">
        <v>312</v>
      </c>
      <c r="N343" s="1376"/>
    </row>
    <row r="344" spans="1:14" s="1370" customFormat="1" x14ac:dyDescent="0.25">
      <c r="A344" s="1122" t="s">
        <v>1377</v>
      </c>
      <c r="B344" s="1026" t="str">
        <f ca="1">IF('[2]Pricing Schedule'!$K$5="No",_xlfn.CONCAT(IFERROR(SUBSTITUTE(ADDRESS(1,MATCH(A344,INDIRECT("'"&amp;E344&amp;"'"&amp;"!A10:Z10"),0),4),1,""),""),15),_xlfn.CONCAT(IFERROR(SUBSTITUTE(ADDRESS(1,MATCH(A344,INDIRECT("'"&amp;E344&amp;"'"&amp;"!A10:Z10"),0),4),1,""),""),49))</f>
        <v>G49</v>
      </c>
      <c r="C344" s="1026" t="str">
        <f ca="1">IF('[2]Pricing Schedule'!$K$5="No",IFERROR(SUBSTITUTE(ADDRESS(1,MATCH(A344,INDIRECT("'"&amp;E344&amp;"'"&amp;"!A10:Z10"),0),4),1,""),""),IFERROR(SUBSTITUTE(ADDRESS(1,MATCH(A344,INDIRECT("'"&amp;E344&amp;"'"&amp;"!A10:Z10"),0),4),1,""),""))</f>
        <v>G</v>
      </c>
      <c r="D344" s="1029" t="s">
        <v>1455</v>
      </c>
      <c r="E344" s="1029" t="s">
        <v>1372</v>
      </c>
      <c r="I344" s="1026" t="str">
        <f t="shared" si="36"/>
        <v>EB Markup Amt</v>
      </c>
      <c r="J344" s="1376" t="str">
        <f t="shared" si="38"/>
        <v>313</v>
      </c>
      <c r="K344" s="1376" t="str">
        <f t="shared" si="37"/>
        <v>Pricing Schedule</v>
      </c>
      <c r="L344" s="1090" t="s">
        <v>1377</v>
      </c>
      <c r="M344" s="1376">
        <v>313</v>
      </c>
      <c r="N344" s="1376"/>
    </row>
    <row r="345" spans="1:14" s="1370" customFormat="1" x14ac:dyDescent="0.25">
      <c r="A345" s="1122" t="s">
        <v>1378</v>
      </c>
      <c r="B345" s="1026" t="str">
        <f ca="1">IF('[2]Pricing Schedule'!$K$5="No",_xlfn.CONCAT(IFERROR(SUBSTITUTE(ADDRESS(1,MATCH(A345,INDIRECT("'"&amp;E345&amp;"'"&amp;"!A10:Z10"),0),4),1,""),""),15),_xlfn.CONCAT(IFERROR(SUBSTITUTE(ADDRESS(1,MATCH(A345,INDIRECT("'"&amp;E345&amp;"'"&amp;"!A10:Z10"),0),4),1,""),""),49))</f>
        <v>I49</v>
      </c>
      <c r="C345" s="1026" t="str">
        <f ca="1">IF('[2]Pricing Schedule'!$K$5="No",IFERROR(SUBSTITUTE(ADDRESS(1,MATCH(A345,INDIRECT("'"&amp;E345&amp;"'"&amp;"!A10:Z10"),0),4),1,""),""),IFERROR(SUBSTITUTE(ADDRESS(1,MATCH(A345,INDIRECT("'"&amp;E345&amp;"'"&amp;"!A10:Z10"),0),4),1,""),""))</f>
        <v>I</v>
      </c>
      <c r="D345" s="1029" t="s">
        <v>1455</v>
      </c>
      <c r="E345" s="1029" t="s">
        <v>1372</v>
      </c>
      <c r="I345" s="1026" t="str">
        <f t="shared" si="36"/>
        <v>Min CS Markup Override Flag</v>
      </c>
      <c r="J345" s="1376" t="str">
        <f t="shared" si="38"/>
        <v>314</v>
      </c>
      <c r="K345" s="1376" t="str">
        <f t="shared" si="37"/>
        <v>Pricing Schedule</v>
      </c>
      <c r="L345" s="1090" t="s">
        <v>1378</v>
      </c>
      <c r="M345" s="1376">
        <v>314</v>
      </c>
      <c r="N345" s="1376"/>
    </row>
    <row r="346" spans="1:14" s="1370" customFormat="1" x14ac:dyDescent="0.25">
      <c r="A346" s="1122" t="s">
        <v>1379</v>
      </c>
      <c r="B346" s="1026" t="str">
        <f ca="1">IF('[2]Pricing Schedule'!$K$5="No",_xlfn.CONCAT(IFERROR(SUBSTITUTE(ADDRESS(1,MATCH(A346,INDIRECT("'"&amp;E346&amp;"'"&amp;"!A10:Z10"),0),4),1,""),""),15),_xlfn.CONCAT(IFERROR(SUBSTITUTE(ADDRESS(1,MATCH(A346,INDIRECT("'"&amp;E346&amp;"'"&amp;"!A10:Z10"),0),4),1,""),""),49))</f>
        <v>J49</v>
      </c>
      <c r="C346" s="1026" t="str">
        <f ca="1">IF('[2]Pricing Schedule'!$K$5="No",IFERROR(SUBSTITUTE(ADDRESS(1,MATCH(A346,INDIRECT("'"&amp;E346&amp;"'"&amp;"!A10:Z10"),0),4),1,""),""),IFERROR(SUBSTITUTE(ADDRESS(1,MATCH(A346,INDIRECT("'"&amp;E346&amp;"'"&amp;"!A10:Z10"),0),4),1,""),""))</f>
        <v>J</v>
      </c>
      <c r="D346" s="1029" t="s">
        <v>1455</v>
      </c>
      <c r="E346" s="1029" t="s">
        <v>1372</v>
      </c>
      <c r="I346" s="1026" t="str">
        <f t="shared" si="36"/>
        <v>Min CS Markup Amt</v>
      </c>
      <c r="J346" s="1376" t="str">
        <f t="shared" si="38"/>
        <v>315</v>
      </c>
      <c r="K346" s="1376" t="str">
        <f t="shared" si="37"/>
        <v>Pricing Schedule</v>
      </c>
      <c r="L346" s="1090" t="s">
        <v>1379</v>
      </c>
      <c r="M346" s="1376">
        <v>315</v>
      </c>
      <c r="N346" s="1376"/>
    </row>
    <row r="347" spans="1:14" s="1370" customFormat="1" x14ac:dyDescent="0.25">
      <c r="A347" s="1122" t="s">
        <v>1380</v>
      </c>
      <c r="B347" s="1026" t="str">
        <f ca="1">IF('[2]Pricing Schedule'!$K$5="No",_xlfn.CONCAT(IFERROR(SUBSTITUTE(ADDRESS(1,MATCH(A347,INDIRECT("'"&amp;E347&amp;"'"&amp;"!A10:Z10"),0),4),1,""),""),15),_xlfn.CONCAT(IFERROR(SUBSTITUTE(ADDRESS(1,MATCH(A347,INDIRECT("'"&amp;E347&amp;"'"&amp;"!A10:Z10"),0),4),1,""),""),49))</f>
        <v>K49</v>
      </c>
      <c r="C347" s="1026" t="str">
        <f ca="1">IF('[2]Pricing Schedule'!$K$5="No",IFERROR(SUBSTITUTE(ADDRESS(1,MATCH(A347,INDIRECT("'"&amp;E347&amp;"'"&amp;"!A10:Z10"),0),4),1,""),""),IFERROR(SUBSTITUTE(ADDRESS(1,MATCH(A347,INDIRECT("'"&amp;E347&amp;"'"&amp;"!A10:Z10"),0),4),1,""),""))</f>
        <v>K</v>
      </c>
      <c r="D347" s="1029" t="s">
        <v>1455</v>
      </c>
      <c r="E347" s="1029" t="s">
        <v>1372</v>
      </c>
      <c r="I347" s="1026" t="str">
        <f t="shared" si="36"/>
        <v>Split Case Fee Override Flag</v>
      </c>
      <c r="J347" s="1376" t="str">
        <f t="shared" si="38"/>
        <v>316</v>
      </c>
      <c r="K347" s="1376" t="str">
        <f t="shared" si="37"/>
        <v>Pricing Schedule</v>
      </c>
      <c r="L347" s="1090" t="s">
        <v>1380</v>
      </c>
      <c r="M347" s="1376">
        <v>316</v>
      </c>
      <c r="N347" s="1376"/>
    </row>
    <row r="348" spans="1:14" s="1370" customFormat="1" x14ac:dyDescent="0.25">
      <c r="A348" s="1122" t="s">
        <v>1381</v>
      </c>
      <c r="B348" s="1026" t="str">
        <f ca="1">IF('[2]Pricing Schedule'!$K$5="No",_xlfn.CONCAT(IFERROR(SUBSTITUTE(ADDRESS(1,MATCH(A348,INDIRECT("'"&amp;E348&amp;"'"&amp;"!A10:Z10"),0),4),1,""),""),15),_xlfn.CONCAT(IFERROR(SUBSTITUTE(ADDRESS(1,MATCH(A348,INDIRECT("'"&amp;E348&amp;"'"&amp;"!A10:Z10"),0),4),1,""),""),49))</f>
        <v>L49</v>
      </c>
      <c r="C348" s="1026" t="str">
        <f ca="1">IF('[2]Pricing Schedule'!$K$5="No",IFERROR(SUBSTITUTE(ADDRESS(1,MATCH(A348,INDIRECT("'"&amp;E348&amp;"'"&amp;"!A10:Z10"),0),4),1,""),""),IFERROR(SUBSTITUTE(ADDRESS(1,MATCH(A348,INDIRECT("'"&amp;E348&amp;"'"&amp;"!A10:Z10"),0),4),1,""),""))</f>
        <v>L</v>
      </c>
      <c r="D348" s="1029" t="s">
        <v>1455</v>
      </c>
      <c r="E348" s="1029" t="s">
        <v>1372</v>
      </c>
      <c r="I348" s="1026" t="str">
        <f t="shared" si="36"/>
        <v>Split Case Fee</v>
      </c>
      <c r="J348" s="1376" t="str">
        <f t="shared" si="38"/>
        <v>317</v>
      </c>
      <c r="K348" s="1376" t="str">
        <f t="shared" si="37"/>
        <v>Pricing Schedule</v>
      </c>
      <c r="L348" s="1090" t="s">
        <v>1381</v>
      </c>
      <c r="M348" s="1376">
        <v>317</v>
      </c>
      <c r="N348" s="1376"/>
    </row>
    <row r="349" spans="1:14" s="1370" customFormat="1" x14ac:dyDescent="0.25">
      <c r="A349" s="1122" t="s">
        <v>1320</v>
      </c>
      <c r="B349" s="1026" t="str">
        <f ca="1">IF('[2]Pricing Schedule'!$K$5="No",_xlfn.CONCAT(IFERROR(SUBSTITUTE(ADDRESS(1,MATCH(A349,INDIRECT("'"&amp;E349&amp;"'"&amp;"!A10:Z10"),0),4),1,""),""),15),_xlfn.CONCAT(IFERROR(SUBSTITUTE(ADDRESS(1,MATCH(A349,INDIRECT("'"&amp;E349&amp;"'"&amp;"!A10:Z10"),0),4),1,""),""),49))</f>
        <v>M49</v>
      </c>
      <c r="C349" s="1026" t="str">
        <f ca="1">IF('[2]Pricing Schedule'!$K$5="No",IFERROR(SUBSTITUTE(ADDRESS(1,MATCH(A349,INDIRECT("'"&amp;E349&amp;"'"&amp;"!A10:Z10"),0),4),1,""),""),IFERROR(SUBSTITUTE(ADDRESS(1,MATCH(A349,INDIRECT("'"&amp;E349&amp;"'"&amp;"!A10:Z10"),0),4),1,""),""))</f>
        <v>M</v>
      </c>
      <c r="D349" s="1029" t="s">
        <v>1455</v>
      </c>
      <c r="E349" s="1029" t="s">
        <v>1372</v>
      </c>
      <c r="I349" s="1026" t="str">
        <f t="shared" si="36"/>
        <v>Split Case Per</v>
      </c>
      <c r="J349" s="1376" t="str">
        <f t="shared" si="38"/>
        <v>318</v>
      </c>
      <c r="K349" s="1376" t="str">
        <f t="shared" si="37"/>
        <v>Pricing Schedule</v>
      </c>
      <c r="L349" s="1090" t="s">
        <v>1320</v>
      </c>
      <c r="M349" s="1376">
        <v>318</v>
      </c>
      <c r="N349" s="1376"/>
    </row>
    <row r="350" spans="1:14" s="1370" customFormat="1" x14ac:dyDescent="0.25">
      <c r="A350" s="1117" t="s">
        <v>1382</v>
      </c>
      <c r="B350" s="1026" t="str">
        <f ca="1">IF('[2]Pricing Schedule'!$K$5="No",_xlfn.CONCAT(IFERROR(SUBSTITUTE(ADDRESS(1,MATCH(A350,INDIRECT("'"&amp;E350&amp;"'"&amp;"!A10:Z10"),0),4),1,""),""),17),_xlfn.CONCAT(IFERROR(SUBSTITUTE(ADDRESS(1,MATCH(A350,INDIRECT("'"&amp;E350&amp;"'"&amp;"!A10:Z10"),0),4),1,""),""),51))</f>
        <v>N51</v>
      </c>
      <c r="C350" s="1026" t="str">
        <f ca="1">IF('[2]Pricing Schedule'!$K$5="No",IFERROR(SUBSTITUTE(ADDRESS(1,MATCH(A350,INDIRECT("'"&amp;E350&amp;"'"&amp;"!A10:Z10"),0),4),1,""),""),IFERROR(SUBSTITUTE(ADDRESS(1,MATCH(A350,INDIRECT("'"&amp;E350&amp;"'"&amp;"!A10:Z10"),0),4),1,""),""))</f>
        <v>N</v>
      </c>
      <c r="D350" s="1029" t="s">
        <v>1455</v>
      </c>
      <c r="E350" s="1029" t="s">
        <v>1372</v>
      </c>
      <c r="I350" s="1026" t="str">
        <f t="shared" si="36"/>
        <v/>
      </c>
      <c r="J350" s="1376"/>
      <c r="K350" s="1376" t="str">
        <f t="shared" si="37"/>
        <v/>
      </c>
      <c r="L350" s="1090" t="s">
        <v>1382</v>
      </c>
      <c r="M350" s="1376">
        <v>319</v>
      </c>
      <c r="N350" s="1376"/>
    </row>
    <row r="351" spans="1:14" s="1370" customFormat="1" x14ac:dyDescent="0.25">
      <c r="A351" s="1118" t="s">
        <v>1373</v>
      </c>
      <c r="B351" s="1026" t="str">
        <f ca="1">IF('[2]Pricing Schedule'!$K$5="No",_xlfn.CONCAT(IFERROR(SUBSTITUTE(ADDRESS(1,MATCH(A351,INDIRECT("'"&amp;E351&amp;"'"&amp;"!A10:Z10"),0),4),1,""),""),17),_xlfn.CONCAT(IFERROR(SUBSTITUTE(ADDRESS(1,MATCH(A351,INDIRECT("'"&amp;E351&amp;"'"&amp;"!A10:Z10"),0),4),1,""),""),51))</f>
        <v>C51</v>
      </c>
      <c r="C351" s="1026" t="str">
        <f ca="1">IF('[2]Pricing Schedule'!$K$5="No",IFERROR(SUBSTITUTE(ADDRESS(1,MATCH(A351,INDIRECT("'"&amp;E351&amp;"'"&amp;"!A10:Z10"),0),4),1,""),""),IFERROR(SUBSTITUTE(ADDRESS(1,MATCH(A351,INDIRECT("'"&amp;E351&amp;"'"&amp;"!A10:Z10"),0),4),1,""),""))</f>
        <v>C</v>
      </c>
      <c r="D351" s="1029" t="s">
        <v>1455</v>
      </c>
      <c r="E351" s="1029" t="s">
        <v>1372</v>
      </c>
      <c r="I351" s="1026" t="str">
        <f t="shared" si="36"/>
        <v/>
      </c>
      <c r="J351" s="1376"/>
      <c r="K351" s="1376" t="str">
        <f t="shared" si="37"/>
        <v/>
      </c>
      <c r="L351" s="1090" t="s">
        <v>254</v>
      </c>
      <c r="M351" s="1376">
        <v>320</v>
      </c>
      <c r="N351" s="1376"/>
    </row>
    <row r="352" spans="1:14" s="1370" customFormat="1" x14ac:dyDescent="0.25">
      <c r="A352" s="1118" t="s">
        <v>1338</v>
      </c>
      <c r="B352" s="1026" t="str">
        <f ca="1">IF('[2]Pricing Schedule'!$K$5="No",_xlfn.CONCAT(IFERROR(SUBSTITUTE(ADDRESS(1,MATCH(A352,INDIRECT("'"&amp;E352&amp;"'"&amp;"!A10:Z10"),0),4),1,""),""),17),_xlfn.CONCAT(IFERROR(SUBSTITUTE(ADDRESS(1,MATCH(A352,INDIRECT("'"&amp;E352&amp;"'"&amp;"!A10:Z10"),0),4),1,""),""),51))</f>
        <v>H51</v>
      </c>
      <c r="C352" s="1026" t="str">
        <f ca="1">IF('[2]Pricing Schedule'!$K$5="No",IFERROR(SUBSTITUTE(ADDRESS(1,MATCH(A352,INDIRECT("'"&amp;E352&amp;"'"&amp;"!A10:Z10"),0),4),1,""),""),IFERROR(SUBSTITUTE(ADDRESS(1,MATCH(A352,INDIRECT("'"&amp;E352&amp;"'"&amp;"!A10:Z10"),0),4),1,""),""))</f>
        <v>H</v>
      </c>
      <c r="D352" s="1029" t="s">
        <v>1455</v>
      </c>
      <c r="E352" s="1029" t="s">
        <v>1372</v>
      </c>
      <c r="I352" s="1026" t="str">
        <f t="shared" si="36"/>
        <v/>
      </c>
      <c r="J352" s="1376"/>
      <c r="K352" s="1376" t="str">
        <f t="shared" si="37"/>
        <v/>
      </c>
      <c r="L352" s="1090" t="s">
        <v>1338</v>
      </c>
      <c r="M352" s="1376">
        <v>321</v>
      </c>
      <c r="N352" s="1376"/>
    </row>
    <row r="353" spans="1:14" s="1370" customFormat="1" x14ac:dyDescent="0.25">
      <c r="A353" s="1118" t="s">
        <v>1376</v>
      </c>
      <c r="B353" s="1026" t="str">
        <f ca="1">IF('[2]Pricing Schedule'!$K$5="No",_xlfn.CONCAT(IFERROR(SUBSTITUTE(ADDRESS(1,MATCH(A353,INDIRECT("'"&amp;E353&amp;"'"&amp;"!A10:Z10"),0),4),1,""),""),17),_xlfn.CONCAT(IFERROR(SUBSTITUTE(ADDRESS(1,MATCH(A353,INDIRECT("'"&amp;E353&amp;"'"&amp;"!A10:Z10"),0),4),1,""),""),51))</f>
        <v>F51</v>
      </c>
      <c r="C353" s="1026" t="str">
        <f ca="1">IF('[2]Pricing Schedule'!$K$5="No",IFERROR(SUBSTITUTE(ADDRESS(1,MATCH(A353,INDIRECT("'"&amp;E353&amp;"'"&amp;"!A10:Z10"),0),4),1,""),""),IFERROR(SUBSTITUTE(ADDRESS(1,MATCH(A353,INDIRECT("'"&amp;E353&amp;"'"&amp;"!A10:Z10"),0),4),1,""),""))</f>
        <v>F</v>
      </c>
      <c r="D353" s="1029" t="s">
        <v>1455</v>
      </c>
      <c r="E353" s="1029" t="s">
        <v>1372</v>
      </c>
      <c r="I353" s="1026" t="str">
        <f t="shared" si="36"/>
        <v/>
      </c>
      <c r="J353" s="1376"/>
      <c r="K353" s="1376" t="str">
        <f t="shared" si="37"/>
        <v/>
      </c>
      <c r="L353" s="1090" t="s">
        <v>225</v>
      </c>
      <c r="M353" s="1376">
        <v>322</v>
      </c>
      <c r="N353" s="1376"/>
    </row>
    <row r="354" spans="1:14" s="1370" customFormat="1" x14ac:dyDescent="0.25">
      <c r="A354" s="1119" t="s">
        <v>466</v>
      </c>
      <c r="B354" s="1026" t="str">
        <f ca="1">_xlfn.CONCAT(IFERROR(SUBSTITUTE(ADDRESS(1,MATCH(A354,INDIRECT("'"&amp;E354&amp;"'"&amp;"!A9:Z9"),0),4),1,""),""),16)</f>
        <v>E16</v>
      </c>
      <c r="C354" s="1026" t="str">
        <f ca="1">_xlfn.CONCAT(IFERROR(SUBSTITUTE(ADDRESS(1,MATCH(A354,INDIRECT("'"&amp;E354&amp;"'"&amp;"!A9:Z9"),0),4),1,""),""))</f>
        <v>E</v>
      </c>
      <c r="D354" s="1376" t="s">
        <v>1455</v>
      </c>
      <c r="E354" s="1029" t="s">
        <v>208</v>
      </c>
      <c r="I354" s="1026" t="str">
        <f t="shared" si="36"/>
        <v>Exclude PIM Classes Below</v>
      </c>
      <c r="J354" s="1376" t="str">
        <f t="shared" si="38"/>
        <v>323</v>
      </c>
      <c r="K354" s="1376" t="str">
        <f t="shared" si="37"/>
        <v>PIM Model</v>
      </c>
      <c r="L354" s="1090" t="s">
        <v>466</v>
      </c>
      <c r="M354" s="1376">
        <v>323</v>
      </c>
      <c r="N354" s="1376"/>
    </row>
    <row r="355" spans="1:14" s="1370" customFormat="1" x14ac:dyDescent="0.25">
      <c r="A355" s="1119" t="s">
        <v>1375</v>
      </c>
      <c r="B355" s="1026" t="str">
        <f ca="1">IF('[2]Pricing Schedule'!$K$5="No",_xlfn.CONCAT(IFERROR(SUBSTITUTE(ADDRESS(1,MATCH(A355,INDIRECT("'"&amp;E355&amp;"'"&amp;"!A10:Z10"),0),4),1,""),""),17),_xlfn.CONCAT(IFERROR(SUBSTITUTE(ADDRESS(1,MATCH(A355,INDIRECT("'"&amp;E355&amp;"'"&amp;"!A10:Z10"),0),4),1,""),""),51))</f>
        <v>E51</v>
      </c>
      <c r="C355" s="1026" t="str">
        <f ca="1">IF('[2]Pricing Schedule'!$K$5="No",IFERROR(SUBSTITUTE(ADDRESS(1,MATCH(A355,INDIRECT("'"&amp;E355&amp;"'"&amp;"!A10:Z10"),0),4),1,""),""),IFERROR(SUBSTITUTE(ADDRESS(1,MATCH(A355,INDIRECT("'"&amp;E355&amp;"'"&amp;"!A10:Z10"),0),4),1,""),""))</f>
        <v>E</v>
      </c>
      <c r="D355" s="1029" t="s">
        <v>1455</v>
      </c>
      <c r="E355" s="1029" t="s">
        <v>1372</v>
      </c>
      <c r="I355" s="1026" t="str">
        <f t="shared" si="36"/>
        <v>Special Pricing Code</v>
      </c>
      <c r="J355" s="1376" t="str">
        <f t="shared" si="38"/>
        <v>324</v>
      </c>
      <c r="K355" s="1376" t="str">
        <f t="shared" si="37"/>
        <v>Pricing Schedule</v>
      </c>
      <c r="L355" s="1090" t="s">
        <v>1375</v>
      </c>
      <c r="M355" s="1376">
        <v>324</v>
      </c>
      <c r="N355" s="1376"/>
    </row>
    <row r="356" spans="1:14" s="1370" customFormat="1" x14ac:dyDescent="0.25">
      <c r="A356" s="1119" t="s">
        <v>1377</v>
      </c>
      <c r="B356" s="1026" t="str">
        <f ca="1">IF('[2]Pricing Schedule'!$K$5="No",_xlfn.CONCAT(IFERROR(SUBSTITUTE(ADDRESS(1,MATCH(A356,INDIRECT("'"&amp;E356&amp;"'"&amp;"!A10:Z10"),0),4),1,""),""),17),_xlfn.CONCAT(IFERROR(SUBSTITUTE(ADDRESS(1,MATCH(A356,INDIRECT("'"&amp;E356&amp;"'"&amp;"!A10:Z10"),0),4),1,""),""),51))</f>
        <v>G51</v>
      </c>
      <c r="C356" s="1026" t="str">
        <f ca="1">IF('[2]Pricing Schedule'!$K$5="No",IFERROR(SUBSTITUTE(ADDRESS(1,MATCH(A356,INDIRECT("'"&amp;E356&amp;"'"&amp;"!A10:Z10"),0),4),1,""),""),IFERROR(SUBSTITUTE(ADDRESS(1,MATCH(A356,INDIRECT("'"&amp;E356&amp;"'"&amp;"!A10:Z10"),0),4),1,""),""))</f>
        <v>G</v>
      </c>
      <c r="D356" s="1029" t="s">
        <v>1455</v>
      </c>
      <c r="E356" s="1029" t="s">
        <v>1372</v>
      </c>
      <c r="I356" s="1026" t="str">
        <f t="shared" si="36"/>
        <v>EB Markup Amt</v>
      </c>
      <c r="J356" s="1376" t="str">
        <f t="shared" si="38"/>
        <v>325</v>
      </c>
      <c r="K356" s="1376" t="str">
        <f t="shared" si="37"/>
        <v>Pricing Schedule</v>
      </c>
      <c r="L356" s="1090" t="s">
        <v>1377</v>
      </c>
      <c r="M356" s="1376">
        <v>325</v>
      </c>
      <c r="N356" s="1376"/>
    </row>
    <row r="357" spans="1:14" s="1370" customFormat="1" x14ac:dyDescent="0.25">
      <c r="A357" s="1119" t="s">
        <v>1378</v>
      </c>
      <c r="B357" s="1026" t="str">
        <f ca="1">IF('[2]Pricing Schedule'!$K$5="No",_xlfn.CONCAT(IFERROR(SUBSTITUTE(ADDRESS(1,MATCH(A357,INDIRECT("'"&amp;E357&amp;"'"&amp;"!A10:Z10"),0),4),1,""),""),17),_xlfn.CONCAT(IFERROR(SUBSTITUTE(ADDRESS(1,MATCH(A357,INDIRECT("'"&amp;E357&amp;"'"&amp;"!A10:Z10"),0),4),1,""),""),51))</f>
        <v>I51</v>
      </c>
      <c r="C357" s="1026" t="str">
        <f ca="1">IF('[2]Pricing Schedule'!$K$5="No",IFERROR(SUBSTITUTE(ADDRESS(1,MATCH(A357,INDIRECT("'"&amp;E357&amp;"'"&amp;"!A10:Z10"),0),4),1,""),""),IFERROR(SUBSTITUTE(ADDRESS(1,MATCH(A357,INDIRECT("'"&amp;E357&amp;"'"&amp;"!A10:Z10"),0),4),1,""),""))</f>
        <v>I</v>
      </c>
      <c r="D357" s="1029" t="s">
        <v>1455</v>
      </c>
      <c r="E357" s="1029" t="s">
        <v>1372</v>
      </c>
      <c r="I357" s="1026" t="str">
        <f t="shared" si="36"/>
        <v>Min CS Markup Override Flag</v>
      </c>
      <c r="J357" s="1376" t="str">
        <f t="shared" si="38"/>
        <v>326</v>
      </c>
      <c r="K357" s="1376" t="str">
        <f t="shared" si="37"/>
        <v>Pricing Schedule</v>
      </c>
      <c r="L357" s="1090" t="s">
        <v>1378</v>
      </c>
      <c r="M357" s="1376">
        <v>326</v>
      </c>
      <c r="N357" s="1376"/>
    </row>
    <row r="358" spans="1:14" s="1370" customFormat="1" x14ac:dyDescent="0.25">
      <c r="A358" s="1119" t="s">
        <v>1379</v>
      </c>
      <c r="B358" s="1026" t="str">
        <f ca="1">IF('[2]Pricing Schedule'!$K$5="No",_xlfn.CONCAT(IFERROR(SUBSTITUTE(ADDRESS(1,MATCH(A358,INDIRECT("'"&amp;E358&amp;"'"&amp;"!A10:Z10"),0),4),1,""),""),17),_xlfn.CONCAT(IFERROR(SUBSTITUTE(ADDRESS(1,MATCH(A358,INDIRECT("'"&amp;E358&amp;"'"&amp;"!A10:Z10"),0),4),1,""),""),51))</f>
        <v>J51</v>
      </c>
      <c r="C358" s="1026" t="str">
        <f ca="1">IF('[2]Pricing Schedule'!$K$5="No",IFERROR(SUBSTITUTE(ADDRESS(1,MATCH(A358,INDIRECT("'"&amp;E358&amp;"'"&amp;"!A10:Z10"),0),4),1,""),""),IFERROR(SUBSTITUTE(ADDRESS(1,MATCH(A358,INDIRECT("'"&amp;E358&amp;"'"&amp;"!A10:Z10"),0),4),1,""),""))</f>
        <v>J</v>
      </c>
      <c r="D358" s="1029" t="s">
        <v>1455</v>
      </c>
      <c r="E358" s="1029" t="s">
        <v>1372</v>
      </c>
      <c r="I358" s="1026" t="str">
        <f t="shared" si="36"/>
        <v>Min CS Markup Amt</v>
      </c>
      <c r="J358" s="1376" t="str">
        <f t="shared" si="38"/>
        <v>327</v>
      </c>
      <c r="K358" s="1376" t="str">
        <f t="shared" si="37"/>
        <v>Pricing Schedule</v>
      </c>
      <c r="L358" s="1090" t="s">
        <v>1379</v>
      </c>
      <c r="M358" s="1376">
        <v>327</v>
      </c>
      <c r="N358" s="1376"/>
    </row>
    <row r="359" spans="1:14" s="1370" customFormat="1" x14ac:dyDescent="0.25">
      <c r="A359" s="1119" t="s">
        <v>1380</v>
      </c>
      <c r="B359" s="1026" t="str">
        <f ca="1">IF('[2]Pricing Schedule'!$K$5="No",_xlfn.CONCAT(IFERROR(SUBSTITUTE(ADDRESS(1,MATCH(A359,INDIRECT("'"&amp;E359&amp;"'"&amp;"!A10:Z10"),0),4),1,""),""),17),_xlfn.CONCAT(IFERROR(SUBSTITUTE(ADDRESS(1,MATCH(A359,INDIRECT("'"&amp;E359&amp;"'"&amp;"!A10:Z10"),0),4),1,""),""),51))</f>
        <v>K51</v>
      </c>
      <c r="C359" s="1026" t="str">
        <f ca="1">IF('[2]Pricing Schedule'!$K$5="No",IFERROR(SUBSTITUTE(ADDRESS(1,MATCH(A359,INDIRECT("'"&amp;E359&amp;"'"&amp;"!A10:Z10"),0),4),1,""),""),IFERROR(SUBSTITUTE(ADDRESS(1,MATCH(A359,INDIRECT("'"&amp;E359&amp;"'"&amp;"!A10:Z10"),0),4),1,""),""))</f>
        <v>K</v>
      </c>
      <c r="D359" s="1029" t="s">
        <v>1455</v>
      </c>
      <c r="E359" s="1029" t="s">
        <v>1372</v>
      </c>
      <c r="I359" s="1026" t="str">
        <f t="shared" si="36"/>
        <v>Split Case Fee Override Flag</v>
      </c>
      <c r="J359" s="1376" t="str">
        <f t="shared" si="38"/>
        <v>328</v>
      </c>
      <c r="K359" s="1376" t="str">
        <f t="shared" si="37"/>
        <v>Pricing Schedule</v>
      </c>
      <c r="L359" s="1090" t="s">
        <v>1380</v>
      </c>
      <c r="M359" s="1376">
        <v>328</v>
      </c>
      <c r="N359" s="1376"/>
    </row>
    <row r="360" spans="1:14" s="1370" customFormat="1" x14ac:dyDescent="0.25">
      <c r="A360" s="1119" t="s">
        <v>1381</v>
      </c>
      <c r="B360" s="1026" t="str">
        <f ca="1">IF('[2]Pricing Schedule'!$K$5="No",_xlfn.CONCAT(IFERROR(SUBSTITUTE(ADDRESS(1,MATCH(A360,INDIRECT("'"&amp;E360&amp;"'"&amp;"!A10:Z10"),0),4),1,""),""),17),_xlfn.CONCAT(IFERROR(SUBSTITUTE(ADDRESS(1,MATCH(A360,INDIRECT("'"&amp;E360&amp;"'"&amp;"!A10:Z10"),0),4),1,""),""),51))</f>
        <v>L51</v>
      </c>
      <c r="C360" s="1026" t="str">
        <f ca="1">IF('[2]Pricing Schedule'!$K$5="No",IFERROR(SUBSTITUTE(ADDRESS(1,MATCH(A360,INDIRECT("'"&amp;E360&amp;"'"&amp;"!A10:Z10"),0),4),1,""),""),IFERROR(SUBSTITUTE(ADDRESS(1,MATCH(A360,INDIRECT("'"&amp;E360&amp;"'"&amp;"!A10:Z10"),0),4),1,""),""))</f>
        <v>L</v>
      </c>
      <c r="D360" s="1029" t="s">
        <v>1455</v>
      </c>
      <c r="E360" s="1029" t="s">
        <v>1372</v>
      </c>
      <c r="I360" s="1026" t="str">
        <f t="shared" si="36"/>
        <v>Split Case Fee</v>
      </c>
      <c r="J360" s="1376" t="str">
        <f t="shared" si="38"/>
        <v>329</v>
      </c>
      <c r="K360" s="1376" t="str">
        <f t="shared" si="37"/>
        <v>Pricing Schedule</v>
      </c>
      <c r="L360" s="1090" t="s">
        <v>1381</v>
      </c>
      <c r="M360" s="1376">
        <v>329</v>
      </c>
      <c r="N360" s="1376"/>
    </row>
    <row r="361" spans="1:14" s="1370" customFormat="1" x14ac:dyDescent="0.25">
      <c r="A361" s="1119" t="s">
        <v>1320</v>
      </c>
      <c r="B361" s="1026" t="str">
        <f ca="1">IF('[2]Pricing Schedule'!$K$5="No",_xlfn.CONCAT(IFERROR(SUBSTITUTE(ADDRESS(1,MATCH(A361,INDIRECT("'"&amp;E361&amp;"'"&amp;"!A10:Z10"),0),4),1,""),""),17),_xlfn.CONCAT(IFERROR(SUBSTITUTE(ADDRESS(1,MATCH(A361,INDIRECT("'"&amp;E361&amp;"'"&amp;"!A10:Z10"),0),4),1,""),""),51))</f>
        <v>M51</v>
      </c>
      <c r="C361" s="1026" t="str">
        <f ca="1">IF('[2]Pricing Schedule'!$K$5="No",IFERROR(SUBSTITUTE(ADDRESS(1,MATCH(A361,INDIRECT("'"&amp;E361&amp;"'"&amp;"!A10:Z10"),0),4),1,""),""),IFERROR(SUBSTITUTE(ADDRESS(1,MATCH(A361,INDIRECT("'"&amp;E361&amp;"'"&amp;"!A10:Z10"),0),4),1,""),""))</f>
        <v>M</v>
      </c>
      <c r="D361" s="1029" t="s">
        <v>1455</v>
      </c>
      <c r="E361" s="1029" t="s">
        <v>1372</v>
      </c>
      <c r="I361" s="1026" t="str">
        <f t="shared" si="36"/>
        <v>Split Case Per</v>
      </c>
      <c r="J361" s="1376" t="str">
        <f t="shared" si="38"/>
        <v>330</v>
      </c>
      <c r="K361" s="1376" t="str">
        <f t="shared" si="37"/>
        <v>Pricing Schedule</v>
      </c>
      <c r="L361" s="1090" t="s">
        <v>1320</v>
      </c>
      <c r="M361" s="1376">
        <v>330</v>
      </c>
      <c r="N361" s="1376"/>
    </row>
    <row r="362" spans="1:14" s="1370" customFormat="1" x14ac:dyDescent="0.25">
      <c r="A362" s="1120" t="s">
        <v>1382</v>
      </c>
      <c r="B362" s="1026" t="str">
        <f ca="1">IF('[2]Pricing Schedule'!$K$5="No",_xlfn.CONCAT(IFERROR(SUBSTITUTE(ADDRESS(1,MATCH(A362,INDIRECT("'"&amp;E362&amp;"'"&amp;"!A10:Z10"),0),4),1,""),""),20),_xlfn.CONCAT(IFERROR(SUBSTITUTE(ADDRESS(1,MATCH(A362,INDIRECT("'"&amp;E362&amp;"'"&amp;"!A10:Z10"),0),4),1,""),""),54))</f>
        <v>N54</v>
      </c>
      <c r="C362" s="1026" t="str">
        <f ca="1">IF('[2]Pricing Schedule'!$K$5="No",IFERROR(SUBSTITUTE(ADDRESS(1,MATCH(A362,INDIRECT("'"&amp;E362&amp;"'"&amp;"!A10:Z10"),0),4),1,""),""),IFERROR(SUBSTITUTE(ADDRESS(1,MATCH(A362,INDIRECT("'"&amp;E362&amp;"'"&amp;"!A10:Z10"),0),4),1,""),""))</f>
        <v>N</v>
      </c>
      <c r="D362" s="1029" t="s">
        <v>1455</v>
      </c>
      <c r="E362" s="1029" t="s">
        <v>1372</v>
      </c>
      <c r="I362" s="1026" t="str">
        <f t="shared" si="36"/>
        <v/>
      </c>
      <c r="J362" s="1376"/>
      <c r="K362" s="1376" t="str">
        <f t="shared" si="37"/>
        <v/>
      </c>
      <c r="L362" s="1090" t="s">
        <v>1382</v>
      </c>
      <c r="M362" s="1376">
        <v>331</v>
      </c>
      <c r="N362" s="1376"/>
    </row>
    <row r="363" spans="1:14" s="1370" customFormat="1" x14ac:dyDescent="0.25">
      <c r="A363" s="1121" t="s">
        <v>1373</v>
      </c>
      <c r="B363" s="1026" t="str">
        <f ca="1">IF('[2]Pricing Schedule'!$K$5="No",_xlfn.CONCAT(IFERROR(SUBSTITUTE(ADDRESS(1,MATCH(A363,INDIRECT("'"&amp;E363&amp;"'"&amp;"!A10:Z10"),0),4),1,""),""),20),_xlfn.CONCAT(IFERROR(SUBSTITUTE(ADDRESS(1,MATCH(A363,INDIRECT("'"&amp;E363&amp;"'"&amp;"!A10:Z10"),0),4),1,""),""),54))</f>
        <v>C54</v>
      </c>
      <c r="C363" s="1026" t="str">
        <f ca="1">IF('[2]Pricing Schedule'!$K$5="No",IFERROR(SUBSTITUTE(ADDRESS(1,MATCH(A363,INDIRECT("'"&amp;E363&amp;"'"&amp;"!A10:Z10"),0),4),1,""),""),IFERROR(SUBSTITUTE(ADDRESS(1,MATCH(A363,INDIRECT("'"&amp;E363&amp;"'"&amp;"!A10:Z10"),0),4),1,""),""))</f>
        <v>C</v>
      </c>
      <c r="D363" s="1029" t="s">
        <v>1455</v>
      </c>
      <c r="E363" s="1029" t="s">
        <v>1372</v>
      </c>
      <c r="I363" s="1026" t="str">
        <f t="shared" si="36"/>
        <v/>
      </c>
      <c r="J363" s="1376"/>
      <c r="K363" s="1376" t="str">
        <f t="shared" si="37"/>
        <v/>
      </c>
      <c r="L363" s="1090" t="s">
        <v>254</v>
      </c>
      <c r="M363" s="1376">
        <v>332</v>
      </c>
      <c r="N363" s="1376"/>
    </row>
    <row r="364" spans="1:14" s="1370" customFormat="1" x14ac:dyDescent="0.25">
      <c r="A364" s="1121" t="s">
        <v>1338</v>
      </c>
      <c r="B364" s="1026" t="str">
        <f ca="1">IF('[2]Pricing Schedule'!$K$5="No",_xlfn.CONCAT(IFERROR(SUBSTITUTE(ADDRESS(1,MATCH(A364,INDIRECT("'"&amp;E364&amp;"'"&amp;"!A10:Z10"),0),4),1,""),""),20),_xlfn.CONCAT(IFERROR(SUBSTITUTE(ADDRESS(1,MATCH(A364,INDIRECT("'"&amp;E364&amp;"'"&amp;"!A10:Z10"),0),4),1,""),""),54))</f>
        <v>H54</v>
      </c>
      <c r="C364" s="1026" t="str">
        <f ca="1">IF('[2]Pricing Schedule'!$K$5="No",IFERROR(SUBSTITUTE(ADDRESS(1,MATCH(A364,INDIRECT("'"&amp;E364&amp;"'"&amp;"!A10:Z10"),0),4),1,""),""),IFERROR(SUBSTITUTE(ADDRESS(1,MATCH(A364,INDIRECT("'"&amp;E364&amp;"'"&amp;"!A10:Z10"),0),4),1,""),""))</f>
        <v>H</v>
      </c>
      <c r="D364" s="1029" t="s">
        <v>1455</v>
      </c>
      <c r="E364" s="1029" t="s">
        <v>1372</v>
      </c>
      <c r="I364" s="1026" t="str">
        <f t="shared" si="36"/>
        <v/>
      </c>
      <c r="J364" s="1376"/>
      <c r="K364" s="1376" t="str">
        <f t="shared" si="37"/>
        <v/>
      </c>
      <c r="L364" s="1090" t="s">
        <v>1338</v>
      </c>
      <c r="M364" s="1376">
        <v>333</v>
      </c>
      <c r="N364" s="1376"/>
    </row>
    <row r="365" spans="1:14" s="1370" customFormat="1" x14ac:dyDescent="0.25">
      <c r="A365" s="1121" t="s">
        <v>1376</v>
      </c>
      <c r="B365" s="1026" t="str">
        <f ca="1">IF('[2]Pricing Schedule'!$K$5="No",_xlfn.CONCAT(IFERROR(SUBSTITUTE(ADDRESS(1,MATCH(A365,INDIRECT("'"&amp;E365&amp;"'"&amp;"!A10:Z10"),0),4),1,""),""),20),_xlfn.CONCAT(IFERROR(SUBSTITUTE(ADDRESS(1,MATCH(A365,INDIRECT("'"&amp;E365&amp;"'"&amp;"!A10:Z10"),0),4),1,""),""),54))</f>
        <v>F54</v>
      </c>
      <c r="C365" s="1026" t="str">
        <f ca="1">IF('[2]Pricing Schedule'!$K$5="No",IFERROR(SUBSTITUTE(ADDRESS(1,MATCH(A365,INDIRECT("'"&amp;E365&amp;"'"&amp;"!A10:Z10"),0),4),1,""),""),IFERROR(SUBSTITUTE(ADDRESS(1,MATCH(A365,INDIRECT("'"&amp;E365&amp;"'"&amp;"!A10:Z10"),0),4),1,""),""))</f>
        <v>F</v>
      </c>
      <c r="D365" s="1029" t="s">
        <v>1455</v>
      </c>
      <c r="E365" s="1029" t="s">
        <v>1372</v>
      </c>
      <c r="I365" s="1026" t="str">
        <f t="shared" si="36"/>
        <v/>
      </c>
      <c r="J365" s="1376"/>
      <c r="K365" s="1376" t="str">
        <f t="shared" si="37"/>
        <v/>
      </c>
      <c r="L365" s="1090" t="s">
        <v>225</v>
      </c>
      <c r="M365" s="1376">
        <v>334</v>
      </c>
      <c r="N365" s="1376"/>
    </row>
    <row r="366" spans="1:14" s="1370" customFormat="1" x14ac:dyDescent="0.25">
      <c r="A366" s="1122" t="s">
        <v>466</v>
      </c>
      <c r="B366" s="1026" t="str">
        <f ca="1">_xlfn.CONCAT(IFERROR(SUBSTITUTE(ADDRESS(1,MATCH(A366,INDIRECT("'"&amp;E366&amp;"'"&amp;"!A9:Z9"),0),4),1,""),""),17)</f>
        <v>E17</v>
      </c>
      <c r="C366" s="1026" t="str">
        <f ca="1">_xlfn.CONCAT(IFERROR(SUBSTITUTE(ADDRESS(1,MATCH(A366,INDIRECT("'"&amp;E366&amp;"'"&amp;"!A9:Z9"),0),4),1,""),""))</f>
        <v>E</v>
      </c>
      <c r="D366" s="1376" t="s">
        <v>1455</v>
      </c>
      <c r="E366" s="1029" t="s">
        <v>208</v>
      </c>
      <c r="I366" s="1026" t="str">
        <f t="shared" si="36"/>
        <v>Exclude PIM Classes Below</v>
      </c>
      <c r="J366" s="1376" t="str">
        <f t="shared" si="38"/>
        <v>335</v>
      </c>
      <c r="K366" s="1376" t="str">
        <f t="shared" si="37"/>
        <v>PIM Model</v>
      </c>
      <c r="L366" s="1090" t="s">
        <v>466</v>
      </c>
      <c r="M366" s="1376">
        <v>335</v>
      </c>
      <c r="N366" s="1376"/>
    </row>
    <row r="367" spans="1:14" s="1370" customFormat="1" x14ac:dyDescent="0.25">
      <c r="A367" s="1122" t="s">
        <v>1375</v>
      </c>
      <c r="B367" s="1026" t="str">
        <f ca="1">IF('[2]Pricing Schedule'!$K$5="No",_xlfn.CONCAT(IFERROR(SUBSTITUTE(ADDRESS(1,MATCH(A367,INDIRECT("'"&amp;E367&amp;"'"&amp;"!A10:Z10"),0),4),1,""),""),20),_xlfn.CONCAT(IFERROR(SUBSTITUTE(ADDRESS(1,MATCH(A367,INDIRECT("'"&amp;E367&amp;"'"&amp;"!A10:Z10"),0),4),1,""),""),54))</f>
        <v>E54</v>
      </c>
      <c r="C367" s="1026" t="str">
        <f ca="1">IF('[2]Pricing Schedule'!$K$5="No",IFERROR(SUBSTITUTE(ADDRESS(1,MATCH(A367,INDIRECT("'"&amp;E367&amp;"'"&amp;"!A10:Z10"),0),4),1,""),""),IFERROR(SUBSTITUTE(ADDRESS(1,MATCH(A367,INDIRECT("'"&amp;E367&amp;"'"&amp;"!A10:Z10"),0),4),1,""),""))</f>
        <v>E</v>
      </c>
      <c r="D367" s="1029" t="s">
        <v>1455</v>
      </c>
      <c r="E367" s="1029" t="s">
        <v>1372</v>
      </c>
      <c r="I367" s="1026" t="str">
        <f t="shared" si="36"/>
        <v>Special Pricing Code</v>
      </c>
      <c r="J367" s="1376" t="str">
        <f t="shared" si="38"/>
        <v>336</v>
      </c>
      <c r="K367" s="1376" t="str">
        <f t="shared" si="37"/>
        <v>Pricing Schedule</v>
      </c>
      <c r="L367" s="1090" t="s">
        <v>1375</v>
      </c>
      <c r="M367" s="1376">
        <v>336</v>
      </c>
      <c r="N367" s="1376"/>
    </row>
    <row r="368" spans="1:14" s="1370" customFormat="1" x14ac:dyDescent="0.25">
      <c r="A368" s="1122" t="s">
        <v>1377</v>
      </c>
      <c r="B368" s="1026" t="str">
        <f ca="1">IF('[2]Pricing Schedule'!$K$5="No",_xlfn.CONCAT(IFERROR(SUBSTITUTE(ADDRESS(1,MATCH(A368,INDIRECT("'"&amp;E368&amp;"'"&amp;"!A10:Z10"),0),4),1,""),""),20),_xlfn.CONCAT(IFERROR(SUBSTITUTE(ADDRESS(1,MATCH(A368,INDIRECT("'"&amp;E368&amp;"'"&amp;"!A10:Z10"),0),4),1,""),""),54))</f>
        <v>G54</v>
      </c>
      <c r="C368" s="1026" t="str">
        <f ca="1">IF('[2]Pricing Schedule'!$K$5="No",IFERROR(SUBSTITUTE(ADDRESS(1,MATCH(A368,INDIRECT("'"&amp;E368&amp;"'"&amp;"!A10:Z10"),0),4),1,""),""),IFERROR(SUBSTITUTE(ADDRESS(1,MATCH(A368,INDIRECT("'"&amp;E368&amp;"'"&amp;"!A10:Z10"),0),4),1,""),""))</f>
        <v>G</v>
      </c>
      <c r="D368" s="1029" t="s">
        <v>1455</v>
      </c>
      <c r="E368" s="1029" t="s">
        <v>1372</v>
      </c>
      <c r="I368" s="1026" t="str">
        <f t="shared" si="36"/>
        <v>EB Markup Amt</v>
      </c>
      <c r="J368" s="1376" t="str">
        <f t="shared" si="38"/>
        <v>337</v>
      </c>
      <c r="K368" s="1376" t="str">
        <f t="shared" si="37"/>
        <v>Pricing Schedule</v>
      </c>
      <c r="L368" s="1090" t="s">
        <v>1377</v>
      </c>
      <c r="M368" s="1376">
        <v>337</v>
      </c>
      <c r="N368" s="1376"/>
    </row>
    <row r="369" spans="1:14" s="1370" customFormat="1" x14ac:dyDescent="0.25">
      <c r="A369" s="1122" t="s">
        <v>1378</v>
      </c>
      <c r="B369" s="1026" t="str">
        <f ca="1">IF('[2]Pricing Schedule'!$K$5="No",_xlfn.CONCAT(IFERROR(SUBSTITUTE(ADDRESS(1,MATCH(A369,INDIRECT("'"&amp;E369&amp;"'"&amp;"!A10:Z10"),0),4),1,""),""),20),_xlfn.CONCAT(IFERROR(SUBSTITUTE(ADDRESS(1,MATCH(A369,INDIRECT("'"&amp;E369&amp;"'"&amp;"!A10:Z10"),0),4),1,""),""),54))</f>
        <v>I54</v>
      </c>
      <c r="C369" s="1026" t="str">
        <f ca="1">IF('[2]Pricing Schedule'!$K$5="No",IFERROR(SUBSTITUTE(ADDRESS(1,MATCH(A369,INDIRECT("'"&amp;E369&amp;"'"&amp;"!A10:Z10"),0),4),1,""),""),IFERROR(SUBSTITUTE(ADDRESS(1,MATCH(A369,INDIRECT("'"&amp;E369&amp;"'"&amp;"!A10:Z10"),0),4),1,""),""))</f>
        <v>I</v>
      </c>
      <c r="D369" s="1029" t="s">
        <v>1455</v>
      </c>
      <c r="E369" s="1029" t="s">
        <v>1372</v>
      </c>
      <c r="I369" s="1026" t="str">
        <f t="shared" si="36"/>
        <v>Min CS Markup Override Flag</v>
      </c>
      <c r="J369" s="1376" t="str">
        <f t="shared" si="38"/>
        <v>338</v>
      </c>
      <c r="K369" s="1376" t="str">
        <f t="shared" si="37"/>
        <v>Pricing Schedule</v>
      </c>
      <c r="L369" s="1090" t="s">
        <v>1378</v>
      </c>
      <c r="M369" s="1376">
        <v>338</v>
      </c>
      <c r="N369" s="1376"/>
    </row>
    <row r="370" spans="1:14" s="1370" customFormat="1" x14ac:dyDescent="0.25">
      <c r="A370" s="1122" t="s">
        <v>1379</v>
      </c>
      <c r="B370" s="1026" t="str">
        <f ca="1">IF('[2]Pricing Schedule'!$K$5="No",_xlfn.CONCAT(IFERROR(SUBSTITUTE(ADDRESS(1,MATCH(A370,INDIRECT("'"&amp;E370&amp;"'"&amp;"!A10:Z10"),0),4),1,""),""),20),_xlfn.CONCAT(IFERROR(SUBSTITUTE(ADDRESS(1,MATCH(A370,INDIRECT("'"&amp;E370&amp;"'"&amp;"!A10:Z10"),0),4),1,""),""),54))</f>
        <v>J54</v>
      </c>
      <c r="C370" s="1026" t="str">
        <f ca="1">IF('[2]Pricing Schedule'!$K$5="No",IFERROR(SUBSTITUTE(ADDRESS(1,MATCH(A370,INDIRECT("'"&amp;E370&amp;"'"&amp;"!A10:Z10"),0),4),1,""),""),IFERROR(SUBSTITUTE(ADDRESS(1,MATCH(A370,INDIRECT("'"&amp;E370&amp;"'"&amp;"!A10:Z10"),0),4),1,""),""))</f>
        <v>J</v>
      </c>
      <c r="D370" s="1029" t="s">
        <v>1455</v>
      </c>
      <c r="E370" s="1029" t="s">
        <v>1372</v>
      </c>
      <c r="I370" s="1026" t="str">
        <f t="shared" si="36"/>
        <v>Min CS Markup Amt</v>
      </c>
      <c r="J370" s="1376" t="str">
        <f t="shared" si="38"/>
        <v>339</v>
      </c>
      <c r="K370" s="1376" t="str">
        <f t="shared" si="37"/>
        <v>Pricing Schedule</v>
      </c>
      <c r="L370" s="1090" t="s">
        <v>1379</v>
      </c>
      <c r="M370" s="1376">
        <v>339</v>
      </c>
      <c r="N370" s="1376"/>
    </row>
    <row r="371" spans="1:14" s="1370" customFormat="1" x14ac:dyDescent="0.25">
      <c r="A371" s="1122" t="s">
        <v>1380</v>
      </c>
      <c r="B371" s="1026" t="str">
        <f ca="1">IF('[2]Pricing Schedule'!$K$5="No",_xlfn.CONCAT(IFERROR(SUBSTITUTE(ADDRESS(1,MATCH(A371,INDIRECT("'"&amp;E371&amp;"'"&amp;"!A10:Z10"),0),4),1,""),""),20),_xlfn.CONCAT(IFERROR(SUBSTITUTE(ADDRESS(1,MATCH(A371,INDIRECT("'"&amp;E371&amp;"'"&amp;"!A10:Z10"),0),4),1,""),""),54))</f>
        <v>K54</v>
      </c>
      <c r="C371" s="1026" t="str">
        <f ca="1">IF('[2]Pricing Schedule'!$K$5="No",IFERROR(SUBSTITUTE(ADDRESS(1,MATCH(A371,INDIRECT("'"&amp;E371&amp;"'"&amp;"!A10:Z10"),0),4),1,""),""),IFERROR(SUBSTITUTE(ADDRESS(1,MATCH(A371,INDIRECT("'"&amp;E371&amp;"'"&amp;"!A10:Z10"),0),4),1,""),""))</f>
        <v>K</v>
      </c>
      <c r="D371" s="1029" t="s">
        <v>1455</v>
      </c>
      <c r="E371" s="1029" t="s">
        <v>1372</v>
      </c>
      <c r="I371" s="1026" t="str">
        <f t="shared" si="36"/>
        <v>Split Case Fee Override Flag</v>
      </c>
      <c r="J371" s="1376" t="str">
        <f t="shared" si="38"/>
        <v>340</v>
      </c>
      <c r="K371" s="1376" t="str">
        <f t="shared" si="37"/>
        <v>Pricing Schedule</v>
      </c>
      <c r="L371" s="1090" t="s">
        <v>1380</v>
      </c>
      <c r="M371" s="1376">
        <v>340</v>
      </c>
      <c r="N371" s="1376"/>
    </row>
    <row r="372" spans="1:14" s="1370" customFormat="1" x14ac:dyDescent="0.25">
      <c r="A372" s="1122" t="s">
        <v>1381</v>
      </c>
      <c r="B372" s="1026" t="str">
        <f ca="1">IF('[2]Pricing Schedule'!$K$5="No",_xlfn.CONCAT(IFERROR(SUBSTITUTE(ADDRESS(1,MATCH(A372,INDIRECT("'"&amp;E372&amp;"'"&amp;"!A10:Z10"),0),4),1,""),""),20),_xlfn.CONCAT(IFERROR(SUBSTITUTE(ADDRESS(1,MATCH(A372,INDIRECT("'"&amp;E372&amp;"'"&amp;"!A10:Z10"),0),4),1,""),""),54))</f>
        <v>L54</v>
      </c>
      <c r="C372" s="1026" t="str">
        <f ca="1">IF('[2]Pricing Schedule'!$K$5="No",IFERROR(SUBSTITUTE(ADDRESS(1,MATCH(A372,INDIRECT("'"&amp;E372&amp;"'"&amp;"!A10:Z10"),0),4),1,""),""),IFERROR(SUBSTITUTE(ADDRESS(1,MATCH(A372,INDIRECT("'"&amp;E372&amp;"'"&amp;"!A10:Z10"),0),4),1,""),""))</f>
        <v>L</v>
      </c>
      <c r="D372" s="1029" t="s">
        <v>1455</v>
      </c>
      <c r="E372" s="1029" t="s">
        <v>1372</v>
      </c>
      <c r="I372" s="1026" t="str">
        <f t="shared" si="36"/>
        <v>Split Case Fee</v>
      </c>
      <c r="J372" s="1376" t="str">
        <f t="shared" si="38"/>
        <v>341</v>
      </c>
      <c r="K372" s="1376" t="str">
        <f t="shared" si="37"/>
        <v>Pricing Schedule</v>
      </c>
      <c r="L372" s="1090" t="s">
        <v>1381</v>
      </c>
      <c r="M372" s="1376">
        <v>341</v>
      </c>
      <c r="N372" s="1376"/>
    </row>
    <row r="373" spans="1:14" s="1370" customFormat="1" x14ac:dyDescent="0.25">
      <c r="A373" s="1122" t="s">
        <v>1320</v>
      </c>
      <c r="B373" s="1026" t="str">
        <f ca="1">IF('[2]Pricing Schedule'!$K$5="No",_xlfn.CONCAT(IFERROR(SUBSTITUTE(ADDRESS(1,MATCH(A373,INDIRECT("'"&amp;E373&amp;"'"&amp;"!A10:Z10"),0),4),1,""),""),20),_xlfn.CONCAT(IFERROR(SUBSTITUTE(ADDRESS(1,MATCH(A373,INDIRECT("'"&amp;E373&amp;"'"&amp;"!A10:Z10"),0),4),1,""),""),54))</f>
        <v>M54</v>
      </c>
      <c r="C373" s="1026" t="str">
        <f ca="1">IF('[2]Pricing Schedule'!$K$5="No",IFERROR(SUBSTITUTE(ADDRESS(1,MATCH(A373,INDIRECT("'"&amp;E373&amp;"'"&amp;"!A10:Z10"),0),4),1,""),""),IFERROR(SUBSTITUTE(ADDRESS(1,MATCH(A373,INDIRECT("'"&amp;E373&amp;"'"&amp;"!A10:Z10"),0),4),1,""),""))</f>
        <v>M</v>
      </c>
      <c r="D373" s="1029" t="s">
        <v>1455</v>
      </c>
      <c r="E373" s="1029" t="s">
        <v>1372</v>
      </c>
      <c r="I373" s="1026" t="str">
        <f t="shared" si="36"/>
        <v>Split Case Per</v>
      </c>
      <c r="J373" s="1376" t="str">
        <f t="shared" si="38"/>
        <v>342</v>
      </c>
      <c r="K373" s="1376" t="str">
        <f t="shared" si="37"/>
        <v>Pricing Schedule</v>
      </c>
      <c r="L373" s="1090" t="s">
        <v>1320</v>
      </c>
      <c r="M373" s="1376">
        <v>342</v>
      </c>
      <c r="N373" s="1376"/>
    </row>
    <row r="374" spans="1:14" s="1370" customFormat="1" x14ac:dyDescent="0.25">
      <c r="A374" s="1117" t="s">
        <v>1382</v>
      </c>
      <c r="B374" s="1026" t="str">
        <f ca="1">IF('[2]Pricing Schedule'!$K$5="No",_xlfn.CONCAT(IFERROR(SUBSTITUTE(ADDRESS(1,MATCH(A374,INDIRECT("'"&amp;E374&amp;"'"&amp;"!A10:Z10"),0),4),1,""),""),19),_xlfn.CONCAT(IFERROR(SUBSTITUTE(ADDRESS(1,MATCH(A374,INDIRECT("'"&amp;E374&amp;"'"&amp;"!A10:Z10"),0),4),1,""),""),53))</f>
        <v>N53</v>
      </c>
      <c r="C374" s="1026" t="str">
        <f ca="1">IF('[2]Pricing Schedule'!$K$5="No",IFERROR(SUBSTITUTE(ADDRESS(1,MATCH(A374,INDIRECT("'"&amp;E374&amp;"'"&amp;"!A10:Z10"),0),4),1,""),""),IFERROR(SUBSTITUTE(ADDRESS(1,MATCH(A374,INDIRECT("'"&amp;E374&amp;"'"&amp;"!A10:Z10"),0),4),1,""),""))</f>
        <v>N</v>
      </c>
      <c r="D374" s="1029" t="s">
        <v>1455</v>
      </c>
      <c r="E374" s="1029" t="s">
        <v>1372</v>
      </c>
      <c r="I374" s="1026" t="str">
        <f t="shared" si="36"/>
        <v/>
      </c>
      <c r="J374" s="1376"/>
      <c r="K374" s="1376" t="str">
        <f t="shared" si="37"/>
        <v/>
      </c>
      <c r="L374" s="1090" t="s">
        <v>1382</v>
      </c>
      <c r="M374" s="1376">
        <v>343</v>
      </c>
      <c r="N374" s="1376"/>
    </row>
    <row r="375" spans="1:14" s="1370" customFormat="1" x14ac:dyDescent="0.25">
      <c r="A375" s="1118" t="s">
        <v>1373</v>
      </c>
      <c r="B375" s="1026" t="str">
        <f ca="1">IF('[2]Pricing Schedule'!$K$5="No",_xlfn.CONCAT(IFERROR(SUBSTITUTE(ADDRESS(1,MATCH(A375,INDIRECT("'"&amp;E375&amp;"'"&amp;"!A10:Z10"),0),4),1,""),""),19),_xlfn.CONCAT(IFERROR(SUBSTITUTE(ADDRESS(1,MATCH(A375,INDIRECT("'"&amp;E375&amp;"'"&amp;"!A10:Z10"),0),4),1,""),""),53))</f>
        <v>C53</v>
      </c>
      <c r="C375" s="1026" t="str">
        <f ca="1">IF('[2]Pricing Schedule'!$K$5="No",IFERROR(SUBSTITUTE(ADDRESS(1,MATCH(A375,INDIRECT("'"&amp;E375&amp;"'"&amp;"!A10:Z10"),0),4),1,""),""),IFERROR(SUBSTITUTE(ADDRESS(1,MATCH(A375,INDIRECT("'"&amp;E375&amp;"'"&amp;"!A10:Z10"),0),4),1,""),""))</f>
        <v>C</v>
      </c>
      <c r="D375" s="1029" t="s">
        <v>1455</v>
      </c>
      <c r="E375" s="1029" t="s">
        <v>1372</v>
      </c>
      <c r="I375" s="1026" t="str">
        <f t="shared" si="36"/>
        <v/>
      </c>
      <c r="J375" s="1376"/>
      <c r="K375" s="1376" t="str">
        <f t="shared" si="37"/>
        <v/>
      </c>
      <c r="L375" s="1090" t="s">
        <v>254</v>
      </c>
      <c r="M375" s="1376">
        <v>344</v>
      </c>
      <c r="N375" s="1376"/>
    </row>
    <row r="376" spans="1:14" s="1370" customFormat="1" x14ac:dyDescent="0.25">
      <c r="A376" s="1118" t="s">
        <v>1338</v>
      </c>
      <c r="B376" s="1026" t="str">
        <f ca="1">IF('[2]Pricing Schedule'!$K$5="No",_xlfn.CONCAT(IFERROR(SUBSTITUTE(ADDRESS(1,MATCH(A376,INDIRECT("'"&amp;E376&amp;"'"&amp;"!A10:Z10"),0),4),1,""),""),19),_xlfn.CONCAT(IFERROR(SUBSTITUTE(ADDRESS(1,MATCH(A376,INDIRECT("'"&amp;E376&amp;"'"&amp;"!A10:Z10"),0),4),1,""),""),53))</f>
        <v>H53</v>
      </c>
      <c r="C376" s="1026" t="str">
        <f ca="1">IF('[2]Pricing Schedule'!$K$5="No",IFERROR(SUBSTITUTE(ADDRESS(1,MATCH(A376,INDIRECT("'"&amp;E376&amp;"'"&amp;"!A10:Z10"),0),4),1,""),""),IFERROR(SUBSTITUTE(ADDRESS(1,MATCH(A376,INDIRECT("'"&amp;E376&amp;"'"&amp;"!A10:Z10"),0),4),1,""),""))</f>
        <v>H</v>
      </c>
      <c r="D376" s="1029" t="s">
        <v>1455</v>
      </c>
      <c r="E376" s="1029" t="s">
        <v>1372</v>
      </c>
      <c r="I376" s="1026" t="str">
        <f t="shared" si="36"/>
        <v/>
      </c>
      <c r="J376" s="1376"/>
      <c r="K376" s="1376" t="str">
        <f t="shared" si="37"/>
        <v/>
      </c>
      <c r="L376" s="1090" t="s">
        <v>1338</v>
      </c>
      <c r="M376" s="1376">
        <v>345</v>
      </c>
      <c r="N376" s="1376"/>
    </row>
    <row r="377" spans="1:14" s="1370" customFormat="1" x14ac:dyDescent="0.25">
      <c r="A377" s="1118" t="s">
        <v>1376</v>
      </c>
      <c r="B377" s="1026" t="str">
        <f ca="1">IF('[2]Pricing Schedule'!$K$5="No",_xlfn.CONCAT(IFERROR(SUBSTITUTE(ADDRESS(1,MATCH(A377,INDIRECT("'"&amp;E377&amp;"'"&amp;"!A10:Z10"),0),4),1,""),""),19),_xlfn.CONCAT(IFERROR(SUBSTITUTE(ADDRESS(1,MATCH(A377,INDIRECT("'"&amp;E377&amp;"'"&amp;"!A10:Z10"),0),4),1,""),""),53))</f>
        <v>F53</v>
      </c>
      <c r="C377" s="1026" t="str">
        <f ca="1">IF('[2]Pricing Schedule'!$K$5="No",IFERROR(SUBSTITUTE(ADDRESS(1,MATCH(A377,INDIRECT("'"&amp;E377&amp;"'"&amp;"!A10:Z10"),0),4),1,""),""),IFERROR(SUBSTITUTE(ADDRESS(1,MATCH(A377,INDIRECT("'"&amp;E377&amp;"'"&amp;"!A10:Z10"),0),4),1,""),""))</f>
        <v>F</v>
      </c>
      <c r="D377" s="1029" t="s">
        <v>1455</v>
      </c>
      <c r="E377" s="1029" t="s">
        <v>1372</v>
      </c>
      <c r="I377" s="1026" t="str">
        <f t="shared" si="36"/>
        <v/>
      </c>
      <c r="J377" s="1376"/>
      <c r="K377" s="1376" t="str">
        <f t="shared" si="37"/>
        <v/>
      </c>
      <c r="L377" s="1090" t="s">
        <v>225</v>
      </c>
      <c r="M377" s="1376">
        <v>346</v>
      </c>
      <c r="N377" s="1376"/>
    </row>
    <row r="378" spans="1:14" s="1370" customFormat="1" x14ac:dyDescent="0.25">
      <c r="A378" s="1119" t="s">
        <v>466</v>
      </c>
      <c r="B378" s="1026" t="str">
        <f ca="1">_xlfn.CONCAT(IFERROR(SUBSTITUTE(ADDRESS(1,MATCH(A378,INDIRECT("'"&amp;E378&amp;"'"&amp;"!A9:Z9"),0),4),1,""),""),18)</f>
        <v>E18</v>
      </c>
      <c r="C378" s="1026" t="str">
        <f ca="1">_xlfn.CONCAT(IFERROR(SUBSTITUTE(ADDRESS(1,MATCH(A378,INDIRECT("'"&amp;E378&amp;"'"&amp;"!A9:Z9"),0),4),1,""),""))</f>
        <v>E</v>
      </c>
      <c r="D378" s="1376" t="s">
        <v>1455</v>
      </c>
      <c r="E378" s="1029" t="s">
        <v>208</v>
      </c>
      <c r="I378" s="1026" t="str">
        <f t="shared" si="36"/>
        <v>Exclude PIM Classes Below</v>
      </c>
      <c r="J378" s="1376" t="str">
        <f t="shared" si="38"/>
        <v>347</v>
      </c>
      <c r="K378" s="1376" t="str">
        <f t="shared" si="37"/>
        <v>PIM Model</v>
      </c>
      <c r="L378" s="1090" t="s">
        <v>466</v>
      </c>
      <c r="M378" s="1376">
        <v>347</v>
      </c>
      <c r="N378" s="1376"/>
    </row>
    <row r="379" spans="1:14" s="1370" customFormat="1" x14ac:dyDescent="0.25">
      <c r="A379" s="1119" t="s">
        <v>1375</v>
      </c>
      <c r="B379" s="1026" t="str">
        <f ca="1">IF('[2]Pricing Schedule'!$K$5="No",_xlfn.CONCAT(IFERROR(SUBSTITUTE(ADDRESS(1,MATCH(A379,INDIRECT("'"&amp;E379&amp;"'"&amp;"!A10:Z10"),0),4),1,""),""),19),_xlfn.CONCAT(IFERROR(SUBSTITUTE(ADDRESS(1,MATCH(A379,INDIRECT("'"&amp;E379&amp;"'"&amp;"!A10:Z10"),0),4),1,""),""),53))</f>
        <v>E53</v>
      </c>
      <c r="C379" s="1026" t="str">
        <f ca="1">IF('[2]Pricing Schedule'!$K$5="No",IFERROR(SUBSTITUTE(ADDRESS(1,MATCH(A379,INDIRECT("'"&amp;E379&amp;"'"&amp;"!A10:Z10"),0),4),1,""),""),IFERROR(SUBSTITUTE(ADDRESS(1,MATCH(A379,INDIRECT("'"&amp;E379&amp;"'"&amp;"!A10:Z10"),0),4),1,""),""))</f>
        <v>E</v>
      </c>
      <c r="D379" s="1029" t="s">
        <v>1455</v>
      </c>
      <c r="E379" s="1029" t="s">
        <v>1372</v>
      </c>
      <c r="I379" s="1026" t="str">
        <f t="shared" si="36"/>
        <v>Special Pricing Code</v>
      </c>
      <c r="J379" s="1376" t="str">
        <f t="shared" si="38"/>
        <v>348</v>
      </c>
      <c r="K379" s="1376" t="str">
        <f t="shared" si="37"/>
        <v>Pricing Schedule</v>
      </c>
      <c r="L379" s="1090" t="s">
        <v>1375</v>
      </c>
      <c r="M379" s="1376">
        <v>348</v>
      </c>
      <c r="N379" s="1376"/>
    </row>
    <row r="380" spans="1:14" s="1370" customFormat="1" x14ac:dyDescent="0.25">
      <c r="A380" s="1119" t="s">
        <v>1377</v>
      </c>
      <c r="B380" s="1026" t="str">
        <f ca="1">IF('[2]Pricing Schedule'!$K$5="No",_xlfn.CONCAT(IFERROR(SUBSTITUTE(ADDRESS(1,MATCH(A380,INDIRECT("'"&amp;E380&amp;"'"&amp;"!A10:Z10"),0),4),1,""),""),19),_xlfn.CONCAT(IFERROR(SUBSTITUTE(ADDRESS(1,MATCH(A380,INDIRECT("'"&amp;E380&amp;"'"&amp;"!A10:Z10"),0),4),1,""),""),53))</f>
        <v>G53</v>
      </c>
      <c r="C380" s="1026" t="str">
        <f ca="1">IF('[2]Pricing Schedule'!$K$5="No",IFERROR(SUBSTITUTE(ADDRESS(1,MATCH(A380,INDIRECT("'"&amp;E380&amp;"'"&amp;"!A10:Z10"),0),4),1,""),""),IFERROR(SUBSTITUTE(ADDRESS(1,MATCH(A380,INDIRECT("'"&amp;E380&amp;"'"&amp;"!A10:Z10"),0),4),1,""),""))</f>
        <v>G</v>
      </c>
      <c r="D380" s="1029" t="s">
        <v>1455</v>
      </c>
      <c r="E380" s="1029" t="s">
        <v>1372</v>
      </c>
      <c r="I380" s="1026" t="str">
        <f t="shared" si="36"/>
        <v>EB Markup Amt</v>
      </c>
      <c r="J380" s="1376" t="str">
        <f t="shared" si="38"/>
        <v>349</v>
      </c>
      <c r="K380" s="1376" t="str">
        <f t="shared" si="37"/>
        <v>Pricing Schedule</v>
      </c>
      <c r="L380" s="1090" t="s">
        <v>1377</v>
      </c>
      <c r="M380" s="1376">
        <v>349</v>
      </c>
      <c r="N380" s="1376"/>
    </row>
    <row r="381" spans="1:14" s="1370" customFormat="1" x14ac:dyDescent="0.25">
      <c r="A381" s="1119" t="s">
        <v>1378</v>
      </c>
      <c r="B381" s="1026" t="str">
        <f ca="1">IF('[2]Pricing Schedule'!$K$5="No",_xlfn.CONCAT(IFERROR(SUBSTITUTE(ADDRESS(1,MATCH(A381,INDIRECT("'"&amp;E381&amp;"'"&amp;"!A10:Z10"),0),4),1,""),""),19),_xlfn.CONCAT(IFERROR(SUBSTITUTE(ADDRESS(1,MATCH(A381,INDIRECT("'"&amp;E381&amp;"'"&amp;"!A10:Z10"),0),4),1,""),""),53))</f>
        <v>I53</v>
      </c>
      <c r="C381" s="1026" t="str">
        <f ca="1">IF('[2]Pricing Schedule'!$K$5="No",IFERROR(SUBSTITUTE(ADDRESS(1,MATCH(A381,INDIRECT("'"&amp;E381&amp;"'"&amp;"!A10:Z10"),0),4),1,""),""),IFERROR(SUBSTITUTE(ADDRESS(1,MATCH(A381,INDIRECT("'"&amp;E381&amp;"'"&amp;"!A10:Z10"),0),4),1,""),""))</f>
        <v>I</v>
      </c>
      <c r="D381" s="1029" t="s">
        <v>1455</v>
      </c>
      <c r="E381" s="1029" t="s">
        <v>1372</v>
      </c>
      <c r="I381" s="1026" t="str">
        <f t="shared" si="36"/>
        <v>Min CS Markup Override Flag</v>
      </c>
      <c r="J381" s="1376" t="str">
        <f t="shared" si="38"/>
        <v>350</v>
      </c>
      <c r="K381" s="1376" t="str">
        <f t="shared" si="37"/>
        <v>Pricing Schedule</v>
      </c>
      <c r="L381" s="1090" t="s">
        <v>1378</v>
      </c>
      <c r="M381" s="1376">
        <v>350</v>
      </c>
      <c r="N381" s="1376"/>
    </row>
    <row r="382" spans="1:14" s="1370" customFormat="1" x14ac:dyDescent="0.25">
      <c r="A382" s="1119" t="s">
        <v>1379</v>
      </c>
      <c r="B382" s="1026" t="str">
        <f ca="1">IF('[2]Pricing Schedule'!$K$5="No",_xlfn.CONCAT(IFERROR(SUBSTITUTE(ADDRESS(1,MATCH(A382,INDIRECT("'"&amp;E382&amp;"'"&amp;"!A10:Z10"),0),4),1,""),""),19),_xlfn.CONCAT(IFERROR(SUBSTITUTE(ADDRESS(1,MATCH(A382,INDIRECT("'"&amp;E382&amp;"'"&amp;"!A10:Z10"),0),4),1,""),""),53))</f>
        <v>J53</v>
      </c>
      <c r="C382" s="1026" t="str">
        <f ca="1">IF('[2]Pricing Schedule'!$K$5="No",IFERROR(SUBSTITUTE(ADDRESS(1,MATCH(A382,INDIRECT("'"&amp;E382&amp;"'"&amp;"!A10:Z10"),0),4),1,""),""),IFERROR(SUBSTITUTE(ADDRESS(1,MATCH(A382,INDIRECT("'"&amp;E382&amp;"'"&amp;"!A10:Z10"),0),4),1,""),""))</f>
        <v>J</v>
      </c>
      <c r="D382" s="1029" t="s">
        <v>1455</v>
      </c>
      <c r="E382" s="1029" t="s">
        <v>1372</v>
      </c>
      <c r="I382" s="1026" t="str">
        <f t="shared" si="36"/>
        <v>Min CS Markup Amt</v>
      </c>
      <c r="J382" s="1376" t="str">
        <f t="shared" si="38"/>
        <v>351</v>
      </c>
      <c r="K382" s="1376" t="str">
        <f t="shared" si="37"/>
        <v>Pricing Schedule</v>
      </c>
      <c r="L382" s="1090" t="s">
        <v>1379</v>
      </c>
      <c r="M382" s="1376">
        <v>351</v>
      </c>
      <c r="N382" s="1376"/>
    </row>
    <row r="383" spans="1:14" s="1370" customFormat="1" x14ac:dyDescent="0.25">
      <c r="A383" s="1119" t="s">
        <v>1380</v>
      </c>
      <c r="B383" s="1026" t="str">
        <f ca="1">IF('[2]Pricing Schedule'!$K$5="No",_xlfn.CONCAT(IFERROR(SUBSTITUTE(ADDRESS(1,MATCH(A383,INDIRECT("'"&amp;E383&amp;"'"&amp;"!A10:Z10"),0),4),1,""),""),19),_xlfn.CONCAT(IFERROR(SUBSTITUTE(ADDRESS(1,MATCH(A383,INDIRECT("'"&amp;E383&amp;"'"&amp;"!A10:Z10"),0),4),1,""),""),53))</f>
        <v>K53</v>
      </c>
      <c r="C383" s="1026" t="str">
        <f ca="1">IF('[2]Pricing Schedule'!$K$5="No",IFERROR(SUBSTITUTE(ADDRESS(1,MATCH(A383,INDIRECT("'"&amp;E383&amp;"'"&amp;"!A10:Z10"),0),4),1,""),""),IFERROR(SUBSTITUTE(ADDRESS(1,MATCH(A383,INDIRECT("'"&amp;E383&amp;"'"&amp;"!A10:Z10"),0),4),1,""),""))</f>
        <v>K</v>
      </c>
      <c r="D383" s="1029" t="s">
        <v>1455</v>
      </c>
      <c r="E383" s="1029" t="s">
        <v>1372</v>
      </c>
      <c r="I383" s="1026" t="str">
        <f t="shared" si="36"/>
        <v>Split Case Fee Override Flag</v>
      </c>
      <c r="J383" s="1376" t="str">
        <f t="shared" si="38"/>
        <v>352</v>
      </c>
      <c r="K383" s="1376" t="str">
        <f t="shared" si="37"/>
        <v>Pricing Schedule</v>
      </c>
      <c r="L383" s="1090" t="s">
        <v>1380</v>
      </c>
      <c r="M383" s="1376">
        <v>352</v>
      </c>
      <c r="N383" s="1376"/>
    </row>
    <row r="384" spans="1:14" s="1370" customFormat="1" x14ac:dyDescent="0.25">
      <c r="A384" s="1119" t="s">
        <v>1381</v>
      </c>
      <c r="B384" s="1026" t="str">
        <f ca="1">IF('[2]Pricing Schedule'!$K$5="No",_xlfn.CONCAT(IFERROR(SUBSTITUTE(ADDRESS(1,MATCH(A384,INDIRECT("'"&amp;E384&amp;"'"&amp;"!A10:Z10"),0),4),1,""),""),19),_xlfn.CONCAT(IFERROR(SUBSTITUTE(ADDRESS(1,MATCH(A384,INDIRECT("'"&amp;E384&amp;"'"&amp;"!A10:Z10"),0),4),1,""),""),53))</f>
        <v>L53</v>
      </c>
      <c r="C384" s="1026" t="str">
        <f ca="1">IF('[2]Pricing Schedule'!$K$5="No",IFERROR(SUBSTITUTE(ADDRESS(1,MATCH(A384,INDIRECT("'"&amp;E384&amp;"'"&amp;"!A10:Z10"),0),4),1,""),""),IFERROR(SUBSTITUTE(ADDRESS(1,MATCH(A384,INDIRECT("'"&amp;E384&amp;"'"&amp;"!A10:Z10"),0),4),1,""),""))</f>
        <v>L</v>
      </c>
      <c r="D384" s="1029" t="s">
        <v>1455</v>
      </c>
      <c r="E384" s="1029" t="s">
        <v>1372</v>
      </c>
      <c r="I384" s="1026" t="str">
        <f t="shared" si="36"/>
        <v>Split Case Fee</v>
      </c>
      <c r="J384" s="1376" t="str">
        <f t="shared" si="38"/>
        <v>353</v>
      </c>
      <c r="K384" s="1376" t="str">
        <f t="shared" si="37"/>
        <v>Pricing Schedule</v>
      </c>
      <c r="L384" s="1090" t="s">
        <v>1381</v>
      </c>
      <c r="M384" s="1376">
        <v>353</v>
      </c>
      <c r="N384" s="1376"/>
    </row>
    <row r="385" spans="1:14" s="1370" customFormat="1" x14ac:dyDescent="0.25">
      <c r="A385" s="1119" t="s">
        <v>1320</v>
      </c>
      <c r="B385" s="1026" t="str">
        <f ca="1">IF('[2]Pricing Schedule'!$K$5="No",_xlfn.CONCAT(IFERROR(SUBSTITUTE(ADDRESS(1,MATCH(A385,INDIRECT("'"&amp;E385&amp;"'"&amp;"!A10:Z10"),0),4),1,""),""),19),_xlfn.CONCAT(IFERROR(SUBSTITUTE(ADDRESS(1,MATCH(A385,INDIRECT("'"&amp;E385&amp;"'"&amp;"!A10:Z10"),0),4),1,""),""),53))</f>
        <v>M53</v>
      </c>
      <c r="C385" s="1026" t="str">
        <f ca="1">IF('[2]Pricing Schedule'!$K$5="No",IFERROR(SUBSTITUTE(ADDRESS(1,MATCH(A385,INDIRECT("'"&amp;E385&amp;"'"&amp;"!A10:Z10"),0),4),1,""),""),IFERROR(SUBSTITUTE(ADDRESS(1,MATCH(A385,INDIRECT("'"&amp;E385&amp;"'"&amp;"!A10:Z10"),0),4),1,""),""))</f>
        <v>M</v>
      </c>
      <c r="D385" s="1029" t="s">
        <v>1455</v>
      </c>
      <c r="E385" s="1029" t="s">
        <v>1372</v>
      </c>
      <c r="I385" s="1026" t="str">
        <f t="shared" si="36"/>
        <v>Split Case Per</v>
      </c>
      <c r="J385" s="1376" t="str">
        <f t="shared" si="38"/>
        <v>354</v>
      </c>
      <c r="K385" s="1376" t="str">
        <f t="shared" si="37"/>
        <v>Pricing Schedule</v>
      </c>
      <c r="L385" s="1090" t="s">
        <v>1320</v>
      </c>
      <c r="M385" s="1376">
        <v>354</v>
      </c>
      <c r="N385" s="1376"/>
    </row>
    <row r="386" spans="1:14" s="1370" customFormat="1" x14ac:dyDescent="0.25">
      <c r="A386" s="1120" t="s">
        <v>1382</v>
      </c>
      <c r="B386" s="1026" t="str">
        <f ca="1">IF('[2]Pricing Schedule'!$K$5="No",_xlfn.CONCAT(IFERROR(SUBSTITUTE(ADDRESS(1,MATCH(A386,INDIRECT("'"&amp;E386&amp;"'"&amp;"!A10:Z10"),0),4),1,""),""),13),_xlfn.CONCAT(IFERROR(SUBSTITUTE(ADDRESS(1,MATCH(A386,INDIRECT("'"&amp;E386&amp;"'"&amp;"!A10:Z10"),0),4),1,""),""),47))</f>
        <v>N47</v>
      </c>
      <c r="C386" s="1026" t="str">
        <f ca="1">IF('[2]Pricing Schedule'!$K$5="No",IFERROR(SUBSTITUTE(ADDRESS(1,MATCH(A386,INDIRECT("'"&amp;E386&amp;"'"&amp;"!A10:Z10"),0),4),1,""),""),IFERROR(SUBSTITUTE(ADDRESS(1,MATCH(A386,INDIRECT("'"&amp;E386&amp;"'"&amp;"!A10:Z10"),0),4),1,""),""))</f>
        <v>N</v>
      </c>
      <c r="D386" s="1029" t="s">
        <v>1455</v>
      </c>
      <c r="E386" s="1029" t="s">
        <v>1372</v>
      </c>
      <c r="I386" s="1026" t="str">
        <f t="shared" si="36"/>
        <v/>
      </c>
      <c r="J386" s="1376"/>
      <c r="K386" s="1376" t="str">
        <f t="shared" si="37"/>
        <v/>
      </c>
      <c r="L386" s="1090" t="s">
        <v>1382</v>
      </c>
      <c r="M386" s="1376">
        <v>355</v>
      </c>
      <c r="N386" s="1376"/>
    </row>
    <row r="387" spans="1:14" s="1370" customFormat="1" x14ac:dyDescent="0.25">
      <c r="A387" s="1121" t="s">
        <v>1373</v>
      </c>
      <c r="B387" s="1026" t="str">
        <f ca="1">IF('[2]Pricing Schedule'!$K$5="No",_xlfn.CONCAT(IFERROR(SUBSTITUTE(ADDRESS(1,MATCH(A387,INDIRECT("'"&amp;E387&amp;"'"&amp;"!A10:Z10"),0),4),1,""),""),13),_xlfn.CONCAT(IFERROR(SUBSTITUTE(ADDRESS(1,MATCH(A387,INDIRECT("'"&amp;E387&amp;"'"&amp;"!A10:Z10"),0),4),1,""),""),47))</f>
        <v>C47</v>
      </c>
      <c r="C387" s="1026" t="str">
        <f ca="1">IF('[2]Pricing Schedule'!$K$5="No",IFERROR(SUBSTITUTE(ADDRESS(1,MATCH(A387,INDIRECT("'"&amp;E387&amp;"'"&amp;"!A10:Z10"),0),4),1,""),""),IFERROR(SUBSTITUTE(ADDRESS(1,MATCH(A387,INDIRECT("'"&amp;E387&amp;"'"&amp;"!A10:Z10"),0),4),1,""),""))</f>
        <v>C</v>
      </c>
      <c r="D387" s="1029" t="s">
        <v>1455</v>
      </c>
      <c r="E387" s="1029" t="s">
        <v>1372</v>
      </c>
      <c r="I387" s="1026" t="str">
        <f t="shared" si="36"/>
        <v/>
      </c>
      <c r="J387" s="1376"/>
      <c r="K387" s="1376" t="str">
        <f t="shared" si="37"/>
        <v/>
      </c>
      <c r="L387" s="1090" t="s">
        <v>254</v>
      </c>
      <c r="M387" s="1376">
        <v>356</v>
      </c>
      <c r="N387" s="1376"/>
    </row>
    <row r="388" spans="1:14" s="1370" customFormat="1" x14ac:dyDescent="0.25">
      <c r="A388" s="1121" t="s">
        <v>1338</v>
      </c>
      <c r="B388" s="1026" t="str">
        <f ca="1">IF('[2]Pricing Schedule'!$K$5="No",_xlfn.CONCAT(IFERROR(SUBSTITUTE(ADDRESS(1,MATCH(A388,INDIRECT("'"&amp;E388&amp;"'"&amp;"!A10:Z10"),0),4),1,""),""),13),_xlfn.CONCAT(IFERROR(SUBSTITUTE(ADDRESS(1,MATCH(A388,INDIRECT("'"&amp;E388&amp;"'"&amp;"!A10:Z10"),0),4),1,""),""),47))</f>
        <v>H47</v>
      </c>
      <c r="C388" s="1026" t="str">
        <f ca="1">IF('[2]Pricing Schedule'!$K$5="No",IFERROR(SUBSTITUTE(ADDRESS(1,MATCH(A388,INDIRECT("'"&amp;E388&amp;"'"&amp;"!A10:Z10"),0),4),1,""),""),IFERROR(SUBSTITUTE(ADDRESS(1,MATCH(A388,INDIRECT("'"&amp;E388&amp;"'"&amp;"!A10:Z10"),0),4),1,""),""))</f>
        <v>H</v>
      </c>
      <c r="D388" s="1029" t="s">
        <v>1455</v>
      </c>
      <c r="E388" s="1029" t="s">
        <v>1372</v>
      </c>
      <c r="I388" s="1026" t="str">
        <f t="shared" ref="I388:I451" si="39">IF(J388&lt;&gt;"",A388,"")</f>
        <v/>
      </c>
      <c r="J388" s="1376"/>
      <c r="K388" s="1376" t="str">
        <f t="shared" ref="K388:K451" si="40">IF(J388&lt;&gt;"",E388,"")</f>
        <v/>
      </c>
      <c r="L388" s="1090" t="s">
        <v>1338</v>
      </c>
      <c r="M388" s="1376">
        <v>357</v>
      </c>
      <c r="N388" s="1376"/>
    </row>
    <row r="389" spans="1:14" s="1370" customFormat="1" x14ac:dyDescent="0.25">
      <c r="A389" s="1121" t="s">
        <v>1376</v>
      </c>
      <c r="B389" s="1026" t="str">
        <f ca="1">IF('[2]Pricing Schedule'!$K$5="No",_xlfn.CONCAT(IFERROR(SUBSTITUTE(ADDRESS(1,MATCH(A389,INDIRECT("'"&amp;E389&amp;"'"&amp;"!A10:Z10"),0),4),1,""),""),13),_xlfn.CONCAT(IFERROR(SUBSTITUTE(ADDRESS(1,MATCH(A389,INDIRECT("'"&amp;E389&amp;"'"&amp;"!A10:Z10"),0),4),1,""),""),47))</f>
        <v>F47</v>
      </c>
      <c r="C389" s="1026" t="str">
        <f ca="1">IF('[2]Pricing Schedule'!$K$5="No",IFERROR(SUBSTITUTE(ADDRESS(1,MATCH(A389,INDIRECT("'"&amp;E389&amp;"'"&amp;"!A10:Z10"),0),4),1,""),""),IFERROR(SUBSTITUTE(ADDRESS(1,MATCH(A389,INDIRECT("'"&amp;E389&amp;"'"&amp;"!A10:Z10"),0),4),1,""),""))</f>
        <v>F</v>
      </c>
      <c r="D389" s="1029" t="s">
        <v>1455</v>
      </c>
      <c r="E389" s="1029" t="s">
        <v>1372</v>
      </c>
      <c r="I389" s="1026" t="str">
        <f t="shared" si="39"/>
        <v/>
      </c>
      <c r="J389" s="1376"/>
      <c r="K389" s="1376" t="str">
        <f t="shared" si="40"/>
        <v/>
      </c>
      <c r="L389" s="1090" t="s">
        <v>225</v>
      </c>
      <c r="M389" s="1376">
        <v>358</v>
      </c>
      <c r="N389" s="1376"/>
    </row>
    <row r="390" spans="1:14" s="1370" customFormat="1" x14ac:dyDescent="0.25">
      <c r="A390" s="1122" t="s">
        <v>466</v>
      </c>
      <c r="B390" s="1026" t="str">
        <f ca="1">_xlfn.CONCAT(IFERROR(SUBSTITUTE(ADDRESS(1,MATCH(A390,INDIRECT("'"&amp;E390&amp;"'"&amp;"!A9:Z9"),0),4),1,""),""),19)</f>
        <v>E19</v>
      </c>
      <c r="C390" s="1026" t="str">
        <f ca="1">_xlfn.CONCAT(IFERROR(SUBSTITUTE(ADDRESS(1,MATCH(A390,INDIRECT("'"&amp;E390&amp;"'"&amp;"!A9:Z9"),0),4),1,""),""))</f>
        <v>E</v>
      </c>
      <c r="D390" s="1376" t="s">
        <v>1455</v>
      </c>
      <c r="E390" s="1029" t="s">
        <v>208</v>
      </c>
      <c r="I390" s="1026" t="str">
        <f t="shared" si="39"/>
        <v>Exclude PIM Classes Below</v>
      </c>
      <c r="J390" s="1376" t="str">
        <f t="shared" ref="J390:J453" si="41">IF(M390&lt;&gt;"",Q$1&amp;M390,"")</f>
        <v>359</v>
      </c>
      <c r="K390" s="1376" t="str">
        <f t="shared" si="40"/>
        <v>PIM Model</v>
      </c>
      <c r="L390" s="1090" t="s">
        <v>466</v>
      </c>
      <c r="M390" s="1376">
        <v>359</v>
      </c>
      <c r="N390" s="1376"/>
    </row>
    <row r="391" spans="1:14" s="1370" customFormat="1" x14ac:dyDescent="0.25">
      <c r="A391" s="1122" t="s">
        <v>1375</v>
      </c>
      <c r="B391" s="1026" t="str">
        <f ca="1">IF('[2]Pricing Schedule'!$K$5="No",_xlfn.CONCAT(IFERROR(SUBSTITUTE(ADDRESS(1,MATCH(A391,INDIRECT("'"&amp;E391&amp;"'"&amp;"!A10:Z10"),0),4),1,""),""),13),_xlfn.CONCAT(IFERROR(SUBSTITUTE(ADDRESS(1,MATCH(A391,INDIRECT("'"&amp;E391&amp;"'"&amp;"!A10:Z10"),0),4),1,""),""),47))</f>
        <v>E47</v>
      </c>
      <c r="C391" s="1026" t="str">
        <f ca="1">IF('[2]Pricing Schedule'!$K$5="No",IFERROR(SUBSTITUTE(ADDRESS(1,MATCH(A391,INDIRECT("'"&amp;E391&amp;"'"&amp;"!A10:Z10"),0),4),1,""),""),IFERROR(SUBSTITUTE(ADDRESS(1,MATCH(A391,INDIRECT("'"&amp;E391&amp;"'"&amp;"!A10:Z10"),0),4),1,""),""))</f>
        <v>E</v>
      </c>
      <c r="D391" s="1029" t="s">
        <v>1455</v>
      </c>
      <c r="E391" s="1029" t="s">
        <v>1372</v>
      </c>
      <c r="I391" s="1026" t="str">
        <f t="shared" si="39"/>
        <v>Special Pricing Code</v>
      </c>
      <c r="J391" s="1376" t="str">
        <f t="shared" si="41"/>
        <v>360</v>
      </c>
      <c r="K391" s="1376" t="str">
        <f t="shared" si="40"/>
        <v>Pricing Schedule</v>
      </c>
      <c r="L391" s="1090" t="s">
        <v>1375</v>
      </c>
      <c r="M391" s="1376">
        <v>360</v>
      </c>
      <c r="N391" s="1376"/>
    </row>
    <row r="392" spans="1:14" s="1370" customFormat="1" x14ac:dyDescent="0.25">
      <c r="A392" s="1122" t="s">
        <v>1377</v>
      </c>
      <c r="B392" s="1026" t="str">
        <f ca="1">IF('[2]Pricing Schedule'!$K$5="No",_xlfn.CONCAT(IFERROR(SUBSTITUTE(ADDRESS(1,MATCH(A392,INDIRECT("'"&amp;E392&amp;"'"&amp;"!A10:Z10"),0),4),1,""),""),13),_xlfn.CONCAT(IFERROR(SUBSTITUTE(ADDRESS(1,MATCH(A392,INDIRECT("'"&amp;E392&amp;"'"&amp;"!A10:Z10"),0),4),1,""),""),47))</f>
        <v>G47</v>
      </c>
      <c r="C392" s="1026" t="str">
        <f ca="1">IF('[2]Pricing Schedule'!$K$5="No",IFERROR(SUBSTITUTE(ADDRESS(1,MATCH(A392,INDIRECT("'"&amp;E392&amp;"'"&amp;"!A10:Z10"),0),4),1,""),""),IFERROR(SUBSTITUTE(ADDRESS(1,MATCH(A392,INDIRECT("'"&amp;E392&amp;"'"&amp;"!A10:Z10"),0),4),1,""),""))</f>
        <v>G</v>
      </c>
      <c r="D392" s="1029" t="s">
        <v>1455</v>
      </c>
      <c r="E392" s="1029" t="s">
        <v>1372</v>
      </c>
      <c r="I392" s="1026" t="str">
        <f t="shared" si="39"/>
        <v>EB Markup Amt</v>
      </c>
      <c r="J392" s="1376" t="str">
        <f t="shared" si="41"/>
        <v>361</v>
      </c>
      <c r="K392" s="1376" t="str">
        <f t="shared" si="40"/>
        <v>Pricing Schedule</v>
      </c>
      <c r="L392" s="1090" t="s">
        <v>1377</v>
      </c>
      <c r="M392" s="1376">
        <v>361</v>
      </c>
      <c r="N392" s="1376"/>
    </row>
    <row r="393" spans="1:14" s="1370" customFormat="1" x14ac:dyDescent="0.25">
      <c r="A393" s="1122" t="s">
        <v>1378</v>
      </c>
      <c r="B393" s="1026" t="str">
        <f ca="1">IF('[2]Pricing Schedule'!$K$5="No",_xlfn.CONCAT(IFERROR(SUBSTITUTE(ADDRESS(1,MATCH(A393,INDIRECT("'"&amp;E393&amp;"'"&amp;"!A10:Z10"),0),4),1,""),""),13),_xlfn.CONCAT(IFERROR(SUBSTITUTE(ADDRESS(1,MATCH(A393,INDIRECT("'"&amp;E393&amp;"'"&amp;"!A10:Z10"),0),4),1,""),""),47))</f>
        <v>I47</v>
      </c>
      <c r="C393" s="1026" t="str">
        <f ca="1">IF('[2]Pricing Schedule'!$K$5="No",IFERROR(SUBSTITUTE(ADDRESS(1,MATCH(A393,INDIRECT("'"&amp;E393&amp;"'"&amp;"!A10:Z10"),0),4),1,""),""),IFERROR(SUBSTITUTE(ADDRESS(1,MATCH(A393,INDIRECT("'"&amp;E393&amp;"'"&amp;"!A10:Z10"),0),4),1,""),""))</f>
        <v>I</v>
      </c>
      <c r="D393" s="1029" t="s">
        <v>1455</v>
      </c>
      <c r="E393" s="1029" t="s">
        <v>1372</v>
      </c>
      <c r="I393" s="1026" t="str">
        <f t="shared" si="39"/>
        <v>Min CS Markup Override Flag</v>
      </c>
      <c r="J393" s="1376" t="str">
        <f t="shared" si="41"/>
        <v>362</v>
      </c>
      <c r="K393" s="1376" t="str">
        <f t="shared" si="40"/>
        <v>Pricing Schedule</v>
      </c>
      <c r="L393" s="1090" t="s">
        <v>1378</v>
      </c>
      <c r="M393" s="1376">
        <v>362</v>
      </c>
      <c r="N393" s="1376"/>
    </row>
    <row r="394" spans="1:14" s="1370" customFormat="1" x14ac:dyDescent="0.25">
      <c r="A394" s="1122" t="s">
        <v>1379</v>
      </c>
      <c r="B394" s="1026" t="str">
        <f ca="1">IF('[2]Pricing Schedule'!$K$5="No",_xlfn.CONCAT(IFERROR(SUBSTITUTE(ADDRESS(1,MATCH(A394,INDIRECT("'"&amp;E394&amp;"'"&amp;"!A10:Z10"),0),4),1,""),""),13),_xlfn.CONCAT(IFERROR(SUBSTITUTE(ADDRESS(1,MATCH(A394,INDIRECT("'"&amp;E394&amp;"'"&amp;"!A10:Z10"),0),4),1,""),""),47))</f>
        <v>J47</v>
      </c>
      <c r="C394" s="1026" t="str">
        <f ca="1">IF('[2]Pricing Schedule'!$K$5="No",IFERROR(SUBSTITUTE(ADDRESS(1,MATCH(A394,INDIRECT("'"&amp;E394&amp;"'"&amp;"!A10:Z10"),0),4),1,""),""),IFERROR(SUBSTITUTE(ADDRESS(1,MATCH(A394,INDIRECT("'"&amp;E394&amp;"'"&amp;"!A10:Z10"),0),4),1,""),""))</f>
        <v>J</v>
      </c>
      <c r="D394" s="1029" t="s">
        <v>1455</v>
      </c>
      <c r="E394" s="1029" t="s">
        <v>1372</v>
      </c>
      <c r="I394" s="1026" t="str">
        <f t="shared" si="39"/>
        <v>Min CS Markup Amt</v>
      </c>
      <c r="J394" s="1376" t="str">
        <f t="shared" si="41"/>
        <v>363</v>
      </c>
      <c r="K394" s="1376" t="str">
        <f t="shared" si="40"/>
        <v>Pricing Schedule</v>
      </c>
      <c r="L394" s="1090" t="s">
        <v>1379</v>
      </c>
      <c r="M394" s="1376">
        <v>363</v>
      </c>
      <c r="N394" s="1376"/>
    </row>
    <row r="395" spans="1:14" s="1370" customFormat="1" x14ac:dyDescent="0.25">
      <c r="A395" s="1122" t="s">
        <v>1380</v>
      </c>
      <c r="B395" s="1026" t="str">
        <f ca="1">IF('[2]Pricing Schedule'!$K$5="No",_xlfn.CONCAT(IFERROR(SUBSTITUTE(ADDRESS(1,MATCH(A395,INDIRECT("'"&amp;E395&amp;"'"&amp;"!A10:Z10"),0),4),1,""),""),13),_xlfn.CONCAT(IFERROR(SUBSTITUTE(ADDRESS(1,MATCH(A395,INDIRECT("'"&amp;E395&amp;"'"&amp;"!A10:Z10"),0),4),1,""),""),47))</f>
        <v>K47</v>
      </c>
      <c r="C395" s="1026" t="str">
        <f ca="1">IF('[2]Pricing Schedule'!$K$5="No",IFERROR(SUBSTITUTE(ADDRESS(1,MATCH(A395,INDIRECT("'"&amp;E395&amp;"'"&amp;"!A10:Z10"),0),4),1,""),""),IFERROR(SUBSTITUTE(ADDRESS(1,MATCH(A395,INDIRECT("'"&amp;E395&amp;"'"&amp;"!A10:Z10"),0),4),1,""),""))</f>
        <v>K</v>
      </c>
      <c r="D395" s="1029" t="s">
        <v>1455</v>
      </c>
      <c r="E395" s="1029" t="s">
        <v>1372</v>
      </c>
      <c r="I395" s="1026" t="str">
        <f t="shared" si="39"/>
        <v>Split Case Fee Override Flag</v>
      </c>
      <c r="J395" s="1376" t="str">
        <f t="shared" si="41"/>
        <v>364</v>
      </c>
      <c r="K395" s="1376" t="str">
        <f t="shared" si="40"/>
        <v>Pricing Schedule</v>
      </c>
      <c r="L395" s="1090" t="s">
        <v>1380</v>
      </c>
      <c r="M395" s="1376">
        <v>364</v>
      </c>
      <c r="N395" s="1376"/>
    </row>
    <row r="396" spans="1:14" s="1370" customFormat="1" x14ac:dyDescent="0.25">
      <c r="A396" s="1122" t="s">
        <v>1381</v>
      </c>
      <c r="B396" s="1026" t="str">
        <f ca="1">IF('[2]Pricing Schedule'!$K$5="No",_xlfn.CONCAT(IFERROR(SUBSTITUTE(ADDRESS(1,MATCH(A396,INDIRECT("'"&amp;E396&amp;"'"&amp;"!A10:Z10"),0),4),1,""),""),13),_xlfn.CONCAT(IFERROR(SUBSTITUTE(ADDRESS(1,MATCH(A396,INDIRECT("'"&amp;E396&amp;"'"&amp;"!A10:Z10"),0),4),1,""),""),47))</f>
        <v>L47</v>
      </c>
      <c r="C396" s="1026" t="str">
        <f ca="1">IF('[2]Pricing Schedule'!$K$5="No",IFERROR(SUBSTITUTE(ADDRESS(1,MATCH(A396,INDIRECT("'"&amp;E396&amp;"'"&amp;"!A10:Z10"),0),4),1,""),""),IFERROR(SUBSTITUTE(ADDRESS(1,MATCH(A396,INDIRECT("'"&amp;E396&amp;"'"&amp;"!A10:Z10"),0),4),1,""),""))</f>
        <v>L</v>
      </c>
      <c r="D396" s="1029" t="s">
        <v>1455</v>
      </c>
      <c r="E396" s="1029" t="s">
        <v>1372</v>
      </c>
      <c r="I396" s="1026" t="str">
        <f t="shared" si="39"/>
        <v>Split Case Fee</v>
      </c>
      <c r="J396" s="1376" t="str">
        <f t="shared" si="41"/>
        <v>365</v>
      </c>
      <c r="K396" s="1376" t="str">
        <f t="shared" si="40"/>
        <v>Pricing Schedule</v>
      </c>
      <c r="L396" s="1090" t="s">
        <v>1381</v>
      </c>
      <c r="M396" s="1376">
        <v>365</v>
      </c>
      <c r="N396" s="1376"/>
    </row>
    <row r="397" spans="1:14" s="1370" customFormat="1" x14ac:dyDescent="0.25">
      <c r="A397" s="1122" t="s">
        <v>1320</v>
      </c>
      <c r="B397" s="1026" t="str">
        <f ca="1">IF('[2]Pricing Schedule'!$K$5="No",_xlfn.CONCAT(IFERROR(SUBSTITUTE(ADDRESS(1,MATCH(A397,INDIRECT("'"&amp;E397&amp;"'"&amp;"!A10:Z10"),0),4),1,""),""),13),_xlfn.CONCAT(IFERROR(SUBSTITUTE(ADDRESS(1,MATCH(A397,INDIRECT("'"&amp;E397&amp;"'"&amp;"!A10:Z10"),0),4),1,""),""),47))</f>
        <v>M47</v>
      </c>
      <c r="C397" s="1026" t="str">
        <f ca="1">IF('[2]Pricing Schedule'!$K$5="No",IFERROR(SUBSTITUTE(ADDRESS(1,MATCH(A397,INDIRECT("'"&amp;E397&amp;"'"&amp;"!A10:Z10"),0),4),1,""),""),IFERROR(SUBSTITUTE(ADDRESS(1,MATCH(A397,INDIRECT("'"&amp;E397&amp;"'"&amp;"!A10:Z10"),0),4),1,""),""))</f>
        <v>M</v>
      </c>
      <c r="D397" s="1029" t="s">
        <v>1455</v>
      </c>
      <c r="E397" s="1029" t="s">
        <v>1372</v>
      </c>
      <c r="I397" s="1026" t="str">
        <f t="shared" si="39"/>
        <v>Split Case Per</v>
      </c>
      <c r="J397" s="1376" t="str">
        <f t="shared" si="41"/>
        <v>366</v>
      </c>
      <c r="K397" s="1376" t="str">
        <f t="shared" si="40"/>
        <v>Pricing Schedule</v>
      </c>
      <c r="L397" s="1090" t="s">
        <v>1320</v>
      </c>
      <c r="M397" s="1376">
        <v>366</v>
      </c>
      <c r="N397" s="1376"/>
    </row>
    <row r="398" spans="1:14" s="1370" customFormat="1" x14ac:dyDescent="0.25">
      <c r="A398" s="1117" t="s">
        <v>1382</v>
      </c>
      <c r="B398" s="1026" t="str">
        <f ca="1">IF('[2]Pricing Schedule'!$K$5="No",_xlfn.CONCAT(IFERROR(SUBSTITUTE(ADDRESS(1,MATCH(A398,INDIRECT("'"&amp;E398&amp;"'"&amp;"!A10:Z10"),0),4),1,""),""),18),_xlfn.CONCAT(IFERROR(SUBSTITUTE(ADDRESS(1,MATCH(A398,INDIRECT("'"&amp;E398&amp;"'"&amp;"!A10:Z10"),0),4),1,""),""),52))</f>
        <v>N52</v>
      </c>
      <c r="C398" s="1026" t="str">
        <f ca="1">IF('[2]Pricing Schedule'!$K$5="No",IFERROR(SUBSTITUTE(ADDRESS(1,MATCH(A398,INDIRECT("'"&amp;E398&amp;"'"&amp;"!A10:Z10"),0),4),1,""),""),IFERROR(SUBSTITUTE(ADDRESS(1,MATCH(A398,INDIRECT("'"&amp;E398&amp;"'"&amp;"!A10:Z10"),0),4),1,""),""))</f>
        <v>N</v>
      </c>
      <c r="D398" s="1029" t="s">
        <v>1455</v>
      </c>
      <c r="E398" s="1029" t="s">
        <v>1372</v>
      </c>
      <c r="I398" s="1026" t="str">
        <f t="shared" si="39"/>
        <v/>
      </c>
      <c r="J398" s="1376"/>
      <c r="K398" s="1376" t="str">
        <f t="shared" si="40"/>
        <v/>
      </c>
      <c r="L398" s="1090" t="s">
        <v>1382</v>
      </c>
      <c r="M398" s="1376">
        <v>367</v>
      </c>
      <c r="N398" s="1376"/>
    </row>
    <row r="399" spans="1:14" s="1370" customFormat="1" x14ac:dyDescent="0.25">
      <c r="A399" s="1118" t="s">
        <v>1373</v>
      </c>
      <c r="B399" s="1026" t="str">
        <f ca="1">IF('[2]Pricing Schedule'!$K$5="No",_xlfn.CONCAT(IFERROR(SUBSTITUTE(ADDRESS(1,MATCH(A399,INDIRECT("'"&amp;E399&amp;"'"&amp;"!A10:Z10"),0),4),1,""),""),18),_xlfn.CONCAT(IFERROR(SUBSTITUTE(ADDRESS(1,MATCH(A399,INDIRECT("'"&amp;E399&amp;"'"&amp;"!A10:Z10"),0),4),1,""),""),52))</f>
        <v>C52</v>
      </c>
      <c r="C399" s="1026" t="str">
        <f ca="1">IF('[2]Pricing Schedule'!$K$5="No",IFERROR(SUBSTITUTE(ADDRESS(1,MATCH(A399,INDIRECT("'"&amp;E399&amp;"'"&amp;"!A10:Z10"),0),4),1,""),""),IFERROR(SUBSTITUTE(ADDRESS(1,MATCH(A399,INDIRECT("'"&amp;E399&amp;"'"&amp;"!A10:Z10"),0),4),1,""),""))</f>
        <v>C</v>
      </c>
      <c r="D399" s="1029" t="s">
        <v>1455</v>
      </c>
      <c r="E399" s="1029" t="s">
        <v>1372</v>
      </c>
      <c r="I399" s="1026" t="str">
        <f t="shared" si="39"/>
        <v/>
      </c>
      <c r="J399" s="1376"/>
      <c r="K399" s="1376" t="str">
        <f t="shared" si="40"/>
        <v/>
      </c>
      <c r="L399" s="1090" t="s">
        <v>254</v>
      </c>
      <c r="M399" s="1376">
        <v>368</v>
      </c>
      <c r="N399" s="1376"/>
    </row>
    <row r="400" spans="1:14" s="1370" customFormat="1" x14ac:dyDescent="0.25">
      <c r="A400" s="1118" t="s">
        <v>1338</v>
      </c>
      <c r="B400" s="1026" t="str">
        <f ca="1">IF('[2]Pricing Schedule'!$K$5="No",_xlfn.CONCAT(IFERROR(SUBSTITUTE(ADDRESS(1,MATCH(A400,INDIRECT("'"&amp;E400&amp;"'"&amp;"!A10:Z10"),0),4),1,""),""),18),_xlfn.CONCAT(IFERROR(SUBSTITUTE(ADDRESS(1,MATCH(A400,INDIRECT("'"&amp;E400&amp;"'"&amp;"!A10:Z10"),0),4),1,""),""),52))</f>
        <v>H52</v>
      </c>
      <c r="C400" s="1026" t="str">
        <f ca="1">IF('[2]Pricing Schedule'!$K$5="No",IFERROR(SUBSTITUTE(ADDRESS(1,MATCH(A400,INDIRECT("'"&amp;E400&amp;"'"&amp;"!A10:Z10"),0),4),1,""),""),IFERROR(SUBSTITUTE(ADDRESS(1,MATCH(A400,INDIRECT("'"&amp;E400&amp;"'"&amp;"!A10:Z10"),0),4),1,""),""))</f>
        <v>H</v>
      </c>
      <c r="D400" s="1029" t="s">
        <v>1455</v>
      </c>
      <c r="E400" s="1029" t="s">
        <v>1372</v>
      </c>
      <c r="I400" s="1026" t="str">
        <f t="shared" si="39"/>
        <v/>
      </c>
      <c r="J400" s="1376"/>
      <c r="K400" s="1376" t="str">
        <f t="shared" si="40"/>
        <v/>
      </c>
      <c r="L400" s="1090" t="s">
        <v>1338</v>
      </c>
      <c r="M400" s="1376">
        <v>369</v>
      </c>
      <c r="N400" s="1376"/>
    </row>
    <row r="401" spans="1:14" s="1370" customFormat="1" x14ac:dyDescent="0.25">
      <c r="A401" s="1118" t="s">
        <v>1376</v>
      </c>
      <c r="B401" s="1026" t="str">
        <f ca="1">IF('[2]Pricing Schedule'!$K$5="No",_xlfn.CONCAT(IFERROR(SUBSTITUTE(ADDRESS(1,MATCH(A401,INDIRECT("'"&amp;E401&amp;"'"&amp;"!A10:Z10"),0),4),1,""),""),18),_xlfn.CONCAT(IFERROR(SUBSTITUTE(ADDRESS(1,MATCH(A401,INDIRECT("'"&amp;E401&amp;"'"&amp;"!A10:Z10"),0),4),1,""),""),52))</f>
        <v>F52</v>
      </c>
      <c r="C401" s="1026" t="str">
        <f ca="1">IF('[2]Pricing Schedule'!$K$5="No",IFERROR(SUBSTITUTE(ADDRESS(1,MATCH(A401,INDIRECT("'"&amp;E401&amp;"'"&amp;"!A10:Z10"),0),4),1,""),""),IFERROR(SUBSTITUTE(ADDRESS(1,MATCH(A401,INDIRECT("'"&amp;E401&amp;"'"&amp;"!A10:Z10"),0),4),1,""),""))</f>
        <v>F</v>
      </c>
      <c r="D401" s="1029" t="s">
        <v>1455</v>
      </c>
      <c r="E401" s="1029" t="s">
        <v>1372</v>
      </c>
      <c r="I401" s="1026" t="str">
        <f t="shared" si="39"/>
        <v/>
      </c>
      <c r="J401" s="1376"/>
      <c r="K401" s="1376" t="str">
        <f t="shared" si="40"/>
        <v/>
      </c>
      <c r="L401" s="1090" t="s">
        <v>225</v>
      </c>
      <c r="M401" s="1376">
        <v>370</v>
      </c>
      <c r="N401" s="1376"/>
    </row>
    <row r="402" spans="1:14" s="1370" customFormat="1" x14ac:dyDescent="0.25">
      <c r="A402" s="1119" t="s">
        <v>466</v>
      </c>
      <c r="B402" s="1026" t="str">
        <f ca="1">_xlfn.CONCAT(IFERROR(SUBSTITUTE(ADDRESS(1,MATCH(A402,INDIRECT("'"&amp;E402&amp;"'"&amp;"!A9:Z9"),0),4),1,""),""),20)</f>
        <v>E20</v>
      </c>
      <c r="C402" s="1026" t="str">
        <f ca="1">_xlfn.CONCAT(IFERROR(SUBSTITUTE(ADDRESS(1,MATCH(A402,INDIRECT("'"&amp;E402&amp;"'"&amp;"!A9:Z9"),0),4),1,""),""))</f>
        <v>E</v>
      </c>
      <c r="D402" s="1376" t="s">
        <v>1455</v>
      </c>
      <c r="E402" s="1029" t="s">
        <v>208</v>
      </c>
      <c r="I402" s="1026" t="str">
        <f t="shared" si="39"/>
        <v>Exclude PIM Classes Below</v>
      </c>
      <c r="J402" s="1376" t="str">
        <f t="shared" si="41"/>
        <v>371</v>
      </c>
      <c r="K402" s="1376" t="str">
        <f t="shared" si="40"/>
        <v>PIM Model</v>
      </c>
      <c r="L402" s="1090" t="s">
        <v>466</v>
      </c>
      <c r="M402" s="1376">
        <v>371</v>
      </c>
      <c r="N402" s="1376"/>
    </row>
    <row r="403" spans="1:14" s="1370" customFormat="1" x14ac:dyDescent="0.25">
      <c r="A403" s="1119" t="s">
        <v>1375</v>
      </c>
      <c r="B403" s="1026" t="str">
        <f ca="1">IF('[2]Pricing Schedule'!$K$5="No",_xlfn.CONCAT(IFERROR(SUBSTITUTE(ADDRESS(1,MATCH(A403,INDIRECT("'"&amp;E403&amp;"'"&amp;"!A10:Z10"),0),4),1,""),""),18),_xlfn.CONCAT(IFERROR(SUBSTITUTE(ADDRESS(1,MATCH(A403,INDIRECT("'"&amp;E403&amp;"'"&amp;"!A10:Z10"),0),4),1,""),""),52))</f>
        <v>E52</v>
      </c>
      <c r="C403" s="1026" t="str">
        <f ca="1">IF('[2]Pricing Schedule'!$K$5="No",IFERROR(SUBSTITUTE(ADDRESS(1,MATCH(A403,INDIRECT("'"&amp;E403&amp;"'"&amp;"!A10:Z10"),0),4),1,""),""),IFERROR(SUBSTITUTE(ADDRESS(1,MATCH(A403,INDIRECT("'"&amp;E403&amp;"'"&amp;"!A10:Z10"),0),4),1,""),""))</f>
        <v>E</v>
      </c>
      <c r="D403" s="1029" t="s">
        <v>1455</v>
      </c>
      <c r="E403" s="1029" t="s">
        <v>1372</v>
      </c>
      <c r="I403" s="1026" t="str">
        <f t="shared" si="39"/>
        <v>Special Pricing Code</v>
      </c>
      <c r="J403" s="1376" t="str">
        <f t="shared" si="41"/>
        <v>372</v>
      </c>
      <c r="K403" s="1376" t="str">
        <f t="shared" si="40"/>
        <v>Pricing Schedule</v>
      </c>
      <c r="L403" s="1090" t="s">
        <v>1375</v>
      </c>
      <c r="M403" s="1376">
        <v>372</v>
      </c>
      <c r="N403" s="1376"/>
    </row>
    <row r="404" spans="1:14" s="1370" customFormat="1" x14ac:dyDescent="0.25">
      <c r="A404" s="1119" t="s">
        <v>1377</v>
      </c>
      <c r="B404" s="1026" t="str">
        <f ca="1">IF('[2]Pricing Schedule'!$K$5="No",_xlfn.CONCAT(IFERROR(SUBSTITUTE(ADDRESS(1,MATCH(A404,INDIRECT("'"&amp;E404&amp;"'"&amp;"!A10:Z10"),0),4),1,""),""),18),_xlfn.CONCAT(IFERROR(SUBSTITUTE(ADDRESS(1,MATCH(A404,INDIRECT("'"&amp;E404&amp;"'"&amp;"!A10:Z10"),0),4),1,""),""),52))</f>
        <v>G52</v>
      </c>
      <c r="C404" s="1026" t="str">
        <f ca="1">IF('[2]Pricing Schedule'!$K$5="No",IFERROR(SUBSTITUTE(ADDRESS(1,MATCH(A404,INDIRECT("'"&amp;E404&amp;"'"&amp;"!A10:Z10"),0),4),1,""),""),IFERROR(SUBSTITUTE(ADDRESS(1,MATCH(A404,INDIRECT("'"&amp;E404&amp;"'"&amp;"!A10:Z10"),0),4),1,""),""))</f>
        <v>G</v>
      </c>
      <c r="D404" s="1029" t="s">
        <v>1455</v>
      </c>
      <c r="E404" s="1029" t="s">
        <v>1372</v>
      </c>
      <c r="I404" s="1026" t="str">
        <f t="shared" si="39"/>
        <v>EB Markup Amt</v>
      </c>
      <c r="J404" s="1376" t="str">
        <f t="shared" si="41"/>
        <v>373</v>
      </c>
      <c r="K404" s="1376" t="str">
        <f t="shared" si="40"/>
        <v>Pricing Schedule</v>
      </c>
      <c r="L404" s="1090" t="s">
        <v>1377</v>
      </c>
      <c r="M404" s="1376">
        <v>373</v>
      </c>
      <c r="N404" s="1376"/>
    </row>
    <row r="405" spans="1:14" s="1370" customFormat="1" x14ac:dyDescent="0.25">
      <c r="A405" s="1119" t="s">
        <v>1378</v>
      </c>
      <c r="B405" s="1026" t="str">
        <f ca="1">IF('[2]Pricing Schedule'!$K$5="No",_xlfn.CONCAT(IFERROR(SUBSTITUTE(ADDRESS(1,MATCH(A405,INDIRECT("'"&amp;E405&amp;"'"&amp;"!A10:Z10"),0),4),1,""),""),18),_xlfn.CONCAT(IFERROR(SUBSTITUTE(ADDRESS(1,MATCH(A405,INDIRECT("'"&amp;E405&amp;"'"&amp;"!A10:Z10"),0),4),1,""),""),52))</f>
        <v>I52</v>
      </c>
      <c r="C405" s="1026" t="str">
        <f ca="1">IF('[2]Pricing Schedule'!$K$5="No",IFERROR(SUBSTITUTE(ADDRESS(1,MATCH(A405,INDIRECT("'"&amp;E405&amp;"'"&amp;"!A10:Z10"),0),4),1,""),""),IFERROR(SUBSTITUTE(ADDRESS(1,MATCH(A405,INDIRECT("'"&amp;E405&amp;"'"&amp;"!A10:Z10"),0),4),1,""),""))</f>
        <v>I</v>
      </c>
      <c r="D405" s="1029" t="s">
        <v>1455</v>
      </c>
      <c r="E405" s="1029" t="s">
        <v>1372</v>
      </c>
      <c r="I405" s="1026" t="str">
        <f t="shared" si="39"/>
        <v>Min CS Markup Override Flag</v>
      </c>
      <c r="J405" s="1376" t="str">
        <f t="shared" si="41"/>
        <v>374</v>
      </c>
      <c r="K405" s="1376" t="str">
        <f t="shared" si="40"/>
        <v>Pricing Schedule</v>
      </c>
      <c r="L405" s="1090" t="s">
        <v>1378</v>
      </c>
      <c r="M405" s="1376">
        <v>374</v>
      </c>
      <c r="N405" s="1376"/>
    </row>
    <row r="406" spans="1:14" s="1370" customFormat="1" x14ac:dyDescent="0.25">
      <c r="A406" s="1119" t="s">
        <v>1379</v>
      </c>
      <c r="B406" s="1026" t="str">
        <f ca="1">IF('[2]Pricing Schedule'!$K$5="No",_xlfn.CONCAT(IFERROR(SUBSTITUTE(ADDRESS(1,MATCH(A406,INDIRECT("'"&amp;E406&amp;"'"&amp;"!A10:Z10"),0),4),1,""),""),18),_xlfn.CONCAT(IFERROR(SUBSTITUTE(ADDRESS(1,MATCH(A406,INDIRECT("'"&amp;E406&amp;"'"&amp;"!A10:Z10"),0),4),1,""),""),52))</f>
        <v>J52</v>
      </c>
      <c r="C406" s="1026" t="str">
        <f ca="1">IF('[2]Pricing Schedule'!$K$5="No",IFERROR(SUBSTITUTE(ADDRESS(1,MATCH(A406,INDIRECT("'"&amp;E406&amp;"'"&amp;"!A10:Z10"),0),4),1,""),""),IFERROR(SUBSTITUTE(ADDRESS(1,MATCH(A406,INDIRECT("'"&amp;E406&amp;"'"&amp;"!A10:Z10"),0),4),1,""),""))</f>
        <v>J</v>
      </c>
      <c r="D406" s="1029" t="s">
        <v>1455</v>
      </c>
      <c r="E406" s="1029" t="s">
        <v>1372</v>
      </c>
      <c r="I406" s="1026" t="str">
        <f t="shared" si="39"/>
        <v>Min CS Markup Amt</v>
      </c>
      <c r="J406" s="1376" t="str">
        <f t="shared" si="41"/>
        <v>375</v>
      </c>
      <c r="K406" s="1376" t="str">
        <f t="shared" si="40"/>
        <v>Pricing Schedule</v>
      </c>
      <c r="L406" s="1090" t="s">
        <v>1379</v>
      </c>
      <c r="M406" s="1376">
        <v>375</v>
      </c>
      <c r="N406" s="1376"/>
    </row>
    <row r="407" spans="1:14" s="1370" customFormat="1" x14ac:dyDescent="0.25">
      <c r="A407" s="1119" t="s">
        <v>1380</v>
      </c>
      <c r="B407" s="1026" t="str">
        <f ca="1">IF('[2]Pricing Schedule'!$K$5="No",_xlfn.CONCAT(IFERROR(SUBSTITUTE(ADDRESS(1,MATCH(A407,INDIRECT("'"&amp;E407&amp;"'"&amp;"!A10:Z10"),0),4),1,""),""),18),_xlfn.CONCAT(IFERROR(SUBSTITUTE(ADDRESS(1,MATCH(A407,INDIRECT("'"&amp;E407&amp;"'"&amp;"!A10:Z10"),0),4),1,""),""),52))</f>
        <v>K52</v>
      </c>
      <c r="C407" s="1026" t="str">
        <f ca="1">IF('[2]Pricing Schedule'!$K$5="No",IFERROR(SUBSTITUTE(ADDRESS(1,MATCH(A407,INDIRECT("'"&amp;E407&amp;"'"&amp;"!A10:Z10"),0),4),1,""),""),IFERROR(SUBSTITUTE(ADDRESS(1,MATCH(A407,INDIRECT("'"&amp;E407&amp;"'"&amp;"!A10:Z10"),0),4),1,""),""))</f>
        <v>K</v>
      </c>
      <c r="D407" s="1029" t="s">
        <v>1455</v>
      </c>
      <c r="E407" s="1029" t="s">
        <v>1372</v>
      </c>
      <c r="I407" s="1026" t="str">
        <f t="shared" si="39"/>
        <v>Split Case Fee Override Flag</v>
      </c>
      <c r="J407" s="1376" t="str">
        <f t="shared" si="41"/>
        <v>376</v>
      </c>
      <c r="K407" s="1376" t="str">
        <f t="shared" si="40"/>
        <v>Pricing Schedule</v>
      </c>
      <c r="L407" s="1090" t="s">
        <v>1380</v>
      </c>
      <c r="M407" s="1376">
        <v>376</v>
      </c>
      <c r="N407" s="1376"/>
    </row>
    <row r="408" spans="1:14" s="1370" customFormat="1" x14ac:dyDescent="0.25">
      <c r="A408" s="1119" t="s">
        <v>1381</v>
      </c>
      <c r="B408" s="1026" t="str">
        <f ca="1">IF('[2]Pricing Schedule'!$K$5="No",_xlfn.CONCAT(IFERROR(SUBSTITUTE(ADDRESS(1,MATCH(A408,INDIRECT("'"&amp;E408&amp;"'"&amp;"!A10:Z10"),0),4),1,""),""),18),_xlfn.CONCAT(IFERROR(SUBSTITUTE(ADDRESS(1,MATCH(A408,INDIRECT("'"&amp;E408&amp;"'"&amp;"!A10:Z10"),0),4),1,""),""),52))</f>
        <v>L52</v>
      </c>
      <c r="C408" s="1026" t="str">
        <f ca="1">IF('[2]Pricing Schedule'!$K$5="No",IFERROR(SUBSTITUTE(ADDRESS(1,MATCH(A408,INDIRECT("'"&amp;E408&amp;"'"&amp;"!A10:Z10"),0),4),1,""),""),IFERROR(SUBSTITUTE(ADDRESS(1,MATCH(A408,INDIRECT("'"&amp;E408&amp;"'"&amp;"!A10:Z10"),0),4),1,""),""))</f>
        <v>L</v>
      </c>
      <c r="D408" s="1029" t="s">
        <v>1455</v>
      </c>
      <c r="E408" s="1029" t="s">
        <v>1372</v>
      </c>
      <c r="I408" s="1026" t="str">
        <f t="shared" si="39"/>
        <v>Split Case Fee</v>
      </c>
      <c r="J408" s="1376" t="str">
        <f t="shared" si="41"/>
        <v>377</v>
      </c>
      <c r="K408" s="1376" t="str">
        <f t="shared" si="40"/>
        <v>Pricing Schedule</v>
      </c>
      <c r="L408" s="1090" t="s">
        <v>1381</v>
      </c>
      <c r="M408" s="1376">
        <v>377</v>
      </c>
      <c r="N408" s="1376"/>
    </row>
    <row r="409" spans="1:14" s="1370" customFormat="1" x14ac:dyDescent="0.25">
      <c r="A409" s="1119" t="s">
        <v>1320</v>
      </c>
      <c r="B409" s="1026" t="str">
        <f ca="1">IF('[2]Pricing Schedule'!$K$5="No",_xlfn.CONCAT(IFERROR(SUBSTITUTE(ADDRESS(1,MATCH(A409,INDIRECT("'"&amp;E409&amp;"'"&amp;"!A10:Z10"),0),4),1,""),""),18),_xlfn.CONCAT(IFERROR(SUBSTITUTE(ADDRESS(1,MATCH(A409,INDIRECT("'"&amp;E409&amp;"'"&amp;"!A10:Z10"),0),4),1,""),""),52))</f>
        <v>M52</v>
      </c>
      <c r="C409" s="1026" t="str">
        <f ca="1">IF('[2]Pricing Schedule'!$K$5="No",IFERROR(SUBSTITUTE(ADDRESS(1,MATCH(A409,INDIRECT("'"&amp;E409&amp;"'"&amp;"!A10:Z10"),0),4),1,""),""),IFERROR(SUBSTITUTE(ADDRESS(1,MATCH(A409,INDIRECT("'"&amp;E409&amp;"'"&amp;"!A10:Z10"),0),4),1,""),""))</f>
        <v>M</v>
      </c>
      <c r="D409" s="1029" t="s">
        <v>1455</v>
      </c>
      <c r="E409" s="1029" t="s">
        <v>1372</v>
      </c>
      <c r="I409" s="1026" t="str">
        <f t="shared" si="39"/>
        <v>Split Case Per</v>
      </c>
      <c r="J409" s="1376" t="str">
        <f t="shared" si="41"/>
        <v>378</v>
      </c>
      <c r="K409" s="1376" t="str">
        <f t="shared" si="40"/>
        <v>Pricing Schedule</v>
      </c>
      <c r="L409" s="1090" t="s">
        <v>1320</v>
      </c>
      <c r="M409" s="1376">
        <v>378</v>
      </c>
      <c r="N409" s="1376"/>
    </row>
    <row r="410" spans="1:14" s="1370" customFormat="1" x14ac:dyDescent="0.25">
      <c r="A410" s="1120" t="s">
        <v>1382</v>
      </c>
      <c r="B410" s="1026" t="str">
        <f ca="1">IF('[2]Pricing Schedule'!$K$5="No",_xlfn.CONCAT(IFERROR(SUBSTITUTE(ADDRESS(1,MATCH(A410,INDIRECT("'"&amp;E410&amp;"'"&amp;"!A10:Z10"),0),4),1,""),""),22),_xlfn.CONCAT(IFERROR(SUBSTITUTE(ADDRESS(1,MATCH(A410,INDIRECT("'"&amp;E410&amp;"'"&amp;"!A10:Z10"),0),4),1,""),""),56))</f>
        <v>N56</v>
      </c>
      <c r="C410" s="1026" t="str">
        <f ca="1">IF('[2]Pricing Schedule'!$K$5="No",IFERROR(SUBSTITUTE(ADDRESS(1,MATCH(A410,INDIRECT("'"&amp;E410&amp;"'"&amp;"!A10:Z10"),0),4),1,""),""),IFERROR(SUBSTITUTE(ADDRESS(1,MATCH(A410,INDIRECT("'"&amp;E410&amp;"'"&amp;"!A10:Z10"),0),4),1,""),""))</f>
        <v>N</v>
      </c>
      <c r="D410" s="1029" t="s">
        <v>1455</v>
      </c>
      <c r="E410" s="1029" t="s">
        <v>1372</v>
      </c>
      <c r="I410" s="1026" t="str">
        <f t="shared" si="39"/>
        <v/>
      </c>
      <c r="J410" s="1376"/>
      <c r="K410" s="1376" t="str">
        <f t="shared" si="40"/>
        <v/>
      </c>
      <c r="L410" s="1090" t="s">
        <v>1382</v>
      </c>
      <c r="M410" s="1376">
        <v>379</v>
      </c>
      <c r="N410" s="1376"/>
    </row>
    <row r="411" spans="1:14" s="1370" customFormat="1" x14ac:dyDescent="0.25">
      <c r="A411" s="1121" t="s">
        <v>1373</v>
      </c>
      <c r="B411" s="1026" t="str">
        <f ca="1">IF('[2]Pricing Schedule'!$K$5="No",_xlfn.CONCAT(IFERROR(SUBSTITUTE(ADDRESS(1,MATCH(A411,INDIRECT("'"&amp;E411&amp;"'"&amp;"!A10:Z10"),0),4),1,""),""),22),_xlfn.CONCAT(IFERROR(SUBSTITUTE(ADDRESS(1,MATCH(A411,INDIRECT("'"&amp;E411&amp;"'"&amp;"!A10:Z10"),0),4),1,""),""),56))</f>
        <v>C56</v>
      </c>
      <c r="C411" s="1026" t="str">
        <f ca="1">IF('[2]Pricing Schedule'!$K$5="No",IFERROR(SUBSTITUTE(ADDRESS(1,MATCH(A411,INDIRECT("'"&amp;E411&amp;"'"&amp;"!A10:Z10"),0),4),1,""),""),IFERROR(SUBSTITUTE(ADDRESS(1,MATCH(A411,INDIRECT("'"&amp;E411&amp;"'"&amp;"!A10:Z10"),0),4),1,""),""))</f>
        <v>C</v>
      </c>
      <c r="D411" s="1029" t="s">
        <v>1455</v>
      </c>
      <c r="E411" s="1029" t="s">
        <v>1372</v>
      </c>
      <c r="I411" s="1026" t="str">
        <f t="shared" si="39"/>
        <v/>
      </c>
      <c r="J411" s="1376"/>
      <c r="K411" s="1376" t="str">
        <f t="shared" si="40"/>
        <v/>
      </c>
      <c r="L411" s="1090" t="s">
        <v>254</v>
      </c>
      <c r="M411" s="1376">
        <v>380</v>
      </c>
      <c r="N411" s="1376"/>
    </row>
    <row r="412" spans="1:14" s="1370" customFormat="1" x14ac:dyDescent="0.25">
      <c r="A412" s="1121" t="s">
        <v>1338</v>
      </c>
      <c r="B412" s="1026" t="str">
        <f ca="1">IF('[2]Pricing Schedule'!$K$5="No",_xlfn.CONCAT(IFERROR(SUBSTITUTE(ADDRESS(1,MATCH(A412,INDIRECT("'"&amp;E412&amp;"'"&amp;"!A10:Z10"),0),4),1,""),""),22),_xlfn.CONCAT(IFERROR(SUBSTITUTE(ADDRESS(1,MATCH(A412,INDIRECT("'"&amp;E412&amp;"'"&amp;"!A10:Z10"),0),4),1,""),""),56))</f>
        <v>H56</v>
      </c>
      <c r="C412" s="1026" t="str">
        <f ca="1">IF('[2]Pricing Schedule'!$K$5="No",IFERROR(SUBSTITUTE(ADDRESS(1,MATCH(A412,INDIRECT("'"&amp;E412&amp;"'"&amp;"!A10:Z10"),0),4),1,""),""),IFERROR(SUBSTITUTE(ADDRESS(1,MATCH(A412,INDIRECT("'"&amp;E412&amp;"'"&amp;"!A10:Z10"),0),4),1,""),""))</f>
        <v>H</v>
      </c>
      <c r="D412" s="1029" t="s">
        <v>1455</v>
      </c>
      <c r="E412" s="1029" t="s">
        <v>1372</v>
      </c>
      <c r="I412" s="1026" t="str">
        <f t="shared" si="39"/>
        <v/>
      </c>
      <c r="J412" s="1376"/>
      <c r="K412" s="1376" t="str">
        <f t="shared" si="40"/>
        <v/>
      </c>
      <c r="L412" s="1090" t="s">
        <v>1338</v>
      </c>
      <c r="M412" s="1376">
        <v>381</v>
      </c>
      <c r="N412" s="1376"/>
    </row>
    <row r="413" spans="1:14" s="1370" customFormat="1" x14ac:dyDescent="0.25">
      <c r="A413" s="1121" t="s">
        <v>1376</v>
      </c>
      <c r="B413" s="1026" t="str">
        <f ca="1">IF('[2]Pricing Schedule'!$K$5="No",_xlfn.CONCAT(IFERROR(SUBSTITUTE(ADDRESS(1,MATCH(A413,INDIRECT("'"&amp;E413&amp;"'"&amp;"!A10:Z10"),0),4),1,""),""),22),_xlfn.CONCAT(IFERROR(SUBSTITUTE(ADDRESS(1,MATCH(A413,INDIRECT("'"&amp;E413&amp;"'"&amp;"!A10:Z10"),0),4),1,""),""),56))</f>
        <v>F56</v>
      </c>
      <c r="C413" s="1026" t="str">
        <f ca="1">IF('[2]Pricing Schedule'!$K$5="No",IFERROR(SUBSTITUTE(ADDRESS(1,MATCH(A413,INDIRECT("'"&amp;E413&amp;"'"&amp;"!A10:Z10"),0),4),1,""),""),IFERROR(SUBSTITUTE(ADDRESS(1,MATCH(A413,INDIRECT("'"&amp;E413&amp;"'"&amp;"!A10:Z10"),0),4),1,""),""))</f>
        <v>F</v>
      </c>
      <c r="D413" s="1029" t="s">
        <v>1455</v>
      </c>
      <c r="E413" s="1029" t="s">
        <v>1372</v>
      </c>
      <c r="I413" s="1026" t="str">
        <f t="shared" si="39"/>
        <v/>
      </c>
      <c r="J413" s="1376"/>
      <c r="K413" s="1376" t="str">
        <f t="shared" si="40"/>
        <v/>
      </c>
      <c r="L413" s="1090" t="s">
        <v>225</v>
      </c>
      <c r="M413" s="1376">
        <v>382</v>
      </c>
      <c r="N413" s="1376"/>
    </row>
    <row r="414" spans="1:14" s="1370" customFormat="1" x14ac:dyDescent="0.25">
      <c r="A414" s="1122" t="s">
        <v>466</v>
      </c>
      <c r="B414" s="1026" t="str">
        <f ca="1">_xlfn.CONCAT(IFERROR(SUBSTITUTE(ADDRESS(1,MATCH(A414,INDIRECT("'"&amp;E414&amp;"'"&amp;"!A9:Z9"),0),4),1,""),""),21)</f>
        <v>E21</v>
      </c>
      <c r="C414" s="1026" t="str">
        <f ca="1">_xlfn.CONCAT(IFERROR(SUBSTITUTE(ADDRESS(1,MATCH(A414,INDIRECT("'"&amp;E414&amp;"'"&amp;"!A9:Z9"),0),4),1,""),""))</f>
        <v>E</v>
      </c>
      <c r="D414" s="1376" t="s">
        <v>1455</v>
      </c>
      <c r="E414" s="1029" t="s">
        <v>208</v>
      </c>
      <c r="I414" s="1026" t="str">
        <f t="shared" si="39"/>
        <v>Exclude PIM Classes Below</v>
      </c>
      <c r="J414" s="1376" t="str">
        <f t="shared" si="41"/>
        <v>383</v>
      </c>
      <c r="K414" s="1376" t="str">
        <f t="shared" si="40"/>
        <v>PIM Model</v>
      </c>
      <c r="L414" s="1090" t="s">
        <v>466</v>
      </c>
      <c r="M414" s="1376">
        <v>383</v>
      </c>
      <c r="N414" s="1376"/>
    </row>
    <row r="415" spans="1:14" s="1370" customFormat="1" x14ac:dyDescent="0.25">
      <c r="A415" s="1122" t="s">
        <v>1375</v>
      </c>
      <c r="B415" s="1026" t="str">
        <f ca="1">IF('[2]Pricing Schedule'!$K$5="No",_xlfn.CONCAT(IFERROR(SUBSTITUTE(ADDRESS(1,MATCH(A415,INDIRECT("'"&amp;E415&amp;"'"&amp;"!A10:Z10"),0),4),1,""),""),22),_xlfn.CONCAT(IFERROR(SUBSTITUTE(ADDRESS(1,MATCH(A415,INDIRECT("'"&amp;E415&amp;"'"&amp;"!A10:Z10"),0),4),1,""),""),56))</f>
        <v>E56</v>
      </c>
      <c r="C415" s="1026" t="str">
        <f ca="1">IF('[2]Pricing Schedule'!$K$5="No",IFERROR(SUBSTITUTE(ADDRESS(1,MATCH(A415,INDIRECT("'"&amp;E415&amp;"'"&amp;"!A10:Z10"),0),4),1,""),""),IFERROR(SUBSTITUTE(ADDRESS(1,MATCH(A415,INDIRECT("'"&amp;E415&amp;"'"&amp;"!A10:Z10"),0),4),1,""),""))</f>
        <v>E</v>
      </c>
      <c r="D415" s="1029" t="s">
        <v>1455</v>
      </c>
      <c r="E415" s="1029" t="s">
        <v>1372</v>
      </c>
      <c r="I415" s="1026" t="str">
        <f t="shared" si="39"/>
        <v>Special Pricing Code</v>
      </c>
      <c r="J415" s="1376" t="str">
        <f t="shared" si="41"/>
        <v>384</v>
      </c>
      <c r="K415" s="1376" t="str">
        <f t="shared" si="40"/>
        <v>Pricing Schedule</v>
      </c>
      <c r="L415" s="1090" t="s">
        <v>1375</v>
      </c>
      <c r="M415" s="1376">
        <v>384</v>
      </c>
      <c r="N415" s="1376"/>
    </row>
    <row r="416" spans="1:14" s="1370" customFormat="1" x14ac:dyDescent="0.25">
      <c r="A416" s="1122" t="s">
        <v>1377</v>
      </c>
      <c r="B416" s="1026" t="str">
        <f ca="1">IF('[2]Pricing Schedule'!$K$5="No",_xlfn.CONCAT(IFERROR(SUBSTITUTE(ADDRESS(1,MATCH(A416,INDIRECT("'"&amp;E416&amp;"'"&amp;"!A10:Z10"),0),4),1,""),""),22),_xlfn.CONCAT(IFERROR(SUBSTITUTE(ADDRESS(1,MATCH(A416,INDIRECT("'"&amp;E416&amp;"'"&amp;"!A10:Z10"),0),4),1,""),""),56))</f>
        <v>G56</v>
      </c>
      <c r="C416" s="1026" t="str">
        <f ca="1">IF('[2]Pricing Schedule'!$K$5="No",IFERROR(SUBSTITUTE(ADDRESS(1,MATCH(A416,INDIRECT("'"&amp;E416&amp;"'"&amp;"!A10:Z10"),0),4),1,""),""),IFERROR(SUBSTITUTE(ADDRESS(1,MATCH(A416,INDIRECT("'"&amp;E416&amp;"'"&amp;"!A10:Z10"),0),4),1,""),""))</f>
        <v>G</v>
      </c>
      <c r="D416" s="1029" t="s">
        <v>1455</v>
      </c>
      <c r="E416" s="1029" t="s">
        <v>1372</v>
      </c>
      <c r="I416" s="1026" t="str">
        <f t="shared" si="39"/>
        <v>EB Markup Amt</v>
      </c>
      <c r="J416" s="1376" t="str">
        <f t="shared" si="41"/>
        <v>385</v>
      </c>
      <c r="K416" s="1376" t="str">
        <f t="shared" si="40"/>
        <v>Pricing Schedule</v>
      </c>
      <c r="L416" s="1090" t="s">
        <v>1377</v>
      </c>
      <c r="M416" s="1376">
        <v>385</v>
      </c>
      <c r="N416" s="1376"/>
    </row>
    <row r="417" spans="1:14" s="1370" customFormat="1" x14ac:dyDescent="0.25">
      <c r="A417" s="1122" t="s">
        <v>1378</v>
      </c>
      <c r="B417" s="1026" t="str">
        <f ca="1">IF('[2]Pricing Schedule'!$K$5="No",_xlfn.CONCAT(IFERROR(SUBSTITUTE(ADDRESS(1,MATCH(A417,INDIRECT("'"&amp;E417&amp;"'"&amp;"!A10:Z10"),0),4),1,""),""),22),_xlfn.CONCAT(IFERROR(SUBSTITUTE(ADDRESS(1,MATCH(A417,INDIRECT("'"&amp;E417&amp;"'"&amp;"!A10:Z10"),0),4),1,""),""),56))</f>
        <v>I56</v>
      </c>
      <c r="C417" s="1026" t="str">
        <f ca="1">IF('[2]Pricing Schedule'!$K$5="No",IFERROR(SUBSTITUTE(ADDRESS(1,MATCH(A417,INDIRECT("'"&amp;E417&amp;"'"&amp;"!A10:Z10"),0),4),1,""),""),IFERROR(SUBSTITUTE(ADDRESS(1,MATCH(A417,INDIRECT("'"&amp;E417&amp;"'"&amp;"!A10:Z10"),0),4),1,""),""))</f>
        <v>I</v>
      </c>
      <c r="D417" s="1029" t="s">
        <v>1455</v>
      </c>
      <c r="E417" s="1029" t="s">
        <v>1372</v>
      </c>
      <c r="I417" s="1026" t="str">
        <f t="shared" si="39"/>
        <v>Min CS Markup Override Flag</v>
      </c>
      <c r="J417" s="1376" t="str">
        <f t="shared" si="41"/>
        <v>386</v>
      </c>
      <c r="K417" s="1376" t="str">
        <f t="shared" si="40"/>
        <v>Pricing Schedule</v>
      </c>
      <c r="L417" s="1090" t="s">
        <v>1378</v>
      </c>
      <c r="M417" s="1376">
        <v>386</v>
      </c>
      <c r="N417" s="1376"/>
    </row>
    <row r="418" spans="1:14" s="1370" customFormat="1" x14ac:dyDescent="0.25">
      <c r="A418" s="1122" t="s">
        <v>1379</v>
      </c>
      <c r="B418" s="1026" t="str">
        <f ca="1">IF('[2]Pricing Schedule'!$K$5="No",_xlfn.CONCAT(IFERROR(SUBSTITUTE(ADDRESS(1,MATCH(A418,INDIRECT("'"&amp;E418&amp;"'"&amp;"!A10:Z10"),0),4),1,""),""),22),_xlfn.CONCAT(IFERROR(SUBSTITUTE(ADDRESS(1,MATCH(A418,INDIRECT("'"&amp;E418&amp;"'"&amp;"!A10:Z10"),0),4),1,""),""),56))</f>
        <v>J56</v>
      </c>
      <c r="C418" s="1026" t="str">
        <f ca="1">IF('[2]Pricing Schedule'!$K$5="No",IFERROR(SUBSTITUTE(ADDRESS(1,MATCH(A418,INDIRECT("'"&amp;E418&amp;"'"&amp;"!A10:Z10"),0),4),1,""),""),IFERROR(SUBSTITUTE(ADDRESS(1,MATCH(A418,INDIRECT("'"&amp;E418&amp;"'"&amp;"!A10:Z10"),0),4),1,""),""))</f>
        <v>J</v>
      </c>
      <c r="D418" s="1029" t="s">
        <v>1455</v>
      </c>
      <c r="E418" s="1029" t="s">
        <v>1372</v>
      </c>
      <c r="I418" s="1026" t="str">
        <f t="shared" si="39"/>
        <v>Min CS Markup Amt</v>
      </c>
      <c r="J418" s="1376" t="str">
        <f t="shared" si="41"/>
        <v>387</v>
      </c>
      <c r="K418" s="1376" t="str">
        <f t="shared" si="40"/>
        <v>Pricing Schedule</v>
      </c>
      <c r="L418" s="1090" t="s">
        <v>1379</v>
      </c>
      <c r="M418" s="1376">
        <v>387</v>
      </c>
      <c r="N418" s="1376"/>
    </row>
    <row r="419" spans="1:14" s="1370" customFormat="1" x14ac:dyDescent="0.25">
      <c r="A419" s="1122" t="s">
        <v>1380</v>
      </c>
      <c r="B419" s="1026" t="str">
        <f ca="1">IF('[2]Pricing Schedule'!$K$5="No",_xlfn.CONCAT(IFERROR(SUBSTITUTE(ADDRESS(1,MATCH(A419,INDIRECT("'"&amp;E419&amp;"'"&amp;"!A10:Z10"),0),4),1,""),""),22),_xlfn.CONCAT(IFERROR(SUBSTITUTE(ADDRESS(1,MATCH(A419,INDIRECT("'"&amp;E419&amp;"'"&amp;"!A10:Z10"),0),4),1,""),""),56))</f>
        <v>K56</v>
      </c>
      <c r="C419" s="1026" t="str">
        <f ca="1">IF('[2]Pricing Schedule'!$K$5="No",IFERROR(SUBSTITUTE(ADDRESS(1,MATCH(A419,INDIRECT("'"&amp;E419&amp;"'"&amp;"!A10:Z10"),0),4),1,""),""),IFERROR(SUBSTITUTE(ADDRESS(1,MATCH(A419,INDIRECT("'"&amp;E419&amp;"'"&amp;"!A10:Z10"),0),4),1,""),""))</f>
        <v>K</v>
      </c>
      <c r="D419" s="1029" t="s">
        <v>1455</v>
      </c>
      <c r="E419" s="1029" t="s">
        <v>1372</v>
      </c>
      <c r="I419" s="1026" t="str">
        <f t="shared" si="39"/>
        <v>Split Case Fee Override Flag</v>
      </c>
      <c r="J419" s="1376" t="str">
        <f t="shared" si="41"/>
        <v>388</v>
      </c>
      <c r="K419" s="1376" t="str">
        <f t="shared" si="40"/>
        <v>Pricing Schedule</v>
      </c>
      <c r="L419" s="1090" t="s">
        <v>1380</v>
      </c>
      <c r="M419" s="1376">
        <v>388</v>
      </c>
      <c r="N419" s="1376"/>
    </row>
    <row r="420" spans="1:14" s="1370" customFormat="1" x14ac:dyDescent="0.25">
      <c r="A420" s="1122" t="s">
        <v>1381</v>
      </c>
      <c r="B420" s="1026" t="str">
        <f ca="1">IF('[2]Pricing Schedule'!$K$5="No",_xlfn.CONCAT(IFERROR(SUBSTITUTE(ADDRESS(1,MATCH(A420,INDIRECT("'"&amp;E420&amp;"'"&amp;"!A10:Z10"),0),4),1,""),""),22),_xlfn.CONCAT(IFERROR(SUBSTITUTE(ADDRESS(1,MATCH(A420,INDIRECT("'"&amp;E420&amp;"'"&amp;"!A10:Z10"),0),4),1,""),""),56))</f>
        <v>L56</v>
      </c>
      <c r="C420" s="1026" t="str">
        <f ca="1">IF('[2]Pricing Schedule'!$K$5="No",IFERROR(SUBSTITUTE(ADDRESS(1,MATCH(A420,INDIRECT("'"&amp;E420&amp;"'"&amp;"!A10:Z10"),0),4),1,""),""),IFERROR(SUBSTITUTE(ADDRESS(1,MATCH(A420,INDIRECT("'"&amp;E420&amp;"'"&amp;"!A10:Z10"),0),4),1,""),""))</f>
        <v>L</v>
      </c>
      <c r="D420" s="1029" t="s">
        <v>1455</v>
      </c>
      <c r="E420" s="1029" t="s">
        <v>1372</v>
      </c>
      <c r="I420" s="1026" t="str">
        <f t="shared" si="39"/>
        <v>Split Case Fee</v>
      </c>
      <c r="J420" s="1376" t="str">
        <f t="shared" si="41"/>
        <v>389</v>
      </c>
      <c r="K420" s="1376" t="str">
        <f t="shared" si="40"/>
        <v>Pricing Schedule</v>
      </c>
      <c r="L420" s="1090" t="s">
        <v>1381</v>
      </c>
      <c r="M420" s="1376">
        <v>389</v>
      </c>
      <c r="N420" s="1376"/>
    </row>
    <row r="421" spans="1:14" s="1370" customFormat="1" x14ac:dyDescent="0.25">
      <c r="A421" s="1122" t="s">
        <v>1320</v>
      </c>
      <c r="B421" s="1026" t="str">
        <f ca="1">IF('[2]Pricing Schedule'!$K$5="No",_xlfn.CONCAT(IFERROR(SUBSTITUTE(ADDRESS(1,MATCH(A421,INDIRECT("'"&amp;E421&amp;"'"&amp;"!A10:Z10"),0),4),1,""),""),22),_xlfn.CONCAT(IFERROR(SUBSTITUTE(ADDRESS(1,MATCH(A421,INDIRECT("'"&amp;E421&amp;"'"&amp;"!A10:Z10"),0),4),1,""),""),56))</f>
        <v>M56</v>
      </c>
      <c r="C421" s="1026" t="str">
        <f ca="1">IF('[2]Pricing Schedule'!$K$5="No",IFERROR(SUBSTITUTE(ADDRESS(1,MATCH(A421,INDIRECT("'"&amp;E421&amp;"'"&amp;"!A10:Z10"),0),4),1,""),""),IFERROR(SUBSTITUTE(ADDRESS(1,MATCH(A421,INDIRECT("'"&amp;E421&amp;"'"&amp;"!A10:Z10"),0),4),1,""),""))</f>
        <v>M</v>
      </c>
      <c r="D421" s="1029" t="s">
        <v>1455</v>
      </c>
      <c r="E421" s="1029" t="s">
        <v>1372</v>
      </c>
      <c r="I421" s="1026" t="str">
        <f t="shared" si="39"/>
        <v>Split Case Per</v>
      </c>
      <c r="J421" s="1376" t="str">
        <f t="shared" si="41"/>
        <v>390</v>
      </c>
      <c r="K421" s="1376" t="str">
        <f t="shared" si="40"/>
        <v>Pricing Schedule</v>
      </c>
      <c r="L421" s="1090" t="s">
        <v>1320</v>
      </c>
      <c r="M421" s="1376">
        <v>390</v>
      </c>
      <c r="N421" s="1376"/>
    </row>
    <row r="422" spans="1:14" s="1370" customFormat="1" x14ac:dyDescent="0.25">
      <c r="A422" s="1117" t="s">
        <v>1382</v>
      </c>
      <c r="B422" s="1026" t="str">
        <f ca="1">IF('[2]Pricing Schedule'!$K$5="No",_xlfn.CONCAT(IFERROR(SUBSTITUTE(ADDRESS(1,MATCH(A422,INDIRECT("'"&amp;E422&amp;"'"&amp;"!A10:Z10"),0),4),1,""),""),30),_xlfn.CONCAT(IFERROR(SUBSTITUTE(ADDRESS(1,MATCH(A422,INDIRECT("'"&amp;E422&amp;"'"&amp;"!A10:Z10"),0),4),1,""),""),64))</f>
        <v>N64</v>
      </c>
      <c r="C422" s="1026" t="str">
        <f ca="1">IF('[2]Pricing Schedule'!$K$5="No",IFERROR(SUBSTITUTE(ADDRESS(1,MATCH(A422,INDIRECT("'"&amp;E422&amp;"'"&amp;"!A10:Z10"),0),4),1,""),""),IFERROR(SUBSTITUTE(ADDRESS(1,MATCH(A422,INDIRECT("'"&amp;E422&amp;"'"&amp;"!A10:Z10"),0),4),1,""),""))</f>
        <v>N</v>
      </c>
      <c r="D422" s="1029" t="s">
        <v>1455</v>
      </c>
      <c r="E422" s="1029" t="s">
        <v>1372</v>
      </c>
      <c r="I422" s="1026" t="str">
        <f t="shared" si="39"/>
        <v/>
      </c>
      <c r="J422" s="1376"/>
      <c r="K422" s="1376" t="str">
        <f t="shared" si="40"/>
        <v/>
      </c>
      <c r="L422" s="1090" t="s">
        <v>1382</v>
      </c>
      <c r="M422" s="1376">
        <v>391</v>
      </c>
      <c r="N422" s="1376"/>
    </row>
    <row r="423" spans="1:14" s="1370" customFormat="1" x14ac:dyDescent="0.25">
      <c r="A423" s="1118" t="s">
        <v>1373</v>
      </c>
      <c r="B423" s="1026" t="str">
        <f ca="1">IF('[2]Pricing Schedule'!$K$5="No",_xlfn.CONCAT(IFERROR(SUBSTITUTE(ADDRESS(1,MATCH(A423,INDIRECT("'"&amp;E423&amp;"'"&amp;"!A10:Z10"),0),4),1,""),""),30),_xlfn.CONCAT(IFERROR(SUBSTITUTE(ADDRESS(1,MATCH(A423,INDIRECT("'"&amp;E423&amp;"'"&amp;"!A10:Z10"),0),4),1,""),""),64))</f>
        <v>C64</v>
      </c>
      <c r="C423" s="1026" t="str">
        <f ca="1">IF('[2]Pricing Schedule'!$K$5="No",IFERROR(SUBSTITUTE(ADDRESS(1,MATCH(A423,INDIRECT("'"&amp;E423&amp;"'"&amp;"!A10:Z10"),0),4),1,""),""),IFERROR(SUBSTITUTE(ADDRESS(1,MATCH(A423,INDIRECT("'"&amp;E423&amp;"'"&amp;"!A10:Z10"),0),4),1,""),""))</f>
        <v>C</v>
      </c>
      <c r="D423" s="1029" t="s">
        <v>1455</v>
      </c>
      <c r="E423" s="1029" t="s">
        <v>1372</v>
      </c>
      <c r="I423" s="1026" t="str">
        <f t="shared" si="39"/>
        <v/>
      </c>
      <c r="J423" s="1376"/>
      <c r="K423" s="1376" t="str">
        <f t="shared" si="40"/>
        <v/>
      </c>
      <c r="L423" s="1090" t="s">
        <v>254</v>
      </c>
      <c r="M423" s="1376">
        <v>392</v>
      </c>
      <c r="N423" s="1376"/>
    </row>
    <row r="424" spans="1:14" s="1370" customFormat="1" x14ac:dyDescent="0.25">
      <c r="A424" s="1118" t="s">
        <v>1338</v>
      </c>
      <c r="B424" s="1026" t="str">
        <f ca="1">IF('[2]Pricing Schedule'!$K$5="No",_xlfn.CONCAT(IFERROR(SUBSTITUTE(ADDRESS(1,MATCH(A424,INDIRECT("'"&amp;E424&amp;"'"&amp;"!A10:Z10"),0),4),1,""),""),30),_xlfn.CONCAT(IFERROR(SUBSTITUTE(ADDRESS(1,MATCH(A424,INDIRECT("'"&amp;E424&amp;"'"&amp;"!A10:Z10"),0),4),1,""),""),64))</f>
        <v>H64</v>
      </c>
      <c r="C424" s="1026" t="str">
        <f ca="1">IF('[2]Pricing Schedule'!$K$5="No",IFERROR(SUBSTITUTE(ADDRESS(1,MATCH(A424,INDIRECT("'"&amp;E424&amp;"'"&amp;"!A10:Z10"),0),4),1,""),""),IFERROR(SUBSTITUTE(ADDRESS(1,MATCH(A424,INDIRECT("'"&amp;E424&amp;"'"&amp;"!A10:Z10"),0),4),1,""),""))</f>
        <v>H</v>
      </c>
      <c r="D424" s="1029" t="s">
        <v>1455</v>
      </c>
      <c r="E424" s="1029" t="s">
        <v>1372</v>
      </c>
      <c r="I424" s="1026" t="str">
        <f t="shared" si="39"/>
        <v/>
      </c>
      <c r="J424" s="1376"/>
      <c r="K424" s="1376" t="str">
        <f t="shared" si="40"/>
        <v/>
      </c>
      <c r="L424" s="1090" t="s">
        <v>1338</v>
      </c>
      <c r="M424" s="1376">
        <v>393</v>
      </c>
      <c r="N424" s="1376"/>
    </row>
    <row r="425" spans="1:14" s="1370" customFormat="1" x14ac:dyDescent="0.25">
      <c r="A425" s="1118" t="s">
        <v>1376</v>
      </c>
      <c r="B425" s="1026" t="str">
        <f ca="1">IF('[2]Pricing Schedule'!$K$5="No",_xlfn.CONCAT(IFERROR(SUBSTITUTE(ADDRESS(1,MATCH(A425,INDIRECT("'"&amp;E425&amp;"'"&amp;"!A10:Z10"),0),4),1,""),""),30),_xlfn.CONCAT(IFERROR(SUBSTITUTE(ADDRESS(1,MATCH(A425,INDIRECT("'"&amp;E425&amp;"'"&amp;"!A10:Z10"),0),4),1,""),""),64))</f>
        <v>F64</v>
      </c>
      <c r="C425" s="1026" t="str">
        <f ca="1">IF('[2]Pricing Schedule'!$K$5="No",IFERROR(SUBSTITUTE(ADDRESS(1,MATCH(A425,INDIRECT("'"&amp;E425&amp;"'"&amp;"!A10:Z10"),0),4),1,""),""),IFERROR(SUBSTITUTE(ADDRESS(1,MATCH(A425,INDIRECT("'"&amp;E425&amp;"'"&amp;"!A10:Z10"),0),4),1,""),""))</f>
        <v>F</v>
      </c>
      <c r="D425" s="1029" t="s">
        <v>1455</v>
      </c>
      <c r="E425" s="1029" t="s">
        <v>1372</v>
      </c>
      <c r="I425" s="1026" t="str">
        <f t="shared" si="39"/>
        <v/>
      </c>
      <c r="J425" s="1376"/>
      <c r="K425" s="1376" t="str">
        <f t="shared" si="40"/>
        <v/>
      </c>
      <c r="L425" s="1090" t="s">
        <v>225</v>
      </c>
      <c r="M425" s="1376">
        <v>394</v>
      </c>
      <c r="N425" s="1376"/>
    </row>
    <row r="426" spans="1:14" s="1370" customFormat="1" x14ac:dyDescent="0.25">
      <c r="A426" s="1119" t="s">
        <v>466</v>
      </c>
      <c r="B426" s="1026" t="str">
        <f ca="1">_xlfn.CONCAT(IFERROR(SUBSTITUTE(ADDRESS(1,MATCH(A426,INDIRECT("'"&amp;E426&amp;"'"&amp;"!A9:Z9"),0),4),1,""),""),22)</f>
        <v>E22</v>
      </c>
      <c r="C426" s="1026" t="str">
        <f ca="1">_xlfn.CONCAT(IFERROR(SUBSTITUTE(ADDRESS(1,MATCH(A426,INDIRECT("'"&amp;E426&amp;"'"&amp;"!A9:Z9"),0),4),1,""),""))</f>
        <v>E</v>
      </c>
      <c r="D426" s="1376" t="s">
        <v>1455</v>
      </c>
      <c r="E426" s="1029" t="s">
        <v>208</v>
      </c>
      <c r="I426" s="1026" t="str">
        <f t="shared" si="39"/>
        <v>Exclude PIM Classes Below</v>
      </c>
      <c r="J426" s="1376" t="str">
        <f t="shared" si="41"/>
        <v>395</v>
      </c>
      <c r="K426" s="1376" t="str">
        <f t="shared" si="40"/>
        <v>PIM Model</v>
      </c>
      <c r="L426" s="1090" t="s">
        <v>466</v>
      </c>
      <c r="M426" s="1376">
        <v>395</v>
      </c>
      <c r="N426" s="1376"/>
    </row>
    <row r="427" spans="1:14" s="1370" customFormat="1" x14ac:dyDescent="0.25">
      <c r="A427" s="1119" t="s">
        <v>1375</v>
      </c>
      <c r="B427" s="1026" t="str">
        <f ca="1">IF('[2]Pricing Schedule'!$K$5="No",_xlfn.CONCAT(IFERROR(SUBSTITUTE(ADDRESS(1,MATCH(A427,INDIRECT("'"&amp;E427&amp;"'"&amp;"!A10:Z10"),0),4),1,""),""),30),_xlfn.CONCAT(IFERROR(SUBSTITUTE(ADDRESS(1,MATCH(A427,INDIRECT("'"&amp;E427&amp;"'"&amp;"!A10:Z10"),0),4),1,""),""),64))</f>
        <v>E64</v>
      </c>
      <c r="C427" s="1026" t="str">
        <f ca="1">IF('[2]Pricing Schedule'!$K$5="No",IFERROR(SUBSTITUTE(ADDRESS(1,MATCH(A427,INDIRECT("'"&amp;E427&amp;"'"&amp;"!A10:Z10"),0),4),1,""),""),IFERROR(SUBSTITUTE(ADDRESS(1,MATCH(A427,INDIRECT("'"&amp;E427&amp;"'"&amp;"!A10:Z10"),0),4),1,""),""))</f>
        <v>E</v>
      </c>
      <c r="D427" s="1029" t="s">
        <v>1455</v>
      </c>
      <c r="E427" s="1029" t="s">
        <v>1372</v>
      </c>
      <c r="I427" s="1026" t="str">
        <f t="shared" si="39"/>
        <v>Special Pricing Code</v>
      </c>
      <c r="J427" s="1376" t="str">
        <f t="shared" si="41"/>
        <v>396</v>
      </c>
      <c r="K427" s="1376" t="str">
        <f t="shared" si="40"/>
        <v>Pricing Schedule</v>
      </c>
      <c r="L427" s="1090" t="s">
        <v>1375</v>
      </c>
      <c r="M427" s="1376">
        <v>396</v>
      </c>
      <c r="N427" s="1376"/>
    </row>
    <row r="428" spans="1:14" s="1370" customFormat="1" x14ac:dyDescent="0.25">
      <c r="A428" s="1119" t="s">
        <v>1377</v>
      </c>
      <c r="B428" s="1026" t="str">
        <f ca="1">IF('[2]Pricing Schedule'!$K$5="No",_xlfn.CONCAT(IFERROR(SUBSTITUTE(ADDRESS(1,MATCH(A428,INDIRECT("'"&amp;E428&amp;"'"&amp;"!A10:Z10"),0),4),1,""),""),30),_xlfn.CONCAT(IFERROR(SUBSTITUTE(ADDRESS(1,MATCH(A428,INDIRECT("'"&amp;E428&amp;"'"&amp;"!A10:Z10"),0),4),1,""),""),64))</f>
        <v>G64</v>
      </c>
      <c r="C428" s="1026" t="str">
        <f ca="1">IF('[2]Pricing Schedule'!$K$5="No",IFERROR(SUBSTITUTE(ADDRESS(1,MATCH(A428,INDIRECT("'"&amp;E428&amp;"'"&amp;"!A10:Z10"),0),4),1,""),""),IFERROR(SUBSTITUTE(ADDRESS(1,MATCH(A428,INDIRECT("'"&amp;E428&amp;"'"&amp;"!A10:Z10"),0),4),1,""),""))</f>
        <v>G</v>
      </c>
      <c r="D428" s="1029" t="s">
        <v>1455</v>
      </c>
      <c r="E428" s="1029" t="s">
        <v>1372</v>
      </c>
      <c r="I428" s="1026" t="str">
        <f t="shared" si="39"/>
        <v>EB Markup Amt</v>
      </c>
      <c r="J428" s="1376" t="str">
        <f t="shared" si="41"/>
        <v>397</v>
      </c>
      <c r="K428" s="1376" t="str">
        <f t="shared" si="40"/>
        <v>Pricing Schedule</v>
      </c>
      <c r="L428" s="1090" t="s">
        <v>1377</v>
      </c>
      <c r="M428" s="1376">
        <v>397</v>
      </c>
      <c r="N428" s="1376"/>
    </row>
    <row r="429" spans="1:14" s="1370" customFormat="1" x14ac:dyDescent="0.25">
      <c r="A429" s="1119" t="s">
        <v>1378</v>
      </c>
      <c r="B429" s="1026" t="str">
        <f ca="1">IF('[2]Pricing Schedule'!$K$5="No",_xlfn.CONCAT(IFERROR(SUBSTITUTE(ADDRESS(1,MATCH(A429,INDIRECT("'"&amp;E429&amp;"'"&amp;"!A10:Z10"),0),4),1,""),""),30),_xlfn.CONCAT(IFERROR(SUBSTITUTE(ADDRESS(1,MATCH(A429,INDIRECT("'"&amp;E429&amp;"'"&amp;"!A10:Z10"),0),4),1,""),""),64))</f>
        <v>I64</v>
      </c>
      <c r="C429" s="1026" t="str">
        <f ca="1">IF('[2]Pricing Schedule'!$K$5="No",IFERROR(SUBSTITUTE(ADDRESS(1,MATCH(A429,INDIRECT("'"&amp;E429&amp;"'"&amp;"!A10:Z10"),0),4),1,""),""),IFERROR(SUBSTITUTE(ADDRESS(1,MATCH(A429,INDIRECT("'"&amp;E429&amp;"'"&amp;"!A10:Z10"),0),4),1,""),""))</f>
        <v>I</v>
      </c>
      <c r="D429" s="1029" t="s">
        <v>1455</v>
      </c>
      <c r="E429" s="1029" t="s">
        <v>1372</v>
      </c>
      <c r="I429" s="1026" t="str">
        <f t="shared" si="39"/>
        <v>Min CS Markup Override Flag</v>
      </c>
      <c r="J429" s="1376" t="str">
        <f t="shared" si="41"/>
        <v>398</v>
      </c>
      <c r="K429" s="1376" t="str">
        <f t="shared" si="40"/>
        <v>Pricing Schedule</v>
      </c>
      <c r="L429" s="1090" t="s">
        <v>1378</v>
      </c>
      <c r="M429" s="1376">
        <v>398</v>
      </c>
      <c r="N429" s="1376"/>
    </row>
    <row r="430" spans="1:14" s="1370" customFormat="1" x14ac:dyDescent="0.25">
      <c r="A430" s="1119" t="s">
        <v>1379</v>
      </c>
      <c r="B430" s="1026" t="str">
        <f ca="1">IF('[2]Pricing Schedule'!$K$5="No",_xlfn.CONCAT(IFERROR(SUBSTITUTE(ADDRESS(1,MATCH(A430,INDIRECT("'"&amp;E430&amp;"'"&amp;"!A10:Z10"),0),4),1,""),""),30),_xlfn.CONCAT(IFERROR(SUBSTITUTE(ADDRESS(1,MATCH(A430,INDIRECT("'"&amp;E430&amp;"'"&amp;"!A10:Z10"),0),4),1,""),""),64))</f>
        <v>J64</v>
      </c>
      <c r="C430" s="1026" t="str">
        <f ca="1">IF('[2]Pricing Schedule'!$K$5="No",IFERROR(SUBSTITUTE(ADDRESS(1,MATCH(A430,INDIRECT("'"&amp;E430&amp;"'"&amp;"!A10:Z10"),0),4),1,""),""),IFERROR(SUBSTITUTE(ADDRESS(1,MATCH(A430,INDIRECT("'"&amp;E430&amp;"'"&amp;"!A10:Z10"),0),4),1,""),""))</f>
        <v>J</v>
      </c>
      <c r="D430" s="1029" t="s">
        <v>1455</v>
      </c>
      <c r="E430" s="1029" t="s">
        <v>1372</v>
      </c>
      <c r="I430" s="1026" t="str">
        <f t="shared" si="39"/>
        <v>Min CS Markup Amt</v>
      </c>
      <c r="J430" s="1376" t="str">
        <f t="shared" si="41"/>
        <v>399</v>
      </c>
      <c r="K430" s="1376" t="str">
        <f t="shared" si="40"/>
        <v>Pricing Schedule</v>
      </c>
      <c r="L430" s="1090" t="s">
        <v>1379</v>
      </c>
      <c r="M430" s="1376">
        <v>399</v>
      </c>
      <c r="N430" s="1376"/>
    </row>
    <row r="431" spans="1:14" s="1370" customFormat="1" x14ac:dyDescent="0.25">
      <c r="A431" s="1119" t="s">
        <v>1380</v>
      </c>
      <c r="B431" s="1026" t="str">
        <f ca="1">IF('[2]Pricing Schedule'!$K$5="No",_xlfn.CONCAT(IFERROR(SUBSTITUTE(ADDRESS(1,MATCH(A431,INDIRECT("'"&amp;E431&amp;"'"&amp;"!A10:Z10"),0),4),1,""),""),30),_xlfn.CONCAT(IFERROR(SUBSTITUTE(ADDRESS(1,MATCH(A431,INDIRECT("'"&amp;E431&amp;"'"&amp;"!A10:Z10"),0),4),1,""),""),64))</f>
        <v>K64</v>
      </c>
      <c r="C431" s="1026" t="str">
        <f ca="1">IF('[2]Pricing Schedule'!$K$5="No",IFERROR(SUBSTITUTE(ADDRESS(1,MATCH(A431,INDIRECT("'"&amp;E431&amp;"'"&amp;"!A10:Z10"),0),4),1,""),""),IFERROR(SUBSTITUTE(ADDRESS(1,MATCH(A431,INDIRECT("'"&amp;E431&amp;"'"&amp;"!A10:Z10"),0),4),1,""),""))</f>
        <v>K</v>
      </c>
      <c r="D431" s="1029" t="s">
        <v>1455</v>
      </c>
      <c r="E431" s="1029" t="s">
        <v>1372</v>
      </c>
      <c r="I431" s="1026" t="str">
        <f t="shared" si="39"/>
        <v>Split Case Fee Override Flag</v>
      </c>
      <c r="J431" s="1376" t="str">
        <f t="shared" si="41"/>
        <v>400</v>
      </c>
      <c r="K431" s="1376" t="str">
        <f t="shared" si="40"/>
        <v>Pricing Schedule</v>
      </c>
      <c r="L431" s="1090" t="s">
        <v>1380</v>
      </c>
      <c r="M431" s="1376">
        <v>400</v>
      </c>
      <c r="N431" s="1376"/>
    </row>
    <row r="432" spans="1:14" s="1370" customFormat="1" x14ac:dyDescent="0.25">
      <c r="A432" s="1119" t="s">
        <v>1381</v>
      </c>
      <c r="B432" s="1026" t="str">
        <f ca="1">IF('[2]Pricing Schedule'!$K$5="No",_xlfn.CONCAT(IFERROR(SUBSTITUTE(ADDRESS(1,MATCH(A432,INDIRECT("'"&amp;E432&amp;"'"&amp;"!A10:Z10"),0),4),1,""),""),30),_xlfn.CONCAT(IFERROR(SUBSTITUTE(ADDRESS(1,MATCH(A432,INDIRECT("'"&amp;E432&amp;"'"&amp;"!A10:Z10"),0),4),1,""),""),64))</f>
        <v>L64</v>
      </c>
      <c r="C432" s="1026" t="str">
        <f ca="1">IF('[2]Pricing Schedule'!$K$5="No",IFERROR(SUBSTITUTE(ADDRESS(1,MATCH(A432,INDIRECT("'"&amp;E432&amp;"'"&amp;"!A10:Z10"),0),4),1,""),""),IFERROR(SUBSTITUTE(ADDRESS(1,MATCH(A432,INDIRECT("'"&amp;E432&amp;"'"&amp;"!A10:Z10"),0),4),1,""),""))</f>
        <v>L</v>
      </c>
      <c r="D432" s="1029" t="s">
        <v>1455</v>
      </c>
      <c r="E432" s="1029" t="s">
        <v>1372</v>
      </c>
      <c r="I432" s="1026" t="str">
        <f t="shared" si="39"/>
        <v>Split Case Fee</v>
      </c>
      <c r="J432" s="1376" t="str">
        <f t="shared" si="41"/>
        <v>401</v>
      </c>
      <c r="K432" s="1376" t="str">
        <f t="shared" si="40"/>
        <v>Pricing Schedule</v>
      </c>
      <c r="L432" s="1090" t="s">
        <v>1381</v>
      </c>
      <c r="M432" s="1376">
        <v>401</v>
      </c>
      <c r="N432" s="1376"/>
    </row>
    <row r="433" spans="1:14" s="1370" customFormat="1" x14ac:dyDescent="0.25">
      <c r="A433" s="1119" t="s">
        <v>1320</v>
      </c>
      <c r="B433" s="1026" t="str">
        <f ca="1">IF('[2]Pricing Schedule'!$K$5="No",_xlfn.CONCAT(IFERROR(SUBSTITUTE(ADDRESS(1,MATCH(A433,INDIRECT("'"&amp;E433&amp;"'"&amp;"!A10:Z10"),0),4),1,""),""),30),_xlfn.CONCAT(IFERROR(SUBSTITUTE(ADDRESS(1,MATCH(A433,INDIRECT("'"&amp;E433&amp;"'"&amp;"!A10:Z10"),0),4),1,""),""),64))</f>
        <v>M64</v>
      </c>
      <c r="C433" s="1026" t="str">
        <f ca="1">IF('[2]Pricing Schedule'!$K$5="No",IFERROR(SUBSTITUTE(ADDRESS(1,MATCH(A433,INDIRECT("'"&amp;E433&amp;"'"&amp;"!A10:Z10"),0),4),1,""),""),IFERROR(SUBSTITUTE(ADDRESS(1,MATCH(A433,INDIRECT("'"&amp;E433&amp;"'"&amp;"!A10:Z10"),0),4),1,""),""))</f>
        <v>M</v>
      </c>
      <c r="D433" s="1029" t="s">
        <v>1455</v>
      </c>
      <c r="E433" s="1029" t="s">
        <v>1372</v>
      </c>
      <c r="I433" s="1026" t="str">
        <f t="shared" si="39"/>
        <v>Split Case Per</v>
      </c>
      <c r="J433" s="1376" t="str">
        <f t="shared" si="41"/>
        <v>402</v>
      </c>
      <c r="K433" s="1376" t="str">
        <f t="shared" si="40"/>
        <v>Pricing Schedule</v>
      </c>
      <c r="L433" s="1090" t="s">
        <v>1320</v>
      </c>
      <c r="M433" s="1376">
        <v>402</v>
      </c>
      <c r="N433" s="1376"/>
    </row>
    <row r="434" spans="1:14" s="1370" customFormat="1" x14ac:dyDescent="0.25">
      <c r="A434" s="1120" t="s">
        <v>1382</v>
      </c>
      <c r="B434" s="1026" t="str">
        <f ca="1">IF('[2]Pricing Schedule'!$K$5="No",_xlfn.CONCAT(IFERROR(SUBSTITUTE(ADDRESS(1,MATCH(A434,INDIRECT("'"&amp;E434&amp;"'"&amp;"!A10:Z10"),0),4),1,""),""),23),_xlfn.CONCAT(IFERROR(SUBSTITUTE(ADDRESS(1,MATCH(A434,INDIRECT("'"&amp;E434&amp;"'"&amp;"!A10:Z10"),0),4),1,""),""),57))</f>
        <v>N57</v>
      </c>
      <c r="C434" s="1026" t="str">
        <f ca="1">IF('[2]Pricing Schedule'!$K$5="No",IFERROR(SUBSTITUTE(ADDRESS(1,MATCH(A434,INDIRECT("'"&amp;E434&amp;"'"&amp;"!A10:Z10"),0),4),1,""),""),IFERROR(SUBSTITUTE(ADDRESS(1,MATCH(A434,INDIRECT("'"&amp;E434&amp;"'"&amp;"!A10:Z10"),0),4),1,""),""))</f>
        <v>N</v>
      </c>
      <c r="D434" s="1029" t="s">
        <v>1455</v>
      </c>
      <c r="E434" s="1029" t="s">
        <v>1372</v>
      </c>
      <c r="I434" s="1026" t="str">
        <f t="shared" si="39"/>
        <v/>
      </c>
      <c r="J434" s="1376"/>
      <c r="K434" s="1376" t="str">
        <f t="shared" si="40"/>
        <v/>
      </c>
      <c r="L434" s="1090" t="s">
        <v>1382</v>
      </c>
      <c r="M434" s="1376">
        <v>403</v>
      </c>
      <c r="N434" s="1376"/>
    </row>
    <row r="435" spans="1:14" s="1370" customFormat="1" x14ac:dyDescent="0.25">
      <c r="A435" s="1121" t="s">
        <v>1373</v>
      </c>
      <c r="B435" s="1026" t="str">
        <f ca="1">IF('[2]Pricing Schedule'!$K$5="No",_xlfn.CONCAT(IFERROR(SUBSTITUTE(ADDRESS(1,MATCH(A435,INDIRECT("'"&amp;E435&amp;"'"&amp;"!A10:Z10"),0),4),1,""),""),23),_xlfn.CONCAT(IFERROR(SUBSTITUTE(ADDRESS(1,MATCH(A435,INDIRECT("'"&amp;E435&amp;"'"&amp;"!A10:Z10"),0),4),1,""),""),57))</f>
        <v>C57</v>
      </c>
      <c r="C435" s="1026" t="str">
        <f ca="1">IF('[2]Pricing Schedule'!$K$5="No",IFERROR(SUBSTITUTE(ADDRESS(1,MATCH(A435,INDIRECT("'"&amp;E435&amp;"'"&amp;"!A10:Z10"),0),4),1,""),""),IFERROR(SUBSTITUTE(ADDRESS(1,MATCH(A435,INDIRECT("'"&amp;E435&amp;"'"&amp;"!A10:Z10"),0),4),1,""),""))</f>
        <v>C</v>
      </c>
      <c r="D435" s="1029" t="s">
        <v>1455</v>
      </c>
      <c r="E435" s="1029" t="s">
        <v>1372</v>
      </c>
      <c r="I435" s="1026" t="str">
        <f t="shared" si="39"/>
        <v/>
      </c>
      <c r="J435" s="1376"/>
      <c r="K435" s="1376" t="str">
        <f t="shared" si="40"/>
        <v/>
      </c>
      <c r="L435" s="1090" t="s">
        <v>254</v>
      </c>
      <c r="M435" s="1376">
        <v>404</v>
      </c>
      <c r="N435" s="1376"/>
    </row>
    <row r="436" spans="1:14" s="1370" customFormat="1" x14ac:dyDescent="0.25">
      <c r="A436" s="1121" t="s">
        <v>1338</v>
      </c>
      <c r="B436" s="1026" t="str">
        <f ca="1">IF('[2]Pricing Schedule'!$K$5="No",_xlfn.CONCAT(IFERROR(SUBSTITUTE(ADDRESS(1,MATCH(A436,INDIRECT("'"&amp;E436&amp;"'"&amp;"!A10:Z10"),0),4),1,""),""),23),_xlfn.CONCAT(IFERROR(SUBSTITUTE(ADDRESS(1,MATCH(A436,INDIRECT("'"&amp;E436&amp;"'"&amp;"!A10:Z10"),0),4),1,""),""),57))</f>
        <v>H57</v>
      </c>
      <c r="C436" s="1026" t="str">
        <f ca="1">IF('[2]Pricing Schedule'!$K$5="No",IFERROR(SUBSTITUTE(ADDRESS(1,MATCH(A436,INDIRECT("'"&amp;E436&amp;"'"&amp;"!A10:Z10"),0),4),1,""),""),IFERROR(SUBSTITUTE(ADDRESS(1,MATCH(A436,INDIRECT("'"&amp;E436&amp;"'"&amp;"!A10:Z10"),0),4),1,""),""))</f>
        <v>H</v>
      </c>
      <c r="D436" s="1029" t="s">
        <v>1455</v>
      </c>
      <c r="E436" s="1029" t="s">
        <v>1372</v>
      </c>
      <c r="I436" s="1026" t="str">
        <f t="shared" si="39"/>
        <v/>
      </c>
      <c r="J436" s="1376"/>
      <c r="K436" s="1376" t="str">
        <f t="shared" si="40"/>
        <v/>
      </c>
      <c r="L436" s="1090" t="s">
        <v>1338</v>
      </c>
      <c r="M436" s="1376">
        <v>405</v>
      </c>
      <c r="N436" s="1376"/>
    </row>
    <row r="437" spans="1:14" s="1370" customFormat="1" x14ac:dyDescent="0.25">
      <c r="A437" s="1121" t="s">
        <v>1376</v>
      </c>
      <c r="B437" s="1026" t="str">
        <f ca="1">IF('[2]Pricing Schedule'!$K$5="No",_xlfn.CONCAT(IFERROR(SUBSTITUTE(ADDRESS(1,MATCH(A437,INDIRECT("'"&amp;E437&amp;"'"&amp;"!A10:Z10"),0),4),1,""),""),23),_xlfn.CONCAT(IFERROR(SUBSTITUTE(ADDRESS(1,MATCH(A437,INDIRECT("'"&amp;E437&amp;"'"&amp;"!A10:Z10"),0),4),1,""),""),57))</f>
        <v>F57</v>
      </c>
      <c r="C437" s="1026" t="str">
        <f ca="1">IF('[2]Pricing Schedule'!$K$5="No",IFERROR(SUBSTITUTE(ADDRESS(1,MATCH(A437,INDIRECT("'"&amp;E437&amp;"'"&amp;"!A10:Z10"),0),4),1,""),""),IFERROR(SUBSTITUTE(ADDRESS(1,MATCH(A437,INDIRECT("'"&amp;E437&amp;"'"&amp;"!A10:Z10"),0),4),1,""),""))</f>
        <v>F</v>
      </c>
      <c r="D437" s="1029" t="s">
        <v>1455</v>
      </c>
      <c r="E437" s="1029" t="s">
        <v>1372</v>
      </c>
      <c r="I437" s="1026" t="str">
        <f t="shared" si="39"/>
        <v/>
      </c>
      <c r="J437" s="1376"/>
      <c r="K437" s="1376" t="str">
        <f t="shared" si="40"/>
        <v/>
      </c>
      <c r="L437" s="1090" t="s">
        <v>225</v>
      </c>
      <c r="M437" s="1376">
        <v>406</v>
      </c>
      <c r="N437" s="1376"/>
    </row>
    <row r="438" spans="1:14" s="1370" customFormat="1" x14ac:dyDescent="0.25">
      <c r="A438" s="1122" t="s">
        <v>466</v>
      </c>
      <c r="B438" s="1026" t="str">
        <f ca="1">_xlfn.CONCAT(IFERROR(SUBSTITUTE(ADDRESS(1,MATCH(A438,INDIRECT("'"&amp;E438&amp;"'"&amp;"!A9:Z9"),0),4),1,""),""),23)</f>
        <v>E23</v>
      </c>
      <c r="C438" s="1026" t="str">
        <f ca="1">_xlfn.CONCAT(IFERROR(SUBSTITUTE(ADDRESS(1,MATCH(A438,INDIRECT("'"&amp;E438&amp;"'"&amp;"!A9:Z9"),0),4),1,""),""))</f>
        <v>E</v>
      </c>
      <c r="D438" s="1376" t="s">
        <v>1455</v>
      </c>
      <c r="E438" s="1029" t="s">
        <v>208</v>
      </c>
      <c r="I438" s="1026" t="str">
        <f t="shared" si="39"/>
        <v>Exclude PIM Classes Below</v>
      </c>
      <c r="J438" s="1376" t="str">
        <f t="shared" si="41"/>
        <v>407</v>
      </c>
      <c r="K438" s="1376" t="str">
        <f t="shared" si="40"/>
        <v>PIM Model</v>
      </c>
      <c r="L438" s="1090" t="s">
        <v>466</v>
      </c>
      <c r="M438" s="1376">
        <v>407</v>
      </c>
      <c r="N438" s="1376"/>
    </row>
    <row r="439" spans="1:14" s="1370" customFormat="1" x14ac:dyDescent="0.25">
      <c r="A439" s="1122" t="s">
        <v>1375</v>
      </c>
      <c r="B439" s="1026" t="str">
        <f ca="1">IF('[2]Pricing Schedule'!$K$5="No",_xlfn.CONCAT(IFERROR(SUBSTITUTE(ADDRESS(1,MATCH(A439,INDIRECT("'"&amp;E439&amp;"'"&amp;"!A10:Z10"),0),4),1,""),""),23),_xlfn.CONCAT(IFERROR(SUBSTITUTE(ADDRESS(1,MATCH(A439,INDIRECT("'"&amp;E439&amp;"'"&amp;"!A10:Z10"),0),4),1,""),""),57))</f>
        <v>E57</v>
      </c>
      <c r="C439" s="1026" t="str">
        <f ca="1">IF('[2]Pricing Schedule'!$K$5="No",IFERROR(SUBSTITUTE(ADDRESS(1,MATCH(A439,INDIRECT("'"&amp;E439&amp;"'"&amp;"!A10:Z10"),0),4),1,""),""),IFERROR(SUBSTITUTE(ADDRESS(1,MATCH(A439,INDIRECT("'"&amp;E439&amp;"'"&amp;"!A10:Z10"),0),4),1,""),""))</f>
        <v>E</v>
      </c>
      <c r="D439" s="1029" t="s">
        <v>1455</v>
      </c>
      <c r="E439" s="1029" t="s">
        <v>1372</v>
      </c>
      <c r="I439" s="1026" t="str">
        <f t="shared" si="39"/>
        <v>Special Pricing Code</v>
      </c>
      <c r="J439" s="1376" t="str">
        <f t="shared" si="41"/>
        <v>408</v>
      </c>
      <c r="K439" s="1376" t="str">
        <f t="shared" si="40"/>
        <v>Pricing Schedule</v>
      </c>
      <c r="L439" s="1090" t="s">
        <v>1375</v>
      </c>
      <c r="M439" s="1376">
        <v>408</v>
      </c>
      <c r="N439" s="1376"/>
    </row>
    <row r="440" spans="1:14" s="1370" customFormat="1" x14ac:dyDescent="0.25">
      <c r="A440" s="1122" t="s">
        <v>1377</v>
      </c>
      <c r="B440" s="1026" t="str">
        <f ca="1">IF('[2]Pricing Schedule'!$K$5="No",_xlfn.CONCAT(IFERROR(SUBSTITUTE(ADDRESS(1,MATCH(A440,INDIRECT("'"&amp;E440&amp;"'"&amp;"!A10:Z10"),0),4),1,""),""),23),_xlfn.CONCAT(IFERROR(SUBSTITUTE(ADDRESS(1,MATCH(A440,INDIRECT("'"&amp;E440&amp;"'"&amp;"!A10:Z10"),0),4),1,""),""),57))</f>
        <v>G57</v>
      </c>
      <c r="C440" s="1026" t="str">
        <f ca="1">IF('[2]Pricing Schedule'!$K$5="No",IFERROR(SUBSTITUTE(ADDRESS(1,MATCH(A440,INDIRECT("'"&amp;E440&amp;"'"&amp;"!A10:Z10"),0),4),1,""),""),IFERROR(SUBSTITUTE(ADDRESS(1,MATCH(A440,INDIRECT("'"&amp;E440&amp;"'"&amp;"!A10:Z10"),0),4),1,""),""))</f>
        <v>G</v>
      </c>
      <c r="D440" s="1029" t="s">
        <v>1455</v>
      </c>
      <c r="E440" s="1029" t="s">
        <v>1372</v>
      </c>
      <c r="I440" s="1026" t="str">
        <f t="shared" si="39"/>
        <v>EB Markup Amt</v>
      </c>
      <c r="J440" s="1376" t="str">
        <f t="shared" si="41"/>
        <v>409</v>
      </c>
      <c r="K440" s="1376" t="str">
        <f t="shared" si="40"/>
        <v>Pricing Schedule</v>
      </c>
      <c r="L440" s="1090" t="s">
        <v>1377</v>
      </c>
      <c r="M440" s="1376">
        <v>409</v>
      </c>
      <c r="N440" s="1376"/>
    </row>
    <row r="441" spans="1:14" s="1370" customFormat="1" x14ac:dyDescent="0.25">
      <c r="A441" s="1122" t="s">
        <v>1378</v>
      </c>
      <c r="B441" s="1026" t="str">
        <f ca="1">IF('[2]Pricing Schedule'!$K$5="No",_xlfn.CONCAT(IFERROR(SUBSTITUTE(ADDRESS(1,MATCH(A441,INDIRECT("'"&amp;E441&amp;"'"&amp;"!A10:Z10"),0),4),1,""),""),23),_xlfn.CONCAT(IFERROR(SUBSTITUTE(ADDRESS(1,MATCH(A441,INDIRECT("'"&amp;E441&amp;"'"&amp;"!A10:Z10"),0),4),1,""),""),57))</f>
        <v>I57</v>
      </c>
      <c r="C441" s="1026" t="str">
        <f ca="1">IF('[2]Pricing Schedule'!$K$5="No",IFERROR(SUBSTITUTE(ADDRESS(1,MATCH(A441,INDIRECT("'"&amp;E441&amp;"'"&amp;"!A10:Z10"),0),4),1,""),""),IFERROR(SUBSTITUTE(ADDRESS(1,MATCH(A441,INDIRECT("'"&amp;E441&amp;"'"&amp;"!A10:Z10"),0),4),1,""),""))</f>
        <v>I</v>
      </c>
      <c r="D441" s="1029" t="s">
        <v>1455</v>
      </c>
      <c r="E441" s="1029" t="s">
        <v>1372</v>
      </c>
      <c r="I441" s="1026" t="str">
        <f t="shared" si="39"/>
        <v>Min CS Markup Override Flag</v>
      </c>
      <c r="J441" s="1376" t="str">
        <f t="shared" si="41"/>
        <v>410</v>
      </c>
      <c r="K441" s="1376" t="str">
        <f t="shared" si="40"/>
        <v>Pricing Schedule</v>
      </c>
      <c r="L441" s="1090" t="s">
        <v>1378</v>
      </c>
      <c r="M441" s="1376">
        <v>410</v>
      </c>
      <c r="N441" s="1376"/>
    </row>
    <row r="442" spans="1:14" s="1370" customFormat="1" x14ac:dyDescent="0.25">
      <c r="A442" s="1122" t="s">
        <v>1379</v>
      </c>
      <c r="B442" s="1026" t="str">
        <f ca="1">IF('[2]Pricing Schedule'!$K$5="No",_xlfn.CONCAT(IFERROR(SUBSTITUTE(ADDRESS(1,MATCH(A442,INDIRECT("'"&amp;E442&amp;"'"&amp;"!A10:Z10"),0),4),1,""),""),23),_xlfn.CONCAT(IFERROR(SUBSTITUTE(ADDRESS(1,MATCH(A442,INDIRECT("'"&amp;E442&amp;"'"&amp;"!A10:Z10"),0),4),1,""),""),57))</f>
        <v>J57</v>
      </c>
      <c r="C442" s="1026" t="str">
        <f ca="1">IF('[2]Pricing Schedule'!$K$5="No",IFERROR(SUBSTITUTE(ADDRESS(1,MATCH(A442,INDIRECT("'"&amp;E442&amp;"'"&amp;"!A10:Z10"),0),4),1,""),""),IFERROR(SUBSTITUTE(ADDRESS(1,MATCH(A442,INDIRECT("'"&amp;E442&amp;"'"&amp;"!A10:Z10"),0),4),1,""),""))</f>
        <v>J</v>
      </c>
      <c r="D442" s="1029" t="s">
        <v>1455</v>
      </c>
      <c r="E442" s="1029" t="s">
        <v>1372</v>
      </c>
      <c r="I442" s="1026" t="str">
        <f t="shared" si="39"/>
        <v>Min CS Markup Amt</v>
      </c>
      <c r="J442" s="1376" t="str">
        <f t="shared" si="41"/>
        <v>411</v>
      </c>
      <c r="K442" s="1376" t="str">
        <f t="shared" si="40"/>
        <v>Pricing Schedule</v>
      </c>
      <c r="L442" s="1090" t="s">
        <v>1379</v>
      </c>
      <c r="M442" s="1376">
        <v>411</v>
      </c>
      <c r="N442" s="1376"/>
    </row>
    <row r="443" spans="1:14" s="1370" customFormat="1" x14ac:dyDescent="0.25">
      <c r="A443" s="1122" t="s">
        <v>1380</v>
      </c>
      <c r="B443" s="1026" t="str">
        <f ca="1">IF('[2]Pricing Schedule'!$K$5="No",_xlfn.CONCAT(IFERROR(SUBSTITUTE(ADDRESS(1,MATCH(A443,INDIRECT("'"&amp;E443&amp;"'"&amp;"!A10:Z10"),0),4),1,""),""),23),_xlfn.CONCAT(IFERROR(SUBSTITUTE(ADDRESS(1,MATCH(A443,INDIRECT("'"&amp;E443&amp;"'"&amp;"!A10:Z10"),0),4),1,""),""),57))</f>
        <v>K57</v>
      </c>
      <c r="C443" s="1026" t="str">
        <f ca="1">IF('[2]Pricing Schedule'!$K$5="No",IFERROR(SUBSTITUTE(ADDRESS(1,MATCH(A443,INDIRECT("'"&amp;E443&amp;"'"&amp;"!A10:Z10"),0),4),1,""),""),IFERROR(SUBSTITUTE(ADDRESS(1,MATCH(A443,INDIRECT("'"&amp;E443&amp;"'"&amp;"!A10:Z10"),0),4),1,""),""))</f>
        <v>K</v>
      </c>
      <c r="D443" s="1029" t="s">
        <v>1455</v>
      </c>
      <c r="E443" s="1029" t="s">
        <v>1372</v>
      </c>
      <c r="I443" s="1026" t="str">
        <f t="shared" si="39"/>
        <v>Split Case Fee Override Flag</v>
      </c>
      <c r="J443" s="1376" t="str">
        <f t="shared" si="41"/>
        <v>412</v>
      </c>
      <c r="K443" s="1376" t="str">
        <f t="shared" si="40"/>
        <v>Pricing Schedule</v>
      </c>
      <c r="L443" s="1090" t="s">
        <v>1380</v>
      </c>
      <c r="M443" s="1376">
        <v>412</v>
      </c>
      <c r="N443" s="1376"/>
    </row>
    <row r="444" spans="1:14" s="1370" customFormat="1" x14ac:dyDescent="0.25">
      <c r="A444" s="1122" t="s">
        <v>1381</v>
      </c>
      <c r="B444" s="1026" t="str">
        <f ca="1">IF('[2]Pricing Schedule'!$K$5="No",_xlfn.CONCAT(IFERROR(SUBSTITUTE(ADDRESS(1,MATCH(A444,INDIRECT("'"&amp;E444&amp;"'"&amp;"!A10:Z10"),0),4),1,""),""),23),_xlfn.CONCAT(IFERROR(SUBSTITUTE(ADDRESS(1,MATCH(A444,INDIRECT("'"&amp;E444&amp;"'"&amp;"!A10:Z10"),0),4),1,""),""),57))</f>
        <v>L57</v>
      </c>
      <c r="C444" s="1026" t="str">
        <f ca="1">IF('[2]Pricing Schedule'!$K$5="No",IFERROR(SUBSTITUTE(ADDRESS(1,MATCH(A444,INDIRECT("'"&amp;E444&amp;"'"&amp;"!A10:Z10"),0),4),1,""),""),IFERROR(SUBSTITUTE(ADDRESS(1,MATCH(A444,INDIRECT("'"&amp;E444&amp;"'"&amp;"!A10:Z10"),0),4),1,""),""))</f>
        <v>L</v>
      </c>
      <c r="D444" s="1029" t="s">
        <v>1455</v>
      </c>
      <c r="E444" s="1029" t="s">
        <v>1372</v>
      </c>
      <c r="I444" s="1026" t="str">
        <f t="shared" si="39"/>
        <v>Split Case Fee</v>
      </c>
      <c r="J444" s="1376" t="str">
        <f t="shared" si="41"/>
        <v>413</v>
      </c>
      <c r="K444" s="1376" t="str">
        <f t="shared" si="40"/>
        <v>Pricing Schedule</v>
      </c>
      <c r="L444" s="1090" t="s">
        <v>1381</v>
      </c>
      <c r="M444" s="1376">
        <v>413</v>
      </c>
      <c r="N444" s="1376"/>
    </row>
    <row r="445" spans="1:14" s="1370" customFormat="1" x14ac:dyDescent="0.25">
      <c r="A445" s="1122" t="s">
        <v>1320</v>
      </c>
      <c r="B445" s="1026" t="str">
        <f ca="1">IF('[2]Pricing Schedule'!$K$5="No",_xlfn.CONCAT(IFERROR(SUBSTITUTE(ADDRESS(1,MATCH(A445,INDIRECT("'"&amp;E445&amp;"'"&amp;"!A10:Z10"),0),4),1,""),""),23),_xlfn.CONCAT(IFERROR(SUBSTITUTE(ADDRESS(1,MATCH(A445,INDIRECT("'"&amp;E445&amp;"'"&amp;"!A10:Z10"),0),4),1,""),""),57))</f>
        <v>M57</v>
      </c>
      <c r="C445" s="1026" t="str">
        <f ca="1">IF('[2]Pricing Schedule'!$K$5="No",IFERROR(SUBSTITUTE(ADDRESS(1,MATCH(A445,INDIRECT("'"&amp;E445&amp;"'"&amp;"!A10:Z10"),0),4),1,""),""),IFERROR(SUBSTITUTE(ADDRESS(1,MATCH(A445,INDIRECT("'"&amp;E445&amp;"'"&amp;"!A10:Z10"),0),4),1,""),""))</f>
        <v>M</v>
      </c>
      <c r="D445" s="1029" t="s">
        <v>1455</v>
      </c>
      <c r="E445" s="1029" t="s">
        <v>1372</v>
      </c>
      <c r="I445" s="1026" t="str">
        <f t="shared" si="39"/>
        <v>Split Case Per</v>
      </c>
      <c r="J445" s="1376" t="str">
        <f t="shared" si="41"/>
        <v>414</v>
      </c>
      <c r="K445" s="1376" t="str">
        <f t="shared" si="40"/>
        <v>Pricing Schedule</v>
      </c>
      <c r="L445" s="1090" t="s">
        <v>1320</v>
      </c>
      <c r="M445" s="1376">
        <v>414</v>
      </c>
      <c r="N445" s="1376"/>
    </row>
    <row r="446" spans="1:14" s="1370" customFormat="1" x14ac:dyDescent="0.25">
      <c r="A446" s="1117" t="s">
        <v>1382</v>
      </c>
      <c r="B446" s="1026" t="str">
        <f ca="1">IF('[2]Pricing Schedule'!$K$5="No",_xlfn.CONCAT(IFERROR(SUBSTITUTE(ADDRESS(1,MATCH(A446,INDIRECT("'"&amp;E446&amp;"'"&amp;"!A10:Z10"),0),4),1,""),""),24),_xlfn.CONCAT(IFERROR(SUBSTITUTE(ADDRESS(1,MATCH(A446,INDIRECT("'"&amp;E446&amp;"'"&amp;"!A10:Z10"),0),4),1,""),""),58))</f>
        <v>N58</v>
      </c>
      <c r="C446" s="1026" t="str">
        <f ca="1">IF('[2]Pricing Schedule'!$K$5="No",IFERROR(SUBSTITUTE(ADDRESS(1,MATCH(A446,INDIRECT("'"&amp;E446&amp;"'"&amp;"!A10:Z10"),0),4),1,""),""),IFERROR(SUBSTITUTE(ADDRESS(1,MATCH(A446,INDIRECT("'"&amp;E446&amp;"'"&amp;"!A10:Z10"),0),4),1,""),""))</f>
        <v>N</v>
      </c>
      <c r="D446" s="1029" t="s">
        <v>1455</v>
      </c>
      <c r="E446" s="1029" t="s">
        <v>1372</v>
      </c>
      <c r="I446" s="1026" t="str">
        <f t="shared" si="39"/>
        <v/>
      </c>
      <c r="J446" s="1376"/>
      <c r="K446" s="1376" t="str">
        <f t="shared" si="40"/>
        <v/>
      </c>
      <c r="L446" s="1090" t="s">
        <v>1382</v>
      </c>
      <c r="M446" s="1376">
        <v>415</v>
      </c>
      <c r="N446" s="1376"/>
    </row>
    <row r="447" spans="1:14" s="1370" customFormat="1" x14ac:dyDescent="0.25">
      <c r="A447" s="1118" t="s">
        <v>1373</v>
      </c>
      <c r="B447" s="1026" t="str">
        <f ca="1">IF('[2]Pricing Schedule'!$K$5="No",_xlfn.CONCAT(IFERROR(SUBSTITUTE(ADDRESS(1,MATCH(A447,INDIRECT("'"&amp;E447&amp;"'"&amp;"!A10:Z10"),0),4),1,""),""),24),_xlfn.CONCAT(IFERROR(SUBSTITUTE(ADDRESS(1,MATCH(A447,INDIRECT("'"&amp;E447&amp;"'"&amp;"!A10:Z10"),0),4),1,""),""),58))</f>
        <v>C58</v>
      </c>
      <c r="C447" s="1026" t="str">
        <f ca="1">IF('[2]Pricing Schedule'!$K$5="No",IFERROR(SUBSTITUTE(ADDRESS(1,MATCH(A447,INDIRECT("'"&amp;E447&amp;"'"&amp;"!A10:Z10"),0),4),1,""),""),IFERROR(SUBSTITUTE(ADDRESS(1,MATCH(A447,INDIRECT("'"&amp;E447&amp;"'"&amp;"!A10:Z10"),0),4),1,""),""))</f>
        <v>C</v>
      </c>
      <c r="D447" s="1029" t="s">
        <v>1455</v>
      </c>
      <c r="E447" s="1029" t="s">
        <v>1372</v>
      </c>
      <c r="I447" s="1026" t="str">
        <f t="shared" si="39"/>
        <v/>
      </c>
      <c r="J447" s="1376"/>
      <c r="K447" s="1376" t="str">
        <f t="shared" si="40"/>
        <v/>
      </c>
      <c r="L447" s="1090" t="s">
        <v>254</v>
      </c>
      <c r="M447" s="1376">
        <v>426</v>
      </c>
      <c r="N447" s="1376"/>
    </row>
    <row r="448" spans="1:14" s="1370" customFormat="1" x14ac:dyDescent="0.25">
      <c r="A448" s="1118" t="s">
        <v>1338</v>
      </c>
      <c r="B448" s="1026" t="str">
        <f ca="1">IF('[2]Pricing Schedule'!$K$5="No",_xlfn.CONCAT(IFERROR(SUBSTITUTE(ADDRESS(1,MATCH(A448,INDIRECT("'"&amp;E448&amp;"'"&amp;"!A10:Z10"),0),4),1,""),""),24),_xlfn.CONCAT(IFERROR(SUBSTITUTE(ADDRESS(1,MATCH(A448,INDIRECT("'"&amp;E448&amp;"'"&amp;"!A10:Z10"),0),4),1,""),""),58))</f>
        <v>H58</v>
      </c>
      <c r="C448" s="1026" t="str">
        <f ca="1">IF('[2]Pricing Schedule'!$K$5="No",IFERROR(SUBSTITUTE(ADDRESS(1,MATCH(A448,INDIRECT("'"&amp;E448&amp;"'"&amp;"!A10:Z10"),0),4),1,""),""),IFERROR(SUBSTITUTE(ADDRESS(1,MATCH(A448,INDIRECT("'"&amp;E448&amp;"'"&amp;"!A10:Z10"),0),4),1,""),""))</f>
        <v>H</v>
      </c>
      <c r="D448" s="1029" t="s">
        <v>1455</v>
      </c>
      <c r="E448" s="1029" t="s">
        <v>1372</v>
      </c>
      <c r="I448" s="1026" t="str">
        <f t="shared" si="39"/>
        <v/>
      </c>
      <c r="J448" s="1376"/>
      <c r="K448" s="1376" t="str">
        <f t="shared" si="40"/>
        <v/>
      </c>
      <c r="L448" s="1090" t="s">
        <v>1338</v>
      </c>
      <c r="M448" s="1376">
        <v>417</v>
      </c>
      <c r="N448" s="1376"/>
    </row>
    <row r="449" spans="1:14" s="1370" customFormat="1" x14ac:dyDescent="0.25">
      <c r="A449" s="1118" t="s">
        <v>1376</v>
      </c>
      <c r="B449" s="1026" t="str">
        <f ca="1">IF('[2]Pricing Schedule'!$K$5="No",_xlfn.CONCAT(IFERROR(SUBSTITUTE(ADDRESS(1,MATCH(A449,INDIRECT("'"&amp;E449&amp;"'"&amp;"!A10:Z10"),0),4),1,""),""),24),_xlfn.CONCAT(IFERROR(SUBSTITUTE(ADDRESS(1,MATCH(A449,INDIRECT("'"&amp;E449&amp;"'"&amp;"!A10:Z10"),0),4),1,""),""),58))</f>
        <v>F58</v>
      </c>
      <c r="C449" s="1026" t="str">
        <f ca="1">IF('[2]Pricing Schedule'!$K$5="No",IFERROR(SUBSTITUTE(ADDRESS(1,MATCH(A449,INDIRECT("'"&amp;E449&amp;"'"&amp;"!A10:Z10"),0),4),1,""),""),IFERROR(SUBSTITUTE(ADDRESS(1,MATCH(A449,INDIRECT("'"&amp;E449&amp;"'"&amp;"!A10:Z10"),0),4),1,""),""))</f>
        <v>F</v>
      </c>
      <c r="D449" s="1029" t="s">
        <v>1455</v>
      </c>
      <c r="E449" s="1029" t="s">
        <v>1372</v>
      </c>
      <c r="I449" s="1026" t="str">
        <f t="shared" si="39"/>
        <v/>
      </c>
      <c r="J449" s="1376"/>
      <c r="K449" s="1376" t="str">
        <f t="shared" si="40"/>
        <v/>
      </c>
      <c r="L449" s="1090" t="s">
        <v>225</v>
      </c>
      <c r="M449" s="1376">
        <v>418</v>
      </c>
      <c r="N449" s="1376"/>
    </row>
    <row r="450" spans="1:14" s="1370" customFormat="1" x14ac:dyDescent="0.25">
      <c r="A450" s="1119" t="s">
        <v>466</v>
      </c>
      <c r="B450" s="1026" t="str">
        <f ca="1">_xlfn.CONCAT(IFERROR(SUBSTITUTE(ADDRESS(1,MATCH(A450,INDIRECT("'"&amp;E450&amp;"'"&amp;"!A9:Z9"),0),4),1,""),""),24)</f>
        <v>E24</v>
      </c>
      <c r="C450" s="1026" t="str">
        <f ca="1">_xlfn.CONCAT(IFERROR(SUBSTITUTE(ADDRESS(1,MATCH(A450,INDIRECT("'"&amp;E450&amp;"'"&amp;"!A9:Z9"),0),4),1,""),""))</f>
        <v>E</v>
      </c>
      <c r="D450" s="1376" t="s">
        <v>1455</v>
      </c>
      <c r="E450" s="1029" t="s">
        <v>208</v>
      </c>
      <c r="I450" s="1026" t="str">
        <f t="shared" si="39"/>
        <v>Exclude PIM Classes Below</v>
      </c>
      <c r="J450" s="1376" t="str">
        <f t="shared" si="41"/>
        <v>419</v>
      </c>
      <c r="K450" s="1376" t="str">
        <f t="shared" si="40"/>
        <v>PIM Model</v>
      </c>
      <c r="L450" s="1090" t="s">
        <v>466</v>
      </c>
      <c r="M450" s="1376">
        <v>419</v>
      </c>
      <c r="N450" s="1376"/>
    </row>
    <row r="451" spans="1:14" s="1370" customFormat="1" x14ac:dyDescent="0.25">
      <c r="A451" s="1119" t="s">
        <v>1375</v>
      </c>
      <c r="B451" s="1026" t="str">
        <f ca="1">IF('[2]Pricing Schedule'!$K$5="No",_xlfn.CONCAT(IFERROR(SUBSTITUTE(ADDRESS(1,MATCH(A451,INDIRECT("'"&amp;E451&amp;"'"&amp;"!A10:Z10"),0),4),1,""),""),24),_xlfn.CONCAT(IFERROR(SUBSTITUTE(ADDRESS(1,MATCH(A451,INDIRECT("'"&amp;E451&amp;"'"&amp;"!A10:Z10"),0),4),1,""),""),58))</f>
        <v>E58</v>
      </c>
      <c r="C451" s="1026" t="str">
        <f ca="1">IF('[2]Pricing Schedule'!$K$5="No",IFERROR(SUBSTITUTE(ADDRESS(1,MATCH(A451,INDIRECT("'"&amp;E451&amp;"'"&amp;"!A10:Z10"),0),4),1,""),""),IFERROR(SUBSTITUTE(ADDRESS(1,MATCH(A451,INDIRECT("'"&amp;E451&amp;"'"&amp;"!A10:Z10"),0),4),1,""),""))</f>
        <v>E</v>
      </c>
      <c r="D451" s="1029" t="s">
        <v>1455</v>
      </c>
      <c r="E451" s="1029" t="s">
        <v>1372</v>
      </c>
      <c r="I451" s="1026" t="str">
        <f t="shared" si="39"/>
        <v>Special Pricing Code</v>
      </c>
      <c r="J451" s="1376" t="str">
        <f t="shared" si="41"/>
        <v>420</v>
      </c>
      <c r="K451" s="1376" t="str">
        <f t="shared" si="40"/>
        <v>Pricing Schedule</v>
      </c>
      <c r="L451" s="1090" t="s">
        <v>1375</v>
      </c>
      <c r="M451" s="1376">
        <v>420</v>
      </c>
      <c r="N451" s="1376"/>
    </row>
    <row r="452" spans="1:14" s="1370" customFormat="1" x14ac:dyDescent="0.25">
      <c r="A452" s="1119" t="s">
        <v>1377</v>
      </c>
      <c r="B452" s="1026" t="str">
        <f ca="1">IF('[2]Pricing Schedule'!$K$5="No",_xlfn.CONCAT(IFERROR(SUBSTITUTE(ADDRESS(1,MATCH(A452,INDIRECT("'"&amp;E452&amp;"'"&amp;"!A10:Z10"),0),4),1,""),""),24),_xlfn.CONCAT(IFERROR(SUBSTITUTE(ADDRESS(1,MATCH(A452,INDIRECT("'"&amp;E452&amp;"'"&amp;"!A10:Z10"),0),4),1,""),""),58))</f>
        <v>G58</v>
      </c>
      <c r="C452" s="1026" t="str">
        <f ca="1">IF('[2]Pricing Schedule'!$K$5="No",IFERROR(SUBSTITUTE(ADDRESS(1,MATCH(A452,INDIRECT("'"&amp;E452&amp;"'"&amp;"!A10:Z10"),0),4),1,""),""),IFERROR(SUBSTITUTE(ADDRESS(1,MATCH(A452,INDIRECT("'"&amp;E452&amp;"'"&amp;"!A10:Z10"),0),4),1,""),""))</f>
        <v>G</v>
      </c>
      <c r="D452" s="1029" t="s">
        <v>1455</v>
      </c>
      <c r="E452" s="1029" t="s">
        <v>1372</v>
      </c>
      <c r="I452" s="1026" t="str">
        <f t="shared" ref="I452:I515" si="42">IF(J452&lt;&gt;"",A452,"")</f>
        <v>EB Markup Amt</v>
      </c>
      <c r="J452" s="1376" t="str">
        <f t="shared" si="41"/>
        <v>421</v>
      </c>
      <c r="K452" s="1376" t="str">
        <f t="shared" ref="K452:K515" si="43">IF(J452&lt;&gt;"",E452,"")</f>
        <v>Pricing Schedule</v>
      </c>
      <c r="L452" s="1090" t="s">
        <v>1377</v>
      </c>
      <c r="M452" s="1376">
        <v>421</v>
      </c>
      <c r="N452" s="1376"/>
    </row>
    <row r="453" spans="1:14" s="1370" customFormat="1" x14ac:dyDescent="0.25">
      <c r="A453" s="1119" t="s">
        <v>1378</v>
      </c>
      <c r="B453" s="1026" t="str">
        <f ca="1">IF('[2]Pricing Schedule'!$K$5="No",_xlfn.CONCAT(IFERROR(SUBSTITUTE(ADDRESS(1,MATCH(A453,INDIRECT("'"&amp;E453&amp;"'"&amp;"!A10:Z10"),0),4),1,""),""),24),_xlfn.CONCAT(IFERROR(SUBSTITUTE(ADDRESS(1,MATCH(A453,INDIRECT("'"&amp;E453&amp;"'"&amp;"!A10:Z10"),0),4),1,""),""),58))</f>
        <v>I58</v>
      </c>
      <c r="C453" s="1026" t="str">
        <f ca="1">IF('[2]Pricing Schedule'!$K$5="No",IFERROR(SUBSTITUTE(ADDRESS(1,MATCH(A453,INDIRECT("'"&amp;E453&amp;"'"&amp;"!A10:Z10"),0),4),1,""),""),IFERROR(SUBSTITUTE(ADDRESS(1,MATCH(A453,INDIRECT("'"&amp;E453&amp;"'"&amp;"!A10:Z10"),0),4),1,""),""))</f>
        <v>I</v>
      </c>
      <c r="D453" s="1029" t="s">
        <v>1455</v>
      </c>
      <c r="E453" s="1029" t="s">
        <v>1372</v>
      </c>
      <c r="I453" s="1026" t="str">
        <f t="shared" si="42"/>
        <v>Min CS Markup Override Flag</v>
      </c>
      <c r="J453" s="1376" t="str">
        <f t="shared" si="41"/>
        <v>422</v>
      </c>
      <c r="K453" s="1376" t="str">
        <f t="shared" si="43"/>
        <v>Pricing Schedule</v>
      </c>
      <c r="L453" s="1090" t="s">
        <v>1378</v>
      </c>
      <c r="M453" s="1376">
        <v>422</v>
      </c>
      <c r="N453" s="1376"/>
    </row>
    <row r="454" spans="1:14" s="1370" customFormat="1" x14ac:dyDescent="0.25">
      <c r="A454" s="1119" t="s">
        <v>1379</v>
      </c>
      <c r="B454" s="1026" t="str">
        <f ca="1">IF('[2]Pricing Schedule'!$K$5="No",_xlfn.CONCAT(IFERROR(SUBSTITUTE(ADDRESS(1,MATCH(A454,INDIRECT("'"&amp;E454&amp;"'"&amp;"!A10:Z10"),0),4),1,""),""),24),_xlfn.CONCAT(IFERROR(SUBSTITUTE(ADDRESS(1,MATCH(A454,INDIRECT("'"&amp;E454&amp;"'"&amp;"!A10:Z10"),0),4),1,""),""),58))</f>
        <v>J58</v>
      </c>
      <c r="C454" s="1026" t="str">
        <f ca="1">IF('[2]Pricing Schedule'!$K$5="No",IFERROR(SUBSTITUTE(ADDRESS(1,MATCH(A454,INDIRECT("'"&amp;E454&amp;"'"&amp;"!A10:Z10"),0),4),1,""),""),IFERROR(SUBSTITUTE(ADDRESS(1,MATCH(A454,INDIRECT("'"&amp;E454&amp;"'"&amp;"!A10:Z10"),0),4),1,""),""))</f>
        <v>J</v>
      </c>
      <c r="D454" s="1029" t="s">
        <v>1455</v>
      </c>
      <c r="E454" s="1029" t="s">
        <v>1372</v>
      </c>
      <c r="I454" s="1026" t="str">
        <f t="shared" si="42"/>
        <v>Min CS Markup Amt</v>
      </c>
      <c r="J454" s="1376" t="str">
        <f t="shared" ref="J454:J517" si="44">IF(M454&lt;&gt;"",Q$1&amp;M454,"")</f>
        <v>423</v>
      </c>
      <c r="K454" s="1376" t="str">
        <f t="shared" si="43"/>
        <v>Pricing Schedule</v>
      </c>
      <c r="L454" s="1090" t="s">
        <v>1379</v>
      </c>
      <c r="M454" s="1376">
        <v>423</v>
      </c>
      <c r="N454" s="1376"/>
    </row>
    <row r="455" spans="1:14" s="1370" customFormat="1" x14ac:dyDescent="0.25">
      <c r="A455" s="1119" t="s">
        <v>1380</v>
      </c>
      <c r="B455" s="1026" t="str">
        <f ca="1">IF('[2]Pricing Schedule'!$K$5="No",_xlfn.CONCAT(IFERROR(SUBSTITUTE(ADDRESS(1,MATCH(A455,INDIRECT("'"&amp;E455&amp;"'"&amp;"!A10:Z10"),0),4),1,""),""),24),_xlfn.CONCAT(IFERROR(SUBSTITUTE(ADDRESS(1,MATCH(A455,INDIRECT("'"&amp;E455&amp;"'"&amp;"!A10:Z10"),0),4),1,""),""),58))</f>
        <v>K58</v>
      </c>
      <c r="C455" s="1026" t="str">
        <f ca="1">IF('[2]Pricing Schedule'!$K$5="No",IFERROR(SUBSTITUTE(ADDRESS(1,MATCH(A455,INDIRECT("'"&amp;E455&amp;"'"&amp;"!A10:Z10"),0),4),1,""),""),IFERROR(SUBSTITUTE(ADDRESS(1,MATCH(A455,INDIRECT("'"&amp;E455&amp;"'"&amp;"!A10:Z10"),0),4),1,""),""))</f>
        <v>K</v>
      </c>
      <c r="D455" s="1029" t="s">
        <v>1455</v>
      </c>
      <c r="E455" s="1029" t="s">
        <v>1372</v>
      </c>
      <c r="I455" s="1026" t="str">
        <f t="shared" si="42"/>
        <v>Split Case Fee Override Flag</v>
      </c>
      <c r="J455" s="1376" t="str">
        <f t="shared" si="44"/>
        <v>424</v>
      </c>
      <c r="K455" s="1376" t="str">
        <f t="shared" si="43"/>
        <v>Pricing Schedule</v>
      </c>
      <c r="L455" s="1090" t="s">
        <v>1380</v>
      </c>
      <c r="M455" s="1376">
        <v>424</v>
      </c>
      <c r="N455" s="1376"/>
    </row>
    <row r="456" spans="1:14" s="1370" customFormat="1" x14ac:dyDescent="0.25">
      <c r="A456" s="1119" t="s">
        <v>1381</v>
      </c>
      <c r="B456" s="1026" t="str">
        <f ca="1">IF('[2]Pricing Schedule'!$K$5="No",_xlfn.CONCAT(IFERROR(SUBSTITUTE(ADDRESS(1,MATCH(A456,INDIRECT("'"&amp;E456&amp;"'"&amp;"!A10:Z10"),0),4),1,""),""),24),_xlfn.CONCAT(IFERROR(SUBSTITUTE(ADDRESS(1,MATCH(A456,INDIRECT("'"&amp;E456&amp;"'"&amp;"!A10:Z10"),0),4),1,""),""),58))</f>
        <v>L58</v>
      </c>
      <c r="C456" s="1026" t="str">
        <f ca="1">IF('[2]Pricing Schedule'!$K$5="No",IFERROR(SUBSTITUTE(ADDRESS(1,MATCH(A456,INDIRECT("'"&amp;E456&amp;"'"&amp;"!A10:Z10"),0),4),1,""),""),IFERROR(SUBSTITUTE(ADDRESS(1,MATCH(A456,INDIRECT("'"&amp;E456&amp;"'"&amp;"!A10:Z10"),0),4),1,""),""))</f>
        <v>L</v>
      </c>
      <c r="D456" s="1029" t="s">
        <v>1455</v>
      </c>
      <c r="E456" s="1029" t="s">
        <v>1372</v>
      </c>
      <c r="I456" s="1026" t="str">
        <f t="shared" si="42"/>
        <v>Split Case Fee</v>
      </c>
      <c r="J456" s="1376" t="str">
        <f t="shared" si="44"/>
        <v>425</v>
      </c>
      <c r="K456" s="1376" t="str">
        <f t="shared" si="43"/>
        <v>Pricing Schedule</v>
      </c>
      <c r="L456" s="1090" t="s">
        <v>1381</v>
      </c>
      <c r="M456" s="1376">
        <v>425</v>
      </c>
      <c r="N456" s="1376"/>
    </row>
    <row r="457" spans="1:14" s="1370" customFormat="1" x14ac:dyDescent="0.25">
      <c r="A457" s="1119" t="s">
        <v>1320</v>
      </c>
      <c r="B457" s="1026" t="str">
        <f ca="1">IF('[2]Pricing Schedule'!$K$5="No",_xlfn.CONCAT(IFERROR(SUBSTITUTE(ADDRESS(1,MATCH(A457,INDIRECT("'"&amp;E457&amp;"'"&amp;"!A10:Z10"),0),4),1,""),""),24),_xlfn.CONCAT(IFERROR(SUBSTITUTE(ADDRESS(1,MATCH(A457,INDIRECT("'"&amp;E457&amp;"'"&amp;"!A10:Z10"),0),4),1,""),""),58))</f>
        <v>M58</v>
      </c>
      <c r="C457" s="1026" t="str">
        <f ca="1">IF('[2]Pricing Schedule'!$K$5="No",IFERROR(SUBSTITUTE(ADDRESS(1,MATCH(A457,INDIRECT("'"&amp;E457&amp;"'"&amp;"!A10:Z10"),0),4),1,""),""),IFERROR(SUBSTITUTE(ADDRESS(1,MATCH(A457,INDIRECT("'"&amp;E457&amp;"'"&amp;"!A10:Z10"),0),4),1,""),""))</f>
        <v>M</v>
      </c>
      <c r="D457" s="1029" t="s">
        <v>1455</v>
      </c>
      <c r="E457" s="1029" t="s">
        <v>1372</v>
      </c>
      <c r="I457" s="1026" t="str">
        <f t="shared" si="42"/>
        <v>Split Case Per</v>
      </c>
      <c r="J457" s="1376" t="str">
        <f t="shared" si="44"/>
        <v>426</v>
      </c>
      <c r="K457" s="1376" t="str">
        <f t="shared" si="43"/>
        <v>Pricing Schedule</v>
      </c>
      <c r="L457" s="1090" t="s">
        <v>1320</v>
      </c>
      <c r="M457" s="1376">
        <v>426</v>
      </c>
      <c r="N457" s="1376"/>
    </row>
    <row r="458" spans="1:14" s="1370" customFormat="1" x14ac:dyDescent="0.25">
      <c r="A458" s="1120" t="s">
        <v>1382</v>
      </c>
      <c r="B458" s="1026" t="str">
        <f ca="1">IF('[2]Pricing Schedule'!$K$5="No",_xlfn.CONCAT(IFERROR(SUBSTITUTE(ADDRESS(1,MATCH(A458,INDIRECT("'"&amp;E458&amp;"'"&amp;"!A10:Z10"),0),4),1,""),""),25),_xlfn.CONCAT(IFERROR(SUBSTITUTE(ADDRESS(1,MATCH(A458,INDIRECT("'"&amp;E458&amp;"'"&amp;"!A10:Z10"),0),4),1,""),""),59))</f>
        <v>N59</v>
      </c>
      <c r="C458" s="1026" t="str">
        <f ca="1">IF('[2]Pricing Schedule'!$K$5="No",IFERROR(SUBSTITUTE(ADDRESS(1,MATCH(A458,INDIRECT("'"&amp;E458&amp;"'"&amp;"!A10:Z10"),0),4),1,""),""),IFERROR(SUBSTITUTE(ADDRESS(1,MATCH(A458,INDIRECT("'"&amp;E458&amp;"'"&amp;"!A10:Z10"),0),4),1,""),""))</f>
        <v>N</v>
      </c>
      <c r="D458" s="1029" t="s">
        <v>1455</v>
      </c>
      <c r="E458" s="1029" t="s">
        <v>1372</v>
      </c>
      <c r="I458" s="1026" t="str">
        <f t="shared" si="42"/>
        <v/>
      </c>
      <c r="J458" s="1376"/>
      <c r="K458" s="1376" t="str">
        <f t="shared" si="43"/>
        <v/>
      </c>
      <c r="L458" s="1090" t="s">
        <v>1382</v>
      </c>
      <c r="M458" s="1376">
        <v>427</v>
      </c>
      <c r="N458" s="1376"/>
    </row>
    <row r="459" spans="1:14" s="1370" customFormat="1" x14ac:dyDescent="0.25">
      <c r="A459" s="1121" t="s">
        <v>1373</v>
      </c>
      <c r="B459" s="1026" t="str">
        <f ca="1">IF('[2]Pricing Schedule'!$K$5="No",_xlfn.CONCAT(IFERROR(SUBSTITUTE(ADDRESS(1,MATCH(A459,INDIRECT("'"&amp;E459&amp;"'"&amp;"!A10:Z10"),0),4),1,""),""),25),_xlfn.CONCAT(IFERROR(SUBSTITUTE(ADDRESS(1,MATCH(A459,INDIRECT("'"&amp;E459&amp;"'"&amp;"!A10:Z10"),0),4),1,""),""),59))</f>
        <v>C59</v>
      </c>
      <c r="C459" s="1026" t="str">
        <f ca="1">IF('[2]Pricing Schedule'!$K$5="No",IFERROR(SUBSTITUTE(ADDRESS(1,MATCH(A459,INDIRECT("'"&amp;E459&amp;"'"&amp;"!A10:Z10"),0),4),1,""),""),IFERROR(SUBSTITUTE(ADDRESS(1,MATCH(A459,INDIRECT("'"&amp;E459&amp;"'"&amp;"!A10:Z10"),0),4),1,""),""))</f>
        <v>C</v>
      </c>
      <c r="D459" s="1029" t="s">
        <v>1455</v>
      </c>
      <c r="E459" s="1029" t="s">
        <v>1372</v>
      </c>
      <c r="I459" s="1026" t="str">
        <f t="shared" si="42"/>
        <v/>
      </c>
      <c r="J459" s="1376"/>
      <c r="K459" s="1376" t="str">
        <f t="shared" si="43"/>
        <v/>
      </c>
      <c r="L459" s="1090" t="s">
        <v>254</v>
      </c>
      <c r="M459" s="1376">
        <v>428</v>
      </c>
      <c r="N459" s="1376"/>
    </row>
    <row r="460" spans="1:14" s="1370" customFormat="1" x14ac:dyDescent="0.25">
      <c r="A460" s="1121" t="s">
        <v>1338</v>
      </c>
      <c r="B460" s="1026" t="str">
        <f ca="1">IF('[2]Pricing Schedule'!$K$5="No",_xlfn.CONCAT(IFERROR(SUBSTITUTE(ADDRESS(1,MATCH(A460,INDIRECT("'"&amp;E460&amp;"'"&amp;"!A10:Z10"),0),4),1,""),""),25),_xlfn.CONCAT(IFERROR(SUBSTITUTE(ADDRESS(1,MATCH(A460,INDIRECT("'"&amp;E460&amp;"'"&amp;"!A10:Z10"),0),4),1,""),""),59))</f>
        <v>H59</v>
      </c>
      <c r="C460" s="1026" t="str">
        <f ca="1">IF('[2]Pricing Schedule'!$K$5="No",IFERROR(SUBSTITUTE(ADDRESS(1,MATCH(A460,INDIRECT("'"&amp;E460&amp;"'"&amp;"!A10:Z10"),0),4),1,""),""),IFERROR(SUBSTITUTE(ADDRESS(1,MATCH(A460,INDIRECT("'"&amp;E460&amp;"'"&amp;"!A10:Z10"),0),4),1,""),""))</f>
        <v>H</v>
      </c>
      <c r="D460" s="1029" t="s">
        <v>1455</v>
      </c>
      <c r="E460" s="1029" t="s">
        <v>1372</v>
      </c>
      <c r="I460" s="1026" t="str">
        <f t="shared" si="42"/>
        <v/>
      </c>
      <c r="J460" s="1376"/>
      <c r="K460" s="1376" t="str">
        <f t="shared" si="43"/>
        <v/>
      </c>
      <c r="L460" s="1090" t="s">
        <v>1338</v>
      </c>
      <c r="M460" s="1376">
        <v>429</v>
      </c>
      <c r="N460" s="1376"/>
    </row>
    <row r="461" spans="1:14" s="1370" customFormat="1" x14ac:dyDescent="0.25">
      <c r="A461" s="1121" t="s">
        <v>1376</v>
      </c>
      <c r="B461" s="1026" t="str">
        <f ca="1">IF('[2]Pricing Schedule'!$K$5="No",_xlfn.CONCAT(IFERROR(SUBSTITUTE(ADDRESS(1,MATCH(A461,INDIRECT("'"&amp;E461&amp;"'"&amp;"!A10:Z10"),0),4),1,""),""),25),_xlfn.CONCAT(IFERROR(SUBSTITUTE(ADDRESS(1,MATCH(A461,INDIRECT("'"&amp;E461&amp;"'"&amp;"!A10:Z10"),0),4),1,""),""),59))</f>
        <v>F59</v>
      </c>
      <c r="C461" s="1026" t="str">
        <f ca="1">IF('[2]Pricing Schedule'!$K$5="No",IFERROR(SUBSTITUTE(ADDRESS(1,MATCH(A461,INDIRECT("'"&amp;E461&amp;"'"&amp;"!A10:Z10"),0),4),1,""),""),IFERROR(SUBSTITUTE(ADDRESS(1,MATCH(A461,INDIRECT("'"&amp;E461&amp;"'"&amp;"!A10:Z10"),0),4),1,""),""))</f>
        <v>F</v>
      </c>
      <c r="D461" s="1029" t="s">
        <v>1455</v>
      </c>
      <c r="E461" s="1029" t="s">
        <v>1372</v>
      </c>
      <c r="I461" s="1026" t="str">
        <f t="shared" si="42"/>
        <v/>
      </c>
      <c r="J461" s="1376"/>
      <c r="K461" s="1376" t="str">
        <f t="shared" si="43"/>
        <v/>
      </c>
      <c r="L461" s="1090" t="s">
        <v>225</v>
      </c>
      <c r="M461" s="1376">
        <v>430</v>
      </c>
      <c r="N461" s="1376"/>
    </row>
    <row r="462" spans="1:14" s="1370" customFormat="1" x14ac:dyDescent="0.25">
      <c r="A462" s="1122" t="s">
        <v>466</v>
      </c>
      <c r="B462" s="1026" t="str">
        <f ca="1">_xlfn.CONCAT(IFERROR(SUBSTITUTE(ADDRESS(1,MATCH(A462,INDIRECT("'"&amp;E462&amp;"'"&amp;"!A9:Z9"),0),4),1,""),""),25)</f>
        <v>E25</v>
      </c>
      <c r="C462" s="1026" t="str">
        <f ca="1">_xlfn.CONCAT(IFERROR(SUBSTITUTE(ADDRESS(1,MATCH(A462,INDIRECT("'"&amp;E462&amp;"'"&amp;"!A9:Z9"),0),4),1,""),""))</f>
        <v>E</v>
      </c>
      <c r="D462" s="1376" t="s">
        <v>1455</v>
      </c>
      <c r="E462" s="1029" t="s">
        <v>208</v>
      </c>
      <c r="I462" s="1026" t="str">
        <f t="shared" si="42"/>
        <v>Exclude PIM Classes Below</v>
      </c>
      <c r="J462" s="1376" t="str">
        <f t="shared" si="44"/>
        <v>431</v>
      </c>
      <c r="K462" s="1376" t="str">
        <f t="shared" si="43"/>
        <v>PIM Model</v>
      </c>
      <c r="L462" s="1090" t="s">
        <v>466</v>
      </c>
      <c r="M462" s="1376">
        <v>431</v>
      </c>
      <c r="N462" s="1376"/>
    </row>
    <row r="463" spans="1:14" s="1370" customFormat="1" x14ac:dyDescent="0.25">
      <c r="A463" s="1122" t="s">
        <v>1375</v>
      </c>
      <c r="B463" s="1026" t="str">
        <f ca="1">IF('[2]Pricing Schedule'!$K$5="No",_xlfn.CONCAT(IFERROR(SUBSTITUTE(ADDRESS(1,MATCH(A463,INDIRECT("'"&amp;E463&amp;"'"&amp;"!A10:Z10"),0),4),1,""),""),25),_xlfn.CONCAT(IFERROR(SUBSTITUTE(ADDRESS(1,MATCH(A463,INDIRECT("'"&amp;E463&amp;"'"&amp;"!A10:Z10"),0),4),1,""),""),59))</f>
        <v>E59</v>
      </c>
      <c r="C463" s="1026" t="str">
        <f ca="1">IF('[2]Pricing Schedule'!$K$5="No",IFERROR(SUBSTITUTE(ADDRESS(1,MATCH(A463,INDIRECT("'"&amp;E463&amp;"'"&amp;"!A10:Z10"),0),4),1,""),""),IFERROR(SUBSTITUTE(ADDRESS(1,MATCH(A463,INDIRECT("'"&amp;E463&amp;"'"&amp;"!A10:Z10"),0),4),1,""),""))</f>
        <v>E</v>
      </c>
      <c r="D463" s="1029" t="s">
        <v>1455</v>
      </c>
      <c r="E463" s="1029" t="s">
        <v>1372</v>
      </c>
      <c r="I463" s="1026" t="str">
        <f t="shared" si="42"/>
        <v>Special Pricing Code</v>
      </c>
      <c r="J463" s="1376" t="str">
        <f t="shared" si="44"/>
        <v>432</v>
      </c>
      <c r="K463" s="1376" t="str">
        <f t="shared" si="43"/>
        <v>Pricing Schedule</v>
      </c>
      <c r="L463" s="1090" t="s">
        <v>1375</v>
      </c>
      <c r="M463" s="1376">
        <v>432</v>
      </c>
      <c r="N463" s="1376"/>
    </row>
    <row r="464" spans="1:14" s="1370" customFormat="1" x14ac:dyDescent="0.25">
      <c r="A464" s="1122" t="s">
        <v>1377</v>
      </c>
      <c r="B464" s="1026" t="str">
        <f ca="1">IF('[2]Pricing Schedule'!$K$5="No",_xlfn.CONCAT(IFERROR(SUBSTITUTE(ADDRESS(1,MATCH(A464,INDIRECT("'"&amp;E464&amp;"'"&amp;"!A10:Z10"),0),4),1,""),""),25),_xlfn.CONCAT(IFERROR(SUBSTITUTE(ADDRESS(1,MATCH(A464,INDIRECT("'"&amp;E464&amp;"'"&amp;"!A10:Z10"),0),4),1,""),""),59))</f>
        <v>G59</v>
      </c>
      <c r="C464" s="1026" t="str">
        <f ca="1">IF('[2]Pricing Schedule'!$K$5="No",IFERROR(SUBSTITUTE(ADDRESS(1,MATCH(A464,INDIRECT("'"&amp;E464&amp;"'"&amp;"!A10:Z10"),0),4),1,""),""),IFERROR(SUBSTITUTE(ADDRESS(1,MATCH(A464,INDIRECT("'"&amp;E464&amp;"'"&amp;"!A10:Z10"),0),4),1,""),""))</f>
        <v>G</v>
      </c>
      <c r="D464" s="1029" t="s">
        <v>1455</v>
      </c>
      <c r="E464" s="1029" t="s">
        <v>1372</v>
      </c>
      <c r="I464" s="1026" t="str">
        <f t="shared" si="42"/>
        <v>EB Markup Amt</v>
      </c>
      <c r="J464" s="1376" t="str">
        <f t="shared" si="44"/>
        <v>433</v>
      </c>
      <c r="K464" s="1376" t="str">
        <f t="shared" si="43"/>
        <v>Pricing Schedule</v>
      </c>
      <c r="L464" s="1090" t="s">
        <v>1377</v>
      </c>
      <c r="M464" s="1376">
        <v>433</v>
      </c>
      <c r="N464" s="1376"/>
    </row>
    <row r="465" spans="1:14" s="1370" customFormat="1" x14ac:dyDescent="0.25">
      <c r="A465" s="1122" t="s">
        <v>1378</v>
      </c>
      <c r="B465" s="1026" t="str">
        <f ca="1">IF('[2]Pricing Schedule'!$K$5="No",_xlfn.CONCAT(IFERROR(SUBSTITUTE(ADDRESS(1,MATCH(A465,INDIRECT("'"&amp;E465&amp;"'"&amp;"!A10:Z10"),0),4),1,""),""),25),_xlfn.CONCAT(IFERROR(SUBSTITUTE(ADDRESS(1,MATCH(A465,INDIRECT("'"&amp;E465&amp;"'"&amp;"!A10:Z10"),0),4),1,""),""),59))</f>
        <v>I59</v>
      </c>
      <c r="C465" s="1026" t="str">
        <f ca="1">IF('[2]Pricing Schedule'!$K$5="No",IFERROR(SUBSTITUTE(ADDRESS(1,MATCH(A465,INDIRECT("'"&amp;E465&amp;"'"&amp;"!A10:Z10"),0),4),1,""),""),IFERROR(SUBSTITUTE(ADDRESS(1,MATCH(A465,INDIRECT("'"&amp;E465&amp;"'"&amp;"!A10:Z10"),0),4),1,""),""))</f>
        <v>I</v>
      </c>
      <c r="D465" s="1029" t="s">
        <v>1455</v>
      </c>
      <c r="E465" s="1029" t="s">
        <v>1372</v>
      </c>
      <c r="I465" s="1026" t="str">
        <f t="shared" si="42"/>
        <v>Min CS Markup Override Flag</v>
      </c>
      <c r="J465" s="1376" t="str">
        <f t="shared" si="44"/>
        <v>434</v>
      </c>
      <c r="K465" s="1376" t="str">
        <f t="shared" si="43"/>
        <v>Pricing Schedule</v>
      </c>
      <c r="L465" s="1090" t="s">
        <v>1378</v>
      </c>
      <c r="M465" s="1376">
        <v>434</v>
      </c>
      <c r="N465" s="1376"/>
    </row>
    <row r="466" spans="1:14" s="1370" customFormat="1" x14ac:dyDescent="0.25">
      <c r="A466" s="1122" t="s">
        <v>1379</v>
      </c>
      <c r="B466" s="1026" t="str">
        <f ca="1">IF('[2]Pricing Schedule'!$K$5="No",_xlfn.CONCAT(IFERROR(SUBSTITUTE(ADDRESS(1,MATCH(A466,INDIRECT("'"&amp;E466&amp;"'"&amp;"!A10:Z10"),0),4),1,""),""),25),_xlfn.CONCAT(IFERROR(SUBSTITUTE(ADDRESS(1,MATCH(A466,INDIRECT("'"&amp;E466&amp;"'"&amp;"!A10:Z10"),0),4),1,""),""),59))</f>
        <v>J59</v>
      </c>
      <c r="C466" s="1026" t="str">
        <f ca="1">IF('[2]Pricing Schedule'!$K$5="No",IFERROR(SUBSTITUTE(ADDRESS(1,MATCH(A466,INDIRECT("'"&amp;E466&amp;"'"&amp;"!A10:Z10"),0),4),1,""),""),IFERROR(SUBSTITUTE(ADDRESS(1,MATCH(A466,INDIRECT("'"&amp;E466&amp;"'"&amp;"!A10:Z10"),0),4),1,""),""))</f>
        <v>J</v>
      </c>
      <c r="D466" s="1029" t="s">
        <v>1455</v>
      </c>
      <c r="E466" s="1029" t="s">
        <v>1372</v>
      </c>
      <c r="I466" s="1026" t="str">
        <f t="shared" si="42"/>
        <v>Min CS Markup Amt</v>
      </c>
      <c r="J466" s="1376" t="str">
        <f t="shared" si="44"/>
        <v>435</v>
      </c>
      <c r="K466" s="1376" t="str">
        <f t="shared" si="43"/>
        <v>Pricing Schedule</v>
      </c>
      <c r="L466" s="1090" t="s">
        <v>1379</v>
      </c>
      <c r="M466" s="1376">
        <v>435</v>
      </c>
      <c r="N466" s="1376"/>
    </row>
    <row r="467" spans="1:14" s="1370" customFormat="1" x14ac:dyDescent="0.25">
      <c r="A467" s="1122" t="s">
        <v>1380</v>
      </c>
      <c r="B467" s="1026" t="str">
        <f ca="1">IF('[2]Pricing Schedule'!$K$5="No",_xlfn.CONCAT(IFERROR(SUBSTITUTE(ADDRESS(1,MATCH(A467,INDIRECT("'"&amp;E467&amp;"'"&amp;"!A10:Z10"),0),4),1,""),""),25),_xlfn.CONCAT(IFERROR(SUBSTITUTE(ADDRESS(1,MATCH(A467,INDIRECT("'"&amp;E467&amp;"'"&amp;"!A10:Z10"),0),4),1,""),""),59))</f>
        <v>K59</v>
      </c>
      <c r="C467" s="1026" t="str">
        <f ca="1">IF('[2]Pricing Schedule'!$K$5="No",IFERROR(SUBSTITUTE(ADDRESS(1,MATCH(A467,INDIRECT("'"&amp;E467&amp;"'"&amp;"!A10:Z10"),0),4),1,""),""),IFERROR(SUBSTITUTE(ADDRESS(1,MATCH(A467,INDIRECT("'"&amp;E467&amp;"'"&amp;"!A10:Z10"),0),4),1,""),""))</f>
        <v>K</v>
      </c>
      <c r="D467" s="1029" t="s">
        <v>1455</v>
      </c>
      <c r="E467" s="1029" t="s">
        <v>1372</v>
      </c>
      <c r="I467" s="1026" t="str">
        <f t="shared" si="42"/>
        <v>Split Case Fee Override Flag</v>
      </c>
      <c r="J467" s="1376" t="str">
        <f t="shared" si="44"/>
        <v>436</v>
      </c>
      <c r="K467" s="1376" t="str">
        <f t="shared" si="43"/>
        <v>Pricing Schedule</v>
      </c>
      <c r="L467" s="1090" t="s">
        <v>1380</v>
      </c>
      <c r="M467" s="1376">
        <v>436</v>
      </c>
      <c r="N467" s="1376"/>
    </row>
    <row r="468" spans="1:14" s="1370" customFormat="1" x14ac:dyDescent="0.25">
      <c r="A468" s="1122" t="s">
        <v>1381</v>
      </c>
      <c r="B468" s="1026" t="str">
        <f ca="1">IF('[2]Pricing Schedule'!$K$5="No",_xlfn.CONCAT(IFERROR(SUBSTITUTE(ADDRESS(1,MATCH(A468,INDIRECT("'"&amp;E468&amp;"'"&amp;"!A10:Z10"),0),4),1,""),""),25),_xlfn.CONCAT(IFERROR(SUBSTITUTE(ADDRESS(1,MATCH(A468,INDIRECT("'"&amp;E468&amp;"'"&amp;"!A10:Z10"),0),4),1,""),""),59))</f>
        <v>L59</v>
      </c>
      <c r="C468" s="1026" t="str">
        <f ca="1">IF('[2]Pricing Schedule'!$K$5="No",IFERROR(SUBSTITUTE(ADDRESS(1,MATCH(A468,INDIRECT("'"&amp;E468&amp;"'"&amp;"!A10:Z10"),0),4),1,""),""),IFERROR(SUBSTITUTE(ADDRESS(1,MATCH(A468,INDIRECT("'"&amp;E468&amp;"'"&amp;"!A10:Z10"),0),4),1,""),""))</f>
        <v>L</v>
      </c>
      <c r="D468" s="1029" t="s">
        <v>1455</v>
      </c>
      <c r="E468" s="1029" t="s">
        <v>1372</v>
      </c>
      <c r="I468" s="1026" t="str">
        <f t="shared" si="42"/>
        <v>Split Case Fee</v>
      </c>
      <c r="J468" s="1376" t="str">
        <f t="shared" si="44"/>
        <v>437</v>
      </c>
      <c r="K468" s="1376" t="str">
        <f t="shared" si="43"/>
        <v>Pricing Schedule</v>
      </c>
      <c r="L468" s="1090" t="s">
        <v>1381</v>
      </c>
      <c r="M468" s="1376">
        <v>437</v>
      </c>
      <c r="N468" s="1376"/>
    </row>
    <row r="469" spans="1:14" s="1370" customFormat="1" x14ac:dyDescent="0.25">
      <c r="A469" s="1122" t="s">
        <v>1320</v>
      </c>
      <c r="B469" s="1026" t="str">
        <f ca="1">IF('[2]Pricing Schedule'!$K$5="No",_xlfn.CONCAT(IFERROR(SUBSTITUTE(ADDRESS(1,MATCH(A469,INDIRECT("'"&amp;E469&amp;"'"&amp;"!A10:Z10"),0),4),1,""),""),25),_xlfn.CONCAT(IFERROR(SUBSTITUTE(ADDRESS(1,MATCH(A469,INDIRECT("'"&amp;E469&amp;"'"&amp;"!A10:Z10"),0),4),1,""),""),59))</f>
        <v>M59</v>
      </c>
      <c r="C469" s="1026" t="str">
        <f ca="1">IF('[2]Pricing Schedule'!$K$5="No",IFERROR(SUBSTITUTE(ADDRESS(1,MATCH(A469,INDIRECT("'"&amp;E469&amp;"'"&amp;"!A10:Z10"),0),4),1,""),""),IFERROR(SUBSTITUTE(ADDRESS(1,MATCH(A469,INDIRECT("'"&amp;E469&amp;"'"&amp;"!A10:Z10"),0),4),1,""),""))</f>
        <v>M</v>
      </c>
      <c r="D469" s="1029" t="s">
        <v>1455</v>
      </c>
      <c r="E469" s="1029" t="s">
        <v>1372</v>
      </c>
      <c r="I469" s="1026" t="str">
        <f t="shared" si="42"/>
        <v>Split Case Per</v>
      </c>
      <c r="J469" s="1376" t="str">
        <f t="shared" si="44"/>
        <v>438</v>
      </c>
      <c r="K469" s="1376" t="str">
        <f t="shared" si="43"/>
        <v>Pricing Schedule</v>
      </c>
      <c r="L469" s="1090" t="s">
        <v>1320</v>
      </c>
      <c r="M469" s="1376">
        <v>438</v>
      </c>
      <c r="N469" s="1376"/>
    </row>
    <row r="470" spans="1:14" s="1370" customFormat="1" x14ac:dyDescent="0.25">
      <c r="A470" s="1117" t="s">
        <v>1382</v>
      </c>
      <c r="B470" s="1026" t="str">
        <f ca="1">IF('[2]Pricing Schedule'!$K$5="No",_xlfn.CONCAT(IFERROR(SUBSTITUTE(ADDRESS(1,MATCH(A470,INDIRECT("'"&amp;E470&amp;"'"&amp;"!A10:Z10"),0),4),1,""),""),26),_xlfn.CONCAT(IFERROR(SUBSTITUTE(ADDRESS(1,MATCH(A470,INDIRECT("'"&amp;E470&amp;"'"&amp;"!A10:Z10"),0),4),1,""),""),60))</f>
        <v>N60</v>
      </c>
      <c r="C470" s="1026" t="str">
        <f ca="1">IF('[2]Pricing Schedule'!$K$5="No",IFERROR(SUBSTITUTE(ADDRESS(1,MATCH(A470,INDIRECT("'"&amp;E470&amp;"'"&amp;"!A10:Z10"),0),4),1,""),""),IFERROR(SUBSTITUTE(ADDRESS(1,MATCH(A470,INDIRECT("'"&amp;E470&amp;"'"&amp;"!A10:Z10"),0),4),1,""),""))</f>
        <v>N</v>
      </c>
      <c r="D470" s="1029" t="s">
        <v>1455</v>
      </c>
      <c r="E470" s="1029" t="s">
        <v>1372</v>
      </c>
      <c r="I470" s="1026" t="str">
        <f t="shared" si="42"/>
        <v/>
      </c>
      <c r="J470" s="1376"/>
      <c r="K470" s="1376" t="str">
        <f t="shared" si="43"/>
        <v/>
      </c>
      <c r="L470" s="1090" t="s">
        <v>1382</v>
      </c>
      <c r="M470" s="1376">
        <v>439</v>
      </c>
      <c r="N470" s="1376"/>
    </row>
    <row r="471" spans="1:14" s="1370" customFormat="1" x14ac:dyDescent="0.25">
      <c r="A471" s="1118" t="s">
        <v>1373</v>
      </c>
      <c r="B471" s="1026" t="str">
        <f ca="1">IF('[2]Pricing Schedule'!$K$5="No",_xlfn.CONCAT(IFERROR(SUBSTITUTE(ADDRESS(1,MATCH(A471,INDIRECT("'"&amp;E471&amp;"'"&amp;"!A10:Z10"),0),4),1,""),""),26),_xlfn.CONCAT(IFERROR(SUBSTITUTE(ADDRESS(1,MATCH(A471,INDIRECT("'"&amp;E471&amp;"'"&amp;"!A10:Z10"),0),4),1,""),""),60))</f>
        <v>C60</v>
      </c>
      <c r="C471" s="1026" t="str">
        <f ca="1">IF('[2]Pricing Schedule'!$K$5="No",IFERROR(SUBSTITUTE(ADDRESS(1,MATCH(A471,INDIRECT("'"&amp;E471&amp;"'"&amp;"!A10:Z10"),0),4),1,""),""),IFERROR(SUBSTITUTE(ADDRESS(1,MATCH(A471,INDIRECT("'"&amp;E471&amp;"'"&amp;"!A10:Z10"),0),4),1,""),""))</f>
        <v>C</v>
      </c>
      <c r="D471" s="1029" t="s">
        <v>1455</v>
      </c>
      <c r="E471" s="1029" t="s">
        <v>1372</v>
      </c>
      <c r="I471" s="1026" t="str">
        <f t="shared" si="42"/>
        <v/>
      </c>
      <c r="J471" s="1376"/>
      <c r="K471" s="1376" t="str">
        <f t="shared" si="43"/>
        <v/>
      </c>
      <c r="L471" s="1090" t="s">
        <v>254</v>
      </c>
      <c r="M471" s="1376">
        <v>440</v>
      </c>
      <c r="N471" s="1376"/>
    </row>
    <row r="472" spans="1:14" s="1370" customFormat="1" x14ac:dyDescent="0.25">
      <c r="A472" s="1118" t="s">
        <v>1338</v>
      </c>
      <c r="B472" s="1026" t="str">
        <f ca="1">IF('[2]Pricing Schedule'!$K$5="No",_xlfn.CONCAT(IFERROR(SUBSTITUTE(ADDRESS(1,MATCH(A472,INDIRECT("'"&amp;E472&amp;"'"&amp;"!A10:Z10"),0),4),1,""),""),26),_xlfn.CONCAT(IFERROR(SUBSTITUTE(ADDRESS(1,MATCH(A472,INDIRECT("'"&amp;E472&amp;"'"&amp;"!A10:Z10"),0),4),1,""),""),60))</f>
        <v>H60</v>
      </c>
      <c r="C472" s="1026" t="str">
        <f ca="1">IF('[2]Pricing Schedule'!$K$5="No",IFERROR(SUBSTITUTE(ADDRESS(1,MATCH(A472,INDIRECT("'"&amp;E472&amp;"'"&amp;"!A10:Z10"),0),4),1,""),""),IFERROR(SUBSTITUTE(ADDRESS(1,MATCH(A472,INDIRECT("'"&amp;E472&amp;"'"&amp;"!A10:Z10"),0),4),1,""),""))</f>
        <v>H</v>
      </c>
      <c r="D472" s="1029" t="s">
        <v>1455</v>
      </c>
      <c r="E472" s="1029" t="s">
        <v>1372</v>
      </c>
      <c r="I472" s="1026" t="str">
        <f t="shared" si="42"/>
        <v/>
      </c>
      <c r="J472" s="1376"/>
      <c r="K472" s="1376" t="str">
        <f t="shared" si="43"/>
        <v/>
      </c>
      <c r="L472" s="1090" t="s">
        <v>1338</v>
      </c>
      <c r="M472" s="1376">
        <v>441</v>
      </c>
      <c r="N472" s="1376"/>
    </row>
    <row r="473" spans="1:14" s="1370" customFormat="1" x14ac:dyDescent="0.25">
      <c r="A473" s="1118" t="s">
        <v>1376</v>
      </c>
      <c r="B473" s="1026" t="str">
        <f ca="1">IF('[2]Pricing Schedule'!$K$5="No",_xlfn.CONCAT(IFERROR(SUBSTITUTE(ADDRESS(1,MATCH(A473,INDIRECT("'"&amp;E473&amp;"'"&amp;"!A10:Z10"),0),4),1,""),""),26),_xlfn.CONCAT(IFERROR(SUBSTITUTE(ADDRESS(1,MATCH(A473,INDIRECT("'"&amp;E473&amp;"'"&amp;"!A10:Z10"),0),4),1,""),""),60))</f>
        <v>F60</v>
      </c>
      <c r="C473" s="1026" t="str">
        <f ca="1">IF('[2]Pricing Schedule'!$K$5="No",IFERROR(SUBSTITUTE(ADDRESS(1,MATCH(A473,INDIRECT("'"&amp;E473&amp;"'"&amp;"!A10:Z10"),0),4),1,""),""),IFERROR(SUBSTITUTE(ADDRESS(1,MATCH(A473,INDIRECT("'"&amp;E473&amp;"'"&amp;"!A10:Z10"),0),4),1,""),""))</f>
        <v>F</v>
      </c>
      <c r="D473" s="1029" t="s">
        <v>1455</v>
      </c>
      <c r="E473" s="1029" t="s">
        <v>1372</v>
      </c>
      <c r="I473" s="1026" t="str">
        <f t="shared" si="42"/>
        <v/>
      </c>
      <c r="J473" s="1376"/>
      <c r="K473" s="1376" t="str">
        <f t="shared" si="43"/>
        <v/>
      </c>
      <c r="L473" s="1090" t="s">
        <v>225</v>
      </c>
      <c r="M473" s="1376">
        <v>442</v>
      </c>
      <c r="N473" s="1376"/>
    </row>
    <row r="474" spans="1:14" s="1370" customFormat="1" x14ac:dyDescent="0.25">
      <c r="A474" s="1119" t="s">
        <v>466</v>
      </c>
      <c r="B474" s="1026" t="str">
        <f ca="1">_xlfn.CONCAT(IFERROR(SUBSTITUTE(ADDRESS(1,MATCH(A474,INDIRECT("'"&amp;E474&amp;"'"&amp;"!A9:Z9"),0),4),1,""),""),26)</f>
        <v>E26</v>
      </c>
      <c r="C474" s="1026" t="str">
        <f ca="1">_xlfn.CONCAT(IFERROR(SUBSTITUTE(ADDRESS(1,MATCH(A474,INDIRECT("'"&amp;E474&amp;"'"&amp;"!A9:Z9"),0),4),1,""),""))</f>
        <v>E</v>
      </c>
      <c r="D474" s="1376" t="s">
        <v>1455</v>
      </c>
      <c r="E474" s="1029" t="s">
        <v>208</v>
      </c>
      <c r="I474" s="1026" t="str">
        <f t="shared" si="42"/>
        <v>Exclude PIM Classes Below</v>
      </c>
      <c r="J474" s="1376" t="str">
        <f t="shared" si="44"/>
        <v>443</v>
      </c>
      <c r="K474" s="1376" t="str">
        <f t="shared" si="43"/>
        <v>PIM Model</v>
      </c>
      <c r="L474" s="1090" t="s">
        <v>466</v>
      </c>
      <c r="M474" s="1376">
        <v>443</v>
      </c>
      <c r="N474" s="1376"/>
    </row>
    <row r="475" spans="1:14" s="1370" customFormat="1" x14ac:dyDescent="0.25">
      <c r="A475" s="1119" t="s">
        <v>1375</v>
      </c>
      <c r="B475" s="1026" t="str">
        <f ca="1">IF('[2]Pricing Schedule'!$K$5="No",_xlfn.CONCAT(IFERROR(SUBSTITUTE(ADDRESS(1,MATCH(A475,INDIRECT("'"&amp;E475&amp;"'"&amp;"!A10:Z10"),0),4),1,""),""),26),_xlfn.CONCAT(IFERROR(SUBSTITUTE(ADDRESS(1,MATCH(A475,INDIRECT("'"&amp;E475&amp;"'"&amp;"!A10:Z10"),0),4),1,""),""),60))</f>
        <v>E60</v>
      </c>
      <c r="C475" s="1026" t="str">
        <f ca="1">IF('[2]Pricing Schedule'!$K$5="No",IFERROR(SUBSTITUTE(ADDRESS(1,MATCH(A475,INDIRECT("'"&amp;E475&amp;"'"&amp;"!A10:Z10"),0),4),1,""),""),IFERROR(SUBSTITUTE(ADDRESS(1,MATCH(A475,INDIRECT("'"&amp;E475&amp;"'"&amp;"!A10:Z10"),0),4),1,""),""))</f>
        <v>E</v>
      </c>
      <c r="D475" s="1029" t="s">
        <v>1455</v>
      </c>
      <c r="E475" s="1029" t="s">
        <v>1372</v>
      </c>
      <c r="I475" s="1026" t="str">
        <f t="shared" si="42"/>
        <v>Special Pricing Code</v>
      </c>
      <c r="J475" s="1376" t="str">
        <f t="shared" si="44"/>
        <v>444</v>
      </c>
      <c r="K475" s="1376" t="str">
        <f t="shared" si="43"/>
        <v>Pricing Schedule</v>
      </c>
      <c r="L475" s="1090" t="s">
        <v>1375</v>
      </c>
      <c r="M475" s="1376">
        <v>444</v>
      </c>
      <c r="N475" s="1376"/>
    </row>
    <row r="476" spans="1:14" s="1370" customFormat="1" x14ac:dyDescent="0.25">
      <c r="A476" s="1119" t="s">
        <v>1377</v>
      </c>
      <c r="B476" s="1026" t="str">
        <f ca="1">IF('[2]Pricing Schedule'!$K$5="No",_xlfn.CONCAT(IFERROR(SUBSTITUTE(ADDRESS(1,MATCH(A476,INDIRECT("'"&amp;E476&amp;"'"&amp;"!A10:Z10"),0),4),1,""),""),26),_xlfn.CONCAT(IFERROR(SUBSTITUTE(ADDRESS(1,MATCH(A476,INDIRECT("'"&amp;E476&amp;"'"&amp;"!A10:Z10"),0),4),1,""),""),60))</f>
        <v>G60</v>
      </c>
      <c r="C476" s="1026" t="str">
        <f ca="1">IF('[2]Pricing Schedule'!$K$5="No",IFERROR(SUBSTITUTE(ADDRESS(1,MATCH(A476,INDIRECT("'"&amp;E476&amp;"'"&amp;"!A10:Z10"),0),4),1,""),""),IFERROR(SUBSTITUTE(ADDRESS(1,MATCH(A476,INDIRECT("'"&amp;E476&amp;"'"&amp;"!A10:Z10"),0),4),1,""),""))</f>
        <v>G</v>
      </c>
      <c r="D476" s="1029" t="s">
        <v>1455</v>
      </c>
      <c r="E476" s="1029" t="s">
        <v>1372</v>
      </c>
      <c r="I476" s="1026" t="str">
        <f t="shared" si="42"/>
        <v>EB Markup Amt</v>
      </c>
      <c r="J476" s="1376" t="str">
        <f t="shared" si="44"/>
        <v>445</v>
      </c>
      <c r="K476" s="1376" t="str">
        <f t="shared" si="43"/>
        <v>Pricing Schedule</v>
      </c>
      <c r="L476" s="1090" t="s">
        <v>1377</v>
      </c>
      <c r="M476" s="1376">
        <v>445</v>
      </c>
      <c r="N476" s="1376"/>
    </row>
    <row r="477" spans="1:14" s="1370" customFormat="1" x14ac:dyDescent="0.25">
      <c r="A477" s="1119" t="s">
        <v>1378</v>
      </c>
      <c r="B477" s="1026" t="str">
        <f ca="1">IF('[2]Pricing Schedule'!$K$5="No",_xlfn.CONCAT(IFERROR(SUBSTITUTE(ADDRESS(1,MATCH(A477,INDIRECT("'"&amp;E477&amp;"'"&amp;"!A10:Z10"),0),4),1,""),""),26),_xlfn.CONCAT(IFERROR(SUBSTITUTE(ADDRESS(1,MATCH(A477,INDIRECT("'"&amp;E477&amp;"'"&amp;"!A10:Z10"),0),4),1,""),""),60))</f>
        <v>I60</v>
      </c>
      <c r="C477" s="1026" t="str">
        <f ca="1">IF('[2]Pricing Schedule'!$K$5="No",IFERROR(SUBSTITUTE(ADDRESS(1,MATCH(A477,INDIRECT("'"&amp;E477&amp;"'"&amp;"!A10:Z10"),0),4),1,""),""),IFERROR(SUBSTITUTE(ADDRESS(1,MATCH(A477,INDIRECT("'"&amp;E477&amp;"'"&amp;"!A10:Z10"),0),4),1,""),""))</f>
        <v>I</v>
      </c>
      <c r="D477" s="1029" t="s">
        <v>1455</v>
      </c>
      <c r="E477" s="1029" t="s">
        <v>1372</v>
      </c>
      <c r="I477" s="1026" t="str">
        <f t="shared" si="42"/>
        <v>Min CS Markup Override Flag</v>
      </c>
      <c r="J477" s="1376" t="str">
        <f t="shared" si="44"/>
        <v>446</v>
      </c>
      <c r="K477" s="1376" t="str">
        <f t="shared" si="43"/>
        <v>Pricing Schedule</v>
      </c>
      <c r="L477" s="1090" t="s">
        <v>1378</v>
      </c>
      <c r="M477" s="1376">
        <v>446</v>
      </c>
      <c r="N477" s="1376"/>
    </row>
    <row r="478" spans="1:14" s="1370" customFormat="1" x14ac:dyDescent="0.25">
      <c r="A478" s="1119" t="s">
        <v>1379</v>
      </c>
      <c r="B478" s="1026" t="str">
        <f ca="1">IF('[2]Pricing Schedule'!$K$5="No",_xlfn.CONCAT(IFERROR(SUBSTITUTE(ADDRESS(1,MATCH(A478,INDIRECT("'"&amp;E478&amp;"'"&amp;"!A10:Z10"),0),4),1,""),""),26),_xlfn.CONCAT(IFERROR(SUBSTITUTE(ADDRESS(1,MATCH(A478,INDIRECT("'"&amp;E478&amp;"'"&amp;"!A10:Z10"),0),4),1,""),""),60))</f>
        <v>J60</v>
      </c>
      <c r="C478" s="1026" t="str">
        <f ca="1">IF('[2]Pricing Schedule'!$K$5="No",IFERROR(SUBSTITUTE(ADDRESS(1,MATCH(A478,INDIRECT("'"&amp;E478&amp;"'"&amp;"!A10:Z10"),0),4),1,""),""),IFERROR(SUBSTITUTE(ADDRESS(1,MATCH(A478,INDIRECT("'"&amp;E478&amp;"'"&amp;"!A10:Z10"),0),4),1,""),""))</f>
        <v>J</v>
      </c>
      <c r="D478" s="1029" t="s">
        <v>1455</v>
      </c>
      <c r="E478" s="1029" t="s">
        <v>1372</v>
      </c>
      <c r="I478" s="1026" t="str">
        <f t="shared" si="42"/>
        <v>Min CS Markup Amt</v>
      </c>
      <c r="J478" s="1376" t="str">
        <f t="shared" si="44"/>
        <v>447</v>
      </c>
      <c r="K478" s="1376" t="str">
        <f t="shared" si="43"/>
        <v>Pricing Schedule</v>
      </c>
      <c r="L478" s="1090" t="s">
        <v>1379</v>
      </c>
      <c r="M478" s="1376">
        <v>447</v>
      </c>
      <c r="N478" s="1376"/>
    </row>
    <row r="479" spans="1:14" s="1370" customFormat="1" x14ac:dyDescent="0.25">
      <c r="A479" s="1119" t="s">
        <v>1380</v>
      </c>
      <c r="B479" s="1026" t="str">
        <f ca="1">IF('[2]Pricing Schedule'!$K$5="No",_xlfn.CONCAT(IFERROR(SUBSTITUTE(ADDRESS(1,MATCH(A479,INDIRECT("'"&amp;E479&amp;"'"&amp;"!A10:Z10"),0),4),1,""),""),26),_xlfn.CONCAT(IFERROR(SUBSTITUTE(ADDRESS(1,MATCH(A479,INDIRECT("'"&amp;E479&amp;"'"&amp;"!A10:Z10"),0),4),1,""),""),60))</f>
        <v>K60</v>
      </c>
      <c r="C479" s="1026" t="str">
        <f ca="1">IF('[2]Pricing Schedule'!$K$5="No",IFERROR(SUBSTITUTE(ADDRESS(1,MATCH(A479,INDIRECT("'"&amp;E479&amp;"'"&amp;"!A10:Z10"),0),4),1,""),""),IFERROR(SUBSTITUTE(ADDRESS(1,MATCH(A479,INDIRECT("'"&amp;E479&amp;"'"&amp;"!A10:Z10"),0),4),1,""),""))</f>
        <v>K</v>
      </c>
      <c r="D479" s="1029" t="s">
        <v>1455</v>
      </c>
      <c r="E479" s="1029" t="s">
        <v>1372</v>
      </c>
      <c r="I479" s="1026" t="str">
        <f t="shared" si="42"/>
        <v>Split Case Fee Override Flag</v>
      </c>
      <c r="J479" s="1376" t="str">
        <f t="shared" si="44"/>
        <v>448</v>
      </c>
      <c r="K479" s="1376" t="str">
        <f t="shared" si="43"/>
        <v>Pricing Schedule</v>
      </c>
      <c r="L479" s="1090" t="s">
        <v>1380</v>
      </c>
      <c r="M479" s="1376">
        <v>448</v>
      </c>
      <c r="N479" s="1376"/>
    </row>
    <row r="480" spans="1:14" s="1370" customFormat="1" x14ac:dyDescent="0.25">
      <c r="A480" s="1119" t="s">
        <v>1381</v>
      </c>
      <c r="B480" s="1026" t="str">
        <f ca="1">IF('[2]Pricing Schedule'!$K$5="No",_xlfn.CONCAT(IFERROR(SUBSTITUTE(ADDRESS(1,MATCH(A480,INDIRECT("'"&amp;E480&amp;"'"&amp;"!A10:Z10"),0),4),1,""),""),26),_xlfn.CONCAT(IFERROR(SUBSTITUTE(ADDRESS(1,MATCH(A480,INDIRECT("'"&amp;E480&amp;"'"&amp;"!A10:Z10"),0),4),1,""),""),60))</f>
        <v>L60</v>
      </c>
      <c r="C480" s="1026" t="str">
        <f ca="1">IF('[2]Pricing Schedule'!$K$5="No",IFERROR(SUBSTITUTE(ADDRESS(1,MATCH(A480,INDIRECT("'"&amp;E480&amp;"'"&amp;"!A10:Z10"),0),4),1,""),""),IFERROR(SUBSTITUTE(ADDRESS(1,MATCH(A480,INDIRECT("'"&amp;E480&amp;"'"&amp;"!A10:Z10"),0),4),1,""),""))</f>
        <v>L</v>
      </c>
      <c r="D480" s="1029" t="s">
        <v>1455</v>
      </c>
      <c r="E480" s="1029" t="s">
        <v>1372</v>
      </c>
      <c r="I480" s="1026" t="str">
        <f t="shared" si="42"/>
        <v>Split Case Fee</v>
      </c>
      <c r="J480" s="1376" t="str">
        <f t="shared" si="44"/>
        <v>449</v>
      </c>
      <c r="K480" s="1376" t="str">
        <f t="shared" si="43"/>
        <v>Pricing Schedule</v>
      </c>
      <c r="L480" s="1090" t="s">
        <v>1381</v>
      </c>
      <c r="M480" s="1376">
        <v>449</v>
      </c>
      <c r="N480" s="1376"/>
    </row>
    <row r="481" spans="1:14" s="1370" customFormat="1" x14ac:dyDescent="0.25">
      <c r="A481" s="1119" t="s">
        <v>1320</v>
      </c>
      <c r="B481" s="1026" t="str">
        <f ca="1">IF('[2]Pricing Schedule'!$K$5="No",_xlfn.CONCAT(IFERROR(SUBSTITUTE(ADDRESS(1,MATCH(A481,INDIRECT("'"&amp;E481&amp;"'"&amp;"!A10:Z10"),0),4),1,""),""),26),_xlfn.CONCAT(IFERROR(SUBSTITUTE(ADDRESS(1,MATCH(A481,INDIRECT("'"&amp;E481&amp;"'"&amp;"!A10:Z10"),0),4),1,""),""),60))</f>
        <v>M60</v>
      </c>
      <c r="C481" s="1026" t="str">
        <f ca="1">IF('[2]Pricing Schedule'!$K$5="No",IFERROR(SUBSTITUTE(ADDRESS(1,MATCH(A481,INDIRECT("'"&amp;E481&amp;"'"&amp;"!A10:Z10"),0),4),1,""),""),IFERROR(SUBSTITUTE(ADDRESS(1,MATCH(A481,INDIRECT("'"&amp;E481&amp;"'"&amp;"!A10:Z10"),0),4),1,""),""))</f>
        <v>M</v>
      </c>
      <c r="D481" s="1029" t="s">
        <v>1455</v>
      </c>
      <c r="E481" s="1029" t="s">
        <v>1372</v>
      </c>
      <c r="I481" s="1026" t="str">
        <f t="shared" si="42"/>
        <v>Split Case Per</v>
      </c>
      <c r="J481" s="1376" t="str">
        <f t="shared" si="44"/>
        <v>450</v>
      </c>
      <c r="K481" s="1376" t="str">
        <f t="shared" si="43"/>
        <v>Pricing Schedule</v>
      </c>
      <c r="L481" s="1090" t="s">
        <v>1320</v>
      </c>
      <c r="M481" s="1376">
        <v>450</v>
      </c>
      <c r="N481" s="1376"/>
    </row>
    <row r="482" spans="1:14" s="1370" customFormat="1" x14ac:dyDescent="0.25">
      <c r="A482" s="1120" t="s">
        <v>1382</v>
      </c>
      <c r="B482" s="1026" t="str">
        <f ca="1">IF('[2]Pricing Schedule'!$K$5="No",_xlfn.CONCAT(IFERROR(SUBSTITUTE(ADDRESS(1,MATCH(A482,INDIRECT("'"&amp;E482&amp;"'"&amp;"!A10:Z10"),0),4),1,""),""),21),_xlfn.CONCAT(IFERROR(SUBSTITUTE(ADDRESS(1,MATCH(A482,INDIRECT("'"&amp;E482&amp;"'"&amp;"!A10:Z10"),0),4),1,""),""),55))</f>
        <v>N55</v>
      </c>
      <c r="C482" s="1026" t="str">
        <f ca="1">IF('[2]Pricing Schedule'!$K$5="No",IFERROR(SUBSTITUTE(ADDRESS(1,MATCH(A482,INDIRECT("'"&amp;E482&amp;"'"&amp;"!A10:Z10"),0),4),1,""),""),IFERROR(SUBSTITUTE(ADDRESS(1,MATCH(A482,INDIRECT("'"&amp;E482&amp;"'"&amp;"!A10:Z10"),0),4),1,""),""))</f>
        <v>N</v>
      </c>
      <c r="D482" s="1029" t="s">
        <v>1455</v>
      </c>
      <c r="E482" s="1029" t="s">
        <v>1372</v>
      </c>
      <c r="I482" s="1026" t="str">
        <f t="shared" si="42"/>
        <v/>
      </c>
      <c r="J482" s="1376"/>
      <c r="K482" s="1376" t="str">
        <f t="shared" si="43"/>
        <v/>
      </c>
      <c r="L482" s="1090" t="s">
        <v>1382</v>
      </c>
      <c r="M482" s="1376">
        <v>451</v>
      </c>
      <c r="N482" s="1376"/>
    </row>
    <row r="483" spans="1:14" s="1370" customFormat="1" x14ac:dyDescent="0.25">
      <c r="A483" s="1121" t="s">
        <v>1373</v>
      </c>
      <c r="B483" s="1026" t="str">
        <f ca="1">IF('[2]Pricing Schedule'!$K$5="No",_xlfn.CONCAT(IFERROR(SUBSTITUTE(ADDRESS(1,MATCH(A483,INDIRECT("'"&amp;E483&amp;"'"&amp;"!A10:Z10"),0),4),1,""),""),21),_xlfn.CONCAT(IFERROR(SUBSTITUTE(ADDRESS(1,MATCH(A483,INDIRECT("'"&amp;E483&amp;"'"&amp;"!A10:Z10"),0),4),1,""),""),55))</f>
        <v>C55</v>
      </c>
      <c r="C483" s="1026" t="str">
        <f ca="1">IF('[2]Pricing Schedule'!$K$5="No",IFERROR(SUBSTITUTE(ADDRESS(1,MATCH(A483,INDIRECT("'"&amp;E483&amp;"'"&amp;"!A10:Z10"),0),4),1,""),""),IFERROR(SUBSTITUTE(ADDRESS(1,MATCH(A483,INDIRECT("'"&amp;E483&amp;"'"&amp;"!A10:Z10"),0),4),1,""),""))</f>
        <v>C</v>
      </c>
      <c r="D483" s="1029" t="s">
        <v>1455</v>
      </c>
      <c r="E483" s="1029" t="s">
        <v>1372</v>
      </c>
      <c r="I483" s="1026" t="str">
        <f t="shared" si="42"/>
        <v/>
      </c>
      <c r="J483" s="1376"/>
      <c r="K483" s="1376" t="str">
        <f t="shared" si="43"/>
        <v/>
      </c>
      <c r="L483" s="1090" t="s">
        <v>254</v>
      </c>
      <c r="M483" s="1376">
        <v>452</v>
      </c>
      <c r="N483" s="1376"/>
    </row>
    <row r="484" spans="1:14" s="1370" customFormat="1" x14ac:dyDescent="0.25">
      <c r="A484" s="1121" t="s">
        <v>1338</v>
      </c>
      <c r="B484" s="1026" t="str">
        <f ca="1">IF('[2]Pricing Schedule'!$K$5="No",_xlfn.CONCAT(IFERROR(SUBSTITUTE(ADDRESS(1,MATCH(A484,INDIRECT("'"&amp;E484&amp;"'"&amp;"!A10:Z10"),0),4),1,""),""),21),_xlfn.CONCAT(IFERROR(SUBSTITUTE(ADDRESS(1,MATCH(A484,INDIRECT("'"&amp;E484&amp;"'"&amp;"!A10:Z10"),0),4),1,""),""),55))</f>
        <v>H55</v>
      </c>
      <c r="C484" s="1026" t="str">
        <f ca="1">IF('[2]Pricing Schedule'!$K$5="No",IFERROR(SUBSTITUTE(ADDRESS(1,MATCH(A484,INDIRECT("'"&amp;E484&amp;"'"&amp;"!A10:Z10"),0),4),1,""),""),IFERROR(SUBSTITUTE(ADDRESS(1,MATCH(A484,INDIRECT("'"&amp;E484&amp;"'"&amp;"!A10:Z10"),0),4),1,""),""))</f>
        <v>H</v>
      </c>
      <c r="D484" s="1029" t="s">
        <v>1455</v>
      </c>
      <c r="E484" s="1029" t="s">
        <v>1372</v>
      </c>
      <c r="I484" s="1026" t="str">
        <f t="shared" si="42"/>
        <v/>
      </c>
      <c r="J484" s="1376"/>
      <c r="K484" s="1376" t="str">
        <f t="shared" si="43"/>
        <v/>
      </c>
      <c r="L484" s="1090" t="s">
        <v>1338</v>
      </c>
      <c r="M484" s="1376">
        <v>453</v>
      </c>
      <c r="N484" s="1376"/>
    </row>
    <row r="485" spans="1:14" s="1370" customFormat="1" x14ac:dyDescent="0.25">
      <c r="A485" s="1121" t="s">
        <v>1376</v>
      </c>
      <c r="B485" s="1026" t="str">
        <f ca="1">IF('[2]Pricing Schedule'!$K$5="No",_xlfn.CONCAT(IFERROR(SUBSTITUTE(ADDRESS(1,MATCH(A485,INDIRECT("'"&amp;E485&amp;"'"&amp;"!A10:Z10"),0),4),1,""),""),21),_xlfn.CONCAT(IFERROR(SUBSTITUTE(ADDRESS(1,MATCH(A485,INDIRECT("'"&amp;E485&amp;"'"&amp;"!A10:Z10"),0),4),1,""),""),55))</f>
        <v>F55</v>
      </c>
      <c r="C485" s="1026" t="str">
        <f ca="1">IF('[2]Pricing Schedule'!$K$5="No",IFERROR(SUBSTITUTE(ADDRESS(1,MATCH(A485,INDIRECT("'"&amp;E485&amp;"'"&amp;"!A10:Z10"),0),4),1,""),""),IFERROR(SUBSTITUTE(ADDRESS(1,MATCH(A485,INDIRECT("'"&amp;E485&amp;"'"&amp;"!A10:Z10"),0),4),1,""),""))</f>
        <v>F</v>
      </c>
      <c r="D485" s="1029" t="s">
        <v>1455</v>
      </c>
      <c r="E485" s="1029" t="s">
        <v>1372</v>
      </c>
      <c r="I485" s="1026" t="str">
        <f t="shared" si="42"/>
        <v/>
      </c>
      <c r="J485" s="1376"/>
      <c r="K485" s="1376" t="str">
        <f t="shared" si="43"/>
        <v/>
      </c>
      <c r="L485" s="1090" t="s">
        <v>225</v>
      </c>
      <c r="M485" s="1376">
        <v>454</v>
      </c>
      <c r="N485" s="1376"/>
    </row>
    <row r="486" spans="1:14" s="1370" customFormat="1" x14ac:dyDescent="0.25">
      <c r="A486" s="1122" t="s">
        <v>466</v>
      </c>
      <c r="B486" s="1026" t="str">
        <f ca="1">_xlfn.CONCAT(IFERROR(SUBSTITUTE(ADDRESS(1,MATCH(A486,INDIRECT("'"&amp;E486&amp;"'"&amp;"!A9:Z9"),0),4),1,""),""),27)</f>
        <v>E27</v>
      </c>
      <c r="C486" s="1026" t="str">
        <f ca="1">_xlfn.CONCAT(IFERROR(SUBSTITUTE(ADDRESS(1,MATCH(A486,INDIRECT("'"&amp;E486&amp;"'"&amp;"!A9:Z9"),0),4),1,""),""))</f>
        <v>E</v>
      </c>
      <c r="D486" s="1376" t="s">
        <v>1455</v>
      </c>
      <c r="E486" s="1029" t="s">
        <v>208</v>
      </c>
      <c r="I486" s="1026" t="str">
        <f t="shared" si="42"/>
        <v>Exclude PIM Classes Below</v>
      </c>
      <c r="J486" s="1376" t="str">
        <f t="shared" si="44"/>
        <v>455</v>
      </c>
      <c r="K486" s="1376" t="str">
        <f t="shared" si="43"/>
        <v>PIM Model</v>
      </c>
      <c r="L486" s="1090" t="s">
        <v>466</v>
      </c>
      <c r="M486" s="1376">
        <v>455</v>
      </c>
      <c r="N486" s="1376"/>
    </row>
    <row r="487" spans="1:14" s="1370" customFormat="1" x14ac:dyDescent="0.25">
      <c r="A487" s="1122" t="s">
        <v>1375</v>
      </c>
      <c r="B487" s="1026" t="str">
        <f ca="1">IF('[2]Pricing Schedule'!$K$5="No",_xlfn.CONCAT(IFERROR(SUBSTITUTE(ADDRESS(1,MATCH(A487,INDIRECT("'"&amp;E487&amp;"'"&amp;"!A10:Z10"),0),4),1,""),""),21),_xlfn.CONCAT(IFERROR(SUBSTITUTE(ADDRESS(1,MATCH(A487,INDIRECT("'"&amp;E487&amp;"'"&amp;"!A10:Z10"),0),4),1,""),""),55))</f>
        <v>E55</v>
      </c>
      <c r="C487" s="1026" t="str">
        <f ca="1">IF('[2]Pricing Schedule'!$K$5="No",IFERROR(SUBSTITUTE(ADDRESS(1,MATCH(A487,INDIRECT("'"&amp;E487&amp;"'"&amp;"!A10:Z10"),0),4),1,""),""),IFERROR(SUBSTITUTE(ADDRESS(1,MATCH(A487,INDIRECT("'"&amp;E487&amp;"'"&amp;"!A10:Z10"),0),4),1,""),""))</f>
        <v>E</v>
      </c>
      <c r="D487" s="1029" t="s">
        <v>1455</v>
      </c>
      <c r="E487" s="1029" t="s">
        <v>1372</v>
      </c>
      <c r="I487" s="1026" t="str">
        <f t="shared" si="42"/>
        <v>Special Pricing Code</v>
      </c>
      <c r="J487" s="1376" t="str">
        <f t="shared" si="44"/>
        <v>456</v>
      </c>
      <c r="K487" s="1376" t="str">
        <f t="shared" si="43"/>
        <v>Pricing Schedule</v>
      </c>
      <c r="L487" s="1090" t="s">
        <v>1375</v>
      </c>
      <c r="M487" s="1376">
        <v>456</v>
      </c>
      <c r="N487" s="1376"/>
    </row>
    <row r="488" spans="1:14" s="1370" customFormat="1" x14ac:dyDescent="0.25">
      <c r="A488" s="1122" t="s">
        <v>1377</v>
      </c>
      <c r="B488" s="1026" t="str">
        <f ca="1">IF('[2]Pricing Schedule'!$K$5="No",_xlfn.CONCAT(IFERROR(SUBSTITUTE(ADDRESS(1,MATCH(A488,INDIRECT("'"&amp;E488&amp;"'"&amp;"!A10:Z10"),0),4),1,""),""),21),_xlfn.CONCAT(IFERROR(SUBSTITUTE(ADDRESS(1,MATCH(A488,INDIRECT("'"&amp;E488&amp;"'"&amp;"!A10:Z10"),0),4),1,""),""),55))</f>
        <v>G55</v>
      </c>
      <c r="C488" s="1026" t="str">
        <f ca="1">IF('[2]Pricing Schedule'!$K$5="No",IFERROR(SUBSTITUTE(ADDRESS(1,MATCH(A488,INDIRECT("'"&amp;E488&amp;"'"&amp;"!A10:Z10"),0),4),1,""),""),IFERROR(SUBSTITUTE(ADDRESS(1,MATCH(A488,INDIRECT("'"&amp;E488&amp;"'"&amp;"!A10:Z10"),0),4),1,""),""))</f>
        <v>G</v>
      </c>
      <c r="D488" s="1029" t="s">
        <v>1455</v>
      </c>
      <c r="E488" s="1029" t="s">
        <v>1372</v>
      </c>
      <c r="I488" s="1026" t="str">
        <f t="shared" si="42"/>
        <v>EB Markup Amt</v>
      </c>
      <c r="J488" s="1376" t="str">
        <f t="shared" si="44"/>
        <v>457</v>
      </c>
      <c r="K488" s="1376" t="str">
        <f t="shared" si="43"/>
        <v>Pricing Schedule</v>
      </c>
      <c r="L488" s="1090" t="s">
        <v>1377</v>
      </c>
      <c r="M488" s="1376">
        <v>457</v>
      </c>
      <c r="N488" s="1376"/>
    </row>
    <row r="489" spans="1:14" s="1370" customFormat="1" x14ac:dyDescent="0.25">
      <c r="A489" s="1122" t="s">
        <v>1378</v>
      </c>
      <c r="B489" s="1026" t="str">
        <f ca="1">IF('[2]Pricing Schedule'!$K$5="No",_xlfn.CONCAT(IFERROR(SUBSTITUTE(ADDRESS(1,MATCH(A489,INDIRECT("'"&amp;E489&amp;"'"&amp;"!A10:Z10"),0),4),1,""),""),21),_xlfn.CONCAT(IFERROR(SUBSTITUTE(ADDRESS(1,MATCH(A489,INDIRECT("'"&amp;E489&amp;"'"&amp;"!A10:Z10"),0),4),1,""),""),55))</f>
        <v>I55</v>
      </c>
      <c r="C489" s="1026" t="str">
        <f ca="1">IF('[2]Pricing Schedule'!$K$5="No",IFERROR(SUBSTITUTE(ADDRESS(1,MATCH(A489,INDIRECT("'"&amp;E489&amp;"'"&amp;"!A10:Z10"),0),4),1,""),""),IFERROR(SUBSTITUTE(ADDRESS(1,MATCH(A489,INDIRECT("'"&amp;E489&amp;"'"&amp;"!A10:Z10"),0),4),1,""),""))</f>
        <v>I</v>
      </c>
      <c r="D489" s="1029" t="s">
        <v>1455</v>
      </c>
      <c r="E489" s="1029" t="s">
        <v>1372</v>
      </c>
      <c r="I489" s="1026" t="str">
        <f t="shared" si="42"/>
        <v>Min CS Markup Override Flag</v>
      </c>
      <c r="J489" s="1376" t="str">
        <f t="shared" si="44"/>
        <v>458</v>
      </c>
      <c r="K489" s="1376" t="str">
        <f t="shared" si="43"/>
        <v>Pricing Schedule</v>
      </c>
      <c r="L489" s="1090" t="s">
        <v>1378</v>
      </c>
      <c r="M489" s="1376">
        <v>458</v>
      </c>
      <c r="N489" s="1376"/>
    </row>
    <row r="490" spans="1:14" s="1370" customFormat="1" x14ac:dyDescent="0.25">
      <c r="A490" s="1122" t="s">
        <v>1379</v>
      </c>
      <c r="B490" s="1026" t="str">
        <f ca="1">IF('[2]Pricing Schedule'!$K$5="No",_xlfn.CONCAT(IFERROR(SUBSTITUTE(ADDRESS(1,MATCH(A490,INDIRECT("'"&amp;E490&amp;"'"&amp;"!A10:Z10"),0),4),1,""),""),21),_xlfn.CONCAT(IFERROR(SUBSTITUTE(ADDRESS(1,MATCH(A490,INDIRECT("'"&amp;E490&amp;"'"&amp;"!A10:Z10"),0),4),1,""),""),55))</f>
        <v>J55</v>
      </c>
      <c r="C490" s="1026" t="str">
        <f ca="1">IF('[2]Pricing Schedule'!$K$5="No",IFERROR(SUBSTITUTE(ADDRESS(1,MATCH(A490,INDIRECT("'"&amp;E490&amp;"'"&amp;"!A10:Z10"),0),4),1,""),""),IFERROR(SUBSTITUTE(ADDRESS(1,MATCH(A490,INDIRECT("'"&amp;E490&amp;"'"&amp;"!A10:Z10"),0),4),1,""),""))</f>
        <v>J</v>
      </c>
      <c r="D490" s="1029" t="s">
        <v>1455</v>
      </c>
      <c r="E490" s="1029" t="s">
        <v>1372</v>
      </c>
      <c r="I490" s="1026" t="str">
        <f t="shared" si="42"/>
        <v>Min CS Markup Amt</v>
      </c>
      <c r="J490" s="1376" t="str">
        <f t="shared" si="44"/>
        <v>459</v>
      </c>
      <c r="K490" s="1376" t="str">
        <f t="shared" si="43"/>
        <v>Pricing Schedule</v>
      </c>
      <c r="L490" s="1090" t="s">
        <v>1379</v>
      </c>
      <c r="M490" s="1376">
        <v>459</v>
      </c>
      <c r="N490" s="1376"/>
    </row>
    <row r="491" spans="1:14" s="1370" customFormat="1" x14ac:dyDescent="0.25">
      <c r="A491" s="1122" t="s">
        <v>1380</v>
      </c>
      <c r="B491" s="1026" t="str">
        <f ca="1">IF('[2]Pricing Schedule'!$K$5="No",_xlfn.CONCAT(IFERROR(SUBSTITUTE(ADDRESS(1,MATCH(A491,INDIRECT("'"&amp;E491&amp;"'"&amp;"!A10:Z10"),0),4),1,""),""),21),_xlfn.CONCAT(IFERROR(SUBSTITUTE(ADDRESS(1,MATCH(A491,INDIRECT("'"&amp;E491&amp;"'"&amp;"!A10:Z10"),0),4),1,""),""),55))</f>
        <v>K55</v>
      </c>
      <c r="C491" s="1026" t="str">
        <f ca="1">IF('[2]Pricing Schedule'!$K$5="No",IFERROR(SUBSTITUTE(ADDRESS(1,MATCH(A491,INDIRECT("'"&amp;E491&amp;"'"&amp;"!A10:Z10"),0),4),1,""),""),IFERROR(SUBSTITUTE(ADDRESS(1,MATCH(A491,INDIRECT("'"&amp;E491&amp;"'"&amp;"!A10:Z10"),0),4),1,""),""))</f>
        <v>K</v>
      </c>
      <c r="D491" s="1029" t="s">
        <v>1455</v>
      </c>
      <c r="E491" s="1029" t="s">
        <v>1372</v>
      </c>
      <c r="I491" s="1026" t="str">
        <f t="shared" si="42"/>
        <v>Split Case Fee Override Flag</v>
      </c>
      <c r="J491" s="1376" t="str">
        <f t="shared" si="44"/>
        <v>460</v>
      </c>
      <c r="K491" s="1376" t="str">
        <f t="shared" si="43"/>
        <v>Pricing Schedule</v>
      </c>
      <c r="L491" s="1090" t="s">
        <v>1380</v>
      </c>
      <c r="M491" s="1376">
        <v>460</v>
      </c>
      <c r="N491" s="1376"/>
    </row>
    <row r="492" spans="1:14" s="1370" customFormat="1" x14ac:dyDescent="0.25">
      <c r="A492" s="1122" t="s">
        <v>1381</v>
      </c>
      <c r="B492" s="1026" t="str">
        <f ca="1">IF('[2]Pricing Schedule'!$K$5="No",_xlfn.CONCAT(IFERROR(SUBSTITUTE(ADDRESS(1,MATCH(A492,INDIRECT("'"&amp;E492&amp;"'"&amp;"!A10:Z10"),0),4),1,""),""),21),_xlfn.CONCAT(IFERROR(SUBSTITUTE(ADDRESS(1,MATCH(A492,INDIRECT("'"&amp;E492&amp;"'"&amp;"!A10:Z10"),0),4),1,""),""),55))</f>
        <v>L55</v>
      </c>
      <c r="C492" s="1026" t="str">
        <f ca="1">IF('[2]Pricing Schedule'!$K$5="No",IFERROR(SUBSTITUTE(ADDRESS(1,MATCH(A492,INDIRECT("'"&amp;E492&amp;"'"&amp;"!A10:Z10"),0),4),1,""),""),IFERROR(SUBSTITUTE(ADDRESS(1,MATCH(A492,INDIRECT("'"&amp;E492&amp;"'"&amp;"!A10:Z10"),0),4),1,""),""))</f>
        <v>L</v>
      </c>
      <c r="D492" s="1029" t="s">
        <v>1455</v>
      </c>
      <c r="E492" s="1029" t="s">
        <v>1372</v>
      </c>
      <c r="I492" s="1026" t="str">
        <f t="shared" si="42"/>
        <v>Split Case Fee</v>
      </c>
      <c r="J492" s="1376" t="str">
        <f t="shared" si="44"/>
        <v>461</v>
      </c>
      <c r="K492" s="1376" t="str">
        <f t="shared" si="43"/>
        <v>Pricing Schedule</v>
      </c>
      <c r="L492" s="1090" t="s">
        <v>1381</v>
      </c>
      <c r="M492" s="1376">
        <v>461</v>
      </c>
      <c r="N492" s="1376"/>
    </row>
    <row r="493" spans="1:14" s="1370" customFormat="1" x14ac:dyDescent="0.25">
      <c r="A493" s="1122" t="s">
        <v>1320</v>
      </c>
      <c r="B493" s="1026" t="str">
        <f ca="1">IF('[2]Pricing Schedule'!$K$5="No",_xlfn.CONCAT(IFERROR(SUBSTITUTE(ADDRESS(1,MATCH(A493,INDIRECT("'"&amp;E493&amp;"'"&amp;"!A10:Z10"),0),4),1,""),""),21),_xlfn.CONCAT(IFERROR(SUBSTITUTE(ADDRESS(1,MATCH(A493,INDIRECT("'"&amp;E493&amp;"'"&amp;"!A10:Z10"),0),4),1,""),""),55))</f>
        <v>M55</v>
      </c>
      <c r="C493" s="1026" t="str">
        <f ca="1">IF('[2]Pricing Schedule'!$K$5="No",IFERROR(SUBSTITUTE(ADDRESS(1,MATCH(A493,INDIRECT("'"&amp;E493&amp;"'"&amp;"!A10:Z10"),0),4),1,""),""),IFERROR(SUBSTITUTE(ADDRESS(1,MATCH(A493,INDIRECT("'"&amp;E493&amp;"'"&amp;"!A10:Z10"),0),4),1,""),""))</f>
        <v>M</v>
      </c>
      <c r="D493" s="1029" t="s">
        <v>1455</v>
      </c>
      <c r="E493" s="1029" t="s">
        <v>1372</v>
      </c>
      <c r="I493" s="1026" t="str">
        <f t="shared" si="42"/>
        <v>Split Case Per</v>
      </c>
      <c r="J493" s="1376" t="str">
        <f t="shared" si="44"/>
        <v>462</v>
      </c>
      <c r="K493" s="1376" t="str">
        <f t="shared" si="43"/>
        <v>Pricing Schedule</v>
      </c>
      <c r="L493" s="1090" t="s">
        <v>1320</v>
      </c>
      <c r="M493" s="1376">
        <v>462</v>
      </c>
      <c r="N493" s="1376"/>
    </row>
    <row r="494" spans="1:14" s="1370" customFormat="1" x14ac:dyDescent="0.25">
      <c r="A494" s="1117" t="s">
        <v>1382</v>
      </c>
      <c r="B494" s="1026" t="str">
        <f ca="1">IF('[2]Pricing Schedule'!$K$5="No",_xlfn.CONCAT(IFERROR(SUBSTITUTE(ADDRESS(1,MATCH(A494,INDIRECT("'"&amp;E494&amp;"'"&amp;"!A10:Z10"),0),4),1,""),""),29),_xlfn.CONCAT(IFERROR(SUBSTITUTE(ADDRESS(1,MATCH(A494,INDIRECT("'"&amp;E494&amp;"'"&amp;"!A10:Z10"),0),4),1,""),""),63))</f>
        <v>N63</v>
      </c>
      <c r="C494" s="1026" t="str">
        <f ca="1">IF('[2]Pricing Schedule'!$K$5="No",IFERROR(SUBSTITUTE(ADDRESS(1,MATCH(A494,INDIRECT("'"&amp;E494&amp;"'"&amp;"!A10:Z10"),0),4),1,""),""),IFERROR(SUBSTITUTE(ADDRESS(1,MATCH(A494,INDIRECT("'"&amp;E494&amp;"'"&amp;"!A10:Z10"),0),4),1,""),""))</f>
        <v>N</v>
      </c>
      <c r="D494" s="1029" t="s">
        <v>1455</v>
      </c>
      <c r="E494" s="1029" t="s">
        <v>1372</v>
      </c>
      <c r="I494" s="1026" t="str">
        <f t="shared" si="42"/>
        <v/>
      </c>
      <c r="J494" s="1376"/>
      <c r="K494" s="1376" t="str">
        <f t="shared" si="43"/>
        <v/>
      </c>
      <c r="L494" s="1090" t="s">
        <v>1382</v>
      </c>
      <c r="M494" s="1376">
        <v>463</v>
      </c>
      <c r="N494" s="1376"/>
    </row>
    <row r="495" spans="1:14" s="1370" customFormat="1" x14ac:dyDescent="0.25">
      <c r="A495" s="1118" t="s">
        <v>1373</v>
      </c>
      <c r="B495" s="1026" t="str">
        <f ca="1">IF('[2]Pricing Schedule'!$K$5="No",_xlfn.CONCAT(IFERROR(SUBSTITUTE(ADDRESS(1,MATCH(A495,INDIRECT("'"&amp;E495&amp;"'"&amp;"!A10:Z10"),0),4),1,""),""),29),_xlfn.CONCAT(IFERROR(SUBSTITUTE(ADDRESS(1,MATCH(A495,INDIRECT("'"&amp;E495&amp;"'"&amp;"!A10:Z10"),0),4),1,""),""),63))</f>
        <v>C63</v>
      </c>
      <c r="C495" s="1026" t="str">
        <f ca="1">IF('[2]Pricing Schedule'!$K$5="No",IFERROR(SUBSTITUTE(ADDRESS(1,MATCH(A495,INDIRECT("'"&amp;E495&amp;"'"&amp;"!A10:Z10"),0),4),1,""),""),IFERROR(SUBSTITUTE(ADDRESS(1,MATCH(A495,INDIRECT("'"&amp;E495&amp;"'"&amp;"!A10:Z10"),0),4),1,""),""))</f>
        <v>C</v>
      </c>
      <c r="D495" s="1029" t="s">
        <v>1455</v>
      </c>
      <c r="E495" s="1029" t="s">
        <v>1372</v>
      </c>
      <c r="I495" s="1026" t="str">
        <f t="shared" si="42"/>
        <v/>
      </c>
      <c r="J495" s="1376"/>
      <c r="K495" s="1376" t="str">
        <f t="shared" si="43"/>
        <v/>
      </c>
      <c r="L495" s="1090" t="s">
        <v>254</v>
      </c>
      <c r="M495" s="1376">
        <v>464</v>
      </c>
      <c r="N495" s="1376"/>
    </row>
    <row r="496" spans="1:14" s="1370" customFormat="1" x14ac:dyDescent="0.25">
      <c r="A496" s="1118" t="s">
        <v>1338</v>
      </c>
      <c r="B496" s="1026" t="str">
        <f ca="1">IF('[2]Pricing Schedule'!$K$5="No",_xlfn.CONCAT(IFERROR(SUBSTITUTE(ADDRESS(1,MATCH(A496,INDIRECT("'"&amp;E496&amp;"'"&amp;"!A10:Z10"),0),4),1,""),""),29),_xlfn.CONCAT(IFERROR(SUBSTITUTE(ADDRESS(1,MATCH(A496,INDIRECT("'"&amp;E496&amp;"'"&amp;"!A10:Z10"),0),4),1,""),""),63))</f>
        <v>H63</v>
      </c>
      <c r="C496" s="1026" t="str">
        <f ca="1">IF('[2]Pricing Schedule'!$K$5="No",IFERROR(SUBSTITUTE(ADDRESS(1,MATCH(A496,INDIRECT("'"&amp;E496&amp;"'"&amp;"!A10:Z10"),0),4),1,""),""),IFERROR(SUBSTITUTE(ADDRESS(1,MATCH(A496,INDIRECT("'"&amp;E496&amp;"'"&amp;"!A10:Z10"),0),4),1,""),""))</f>
        <v>H</v>
      </c>
      <c r="D496" s="1029" t="s">
        <v>1455</v>
      </c>
      <c r="E496" s="1029" t="s">
        <v>1372</v>
      </c>
      <c r="I496" s="1026" t="str">
        <f t="shared" si="42"/>
        <v/>
      </c>
      <c r="J496" s="1376"/>
      <c r="K496" s="1376" t="str">
        <f t="shared" si="43"/>
        <v/>
      </c>
      <c r="L496" s="1090" t="s">
        <v>1338</v>
      </c>
      <c r="M496" s="1376">
        <v>465</v>
      </c>
      <c r="N496" s="1376"/>
    </row>
    <row r="497" spans="1:14" s="1370" customFormat="1" x14ac:dyDescent="0.25">
      <c r="A497" s="1118" t="s">
        <v>1376</v>
      </c>
      <c r="B497" s="1026" t="str">
        <f ca="1">IF('[2]Pricing Schedule'!$K$5="No",_xlfn.CONCAT(IFERROR(SUBSTITUTE(ADDRESS(1,MATCH(A497,INDIRECT("'"&amp;E497&amp;"'"&amp;"!A10:Z10"),0),4),1,""),""),29),_xlfn.CONCAT(IFERROR(SUBSTITUTE(ADDRESS(1,MATCH(A497,INDIRECT("'"&amp;E497&amp;"'"&amp;"!A10:Z10"),0),4),1,""),""),63))</f>
        <v>F63</v>
      </c>
      <c r="C497" s="1026" t="str">
        <f ca="1">IF('[2]Pricing Schedule'!$K$5="No",IFERROR(SUBSTITUTE(ADDRESS(1,MATCH(A497,INDIRECT("'"&amp;E497&amp;"'"&amp;"!A10:Z10"),0),4),1,""),""),IFERROR(SUBSTITUTE(ADDRESS(1,MATCH(A497,INDIRECT("'"&amp;E497&amp;"'"&amp;"!A10:Z10"),0),4),1,""),""))</f>
        <v>F</v>
      </c>
      <c r="D497" s="1029" t="s">
        <v>1455</v>
      </c>
      <c r="E497" s="1029" t="s">
        <v>1372</v>
      </c>
      <c r="I497" s="1026" t="str">
        <f t="shared" si="42"/>
        <v/>
      </c>
      <c r="J497" s="1376"/>
      <c r="K497" s="1376" t="str">
        <f t="shared" si="43"/>
        <v/>
      </c>
      <c r="L497" s="1090" t="s">
        <v>225</v>
      </c>
      <c r="M497" s="1376">
        <v>466</v>
      </c>
      <c r="N497" s="1376"/>
    </row>
    <row r="498" spans="1:14" s="1370" customFormat="1" x14ac:dyDescent="0.25">
      <c r="A498" s="1119" t="s">
        <v>466</v>
      </c>
      <c r="B498" s="1026" t="str">
        <f ca="1">_xlfn.CONCAT(IFERROR(SUBSTITUTE(ADDRESS(1,MATCH(A498,INDIRECT("'"&amp;E498&amp;"'"&amp;"!A9:Z9"),0),4),1,""),""),28)</f>
        <v>E28</v>
      </c>
      <c r="C498" s="1026" t="str">
        <f ca="1">_xlfn.CONCAT(IFERROR(SUBSTITUTE(ADDRESS(1,MATCH(A498,INDIRECT("'"&amp;E498&amp;"'"&amp;"!A9:Z9"),0),4),1,""),""))</f>
        <v>E</v>
      </c>
      <c r="D498" s="1376" t="s">
        <v>1455</v>
      </c>
      <c r="E498" s="1029" t="s">
        <v>208</v>
      </c>
      <c r="I498" s="1026" t="str">
        <f t="shared" si="42"/>
        <v>Exclude PIM Classes Below</v>
      </c>
      <c r="J498" s="1376" t="str">
        <f t="shared" si="44"/>
        <v>467</v>
      </c>
      <c r="K498" s="1376" t="str">
        <f t="shared" si="43"/>
        <v>PIM Model</v>
      </c>
      <c r="L498" s="1090" t="s">
        <v>466</v>
      </c>
      <c r="M498" s="1376">
        <v>467</v>
      </c>
      <c r="N498" s="1376"/>
    </row>
    <row r="499" spans="1:14" s="1370" customFormat="1" x14ac:dyDescent="0.25">
      <c r="A499" s="1119" t="s">
        <v>1375</v>
      </c>
      <c r="B499" s="1026" t="str">
        <f ca="1">IF('[2]Pricing Schedule'!$K$5="No",_xlfn.CONCAT(IFERROR(SUBSTITUTE(ADDRESS(1,MATCH(A499,INDIRECT("'"&amp;E499&amp;"'"&amp;"!A10:Z10"),0),4),1,""),""),29),_xlfn.CONCAT(IFERROR(SUBSTITUTE(ADDRESS(1,MATCH(A499,INDIRECT("'"&amp;E499&amp;"'"&amp;"!A10:Z10"),0),4),1,""),""),63))</f>
        <v>E63</v>
      </c>
      <c r="C499" s="1026" t="str">
        <f ca="1">IF('[2]Pricing Schedule'!$K$5="No",IFERROR(SUBSTITUTE(ADDRESS(1,MATCH(A499,INDIRECT("'"&amp;E499&amp;"'"&amp;"!A10:Z10"),0),4),1,""),""),IFERROR(SUBSTITUTE(ADDRESS(1,MATCH(A499,INDIRECT("'"&amp;E499&amp;"'"&amp;"!A10:Z10"),0),4),1,""),""))</f>
        <v>E</v>
      </c>
      <c r="D499" s="1029" t="s">
        <v>1455</v>
      </c>
      <c r="E499" s="1029" t="s">
        <v>1372</v>
      </c>
      <c r="I499" s="1026" t="str">
        <f t="shared" si="42"/>
        <v>Special Pricing Code</v>
      </c>
      <c r="J499" s="1376" t="str">
        <f t="shared" si="44"/>
        <v>468</v>
      </c>
      <c r="K499" s="1376" t="str">
        <f t="shared" si="43"/>
        <v>Pricing Schedule</v>
      </c>
      <c r="L499" s="1090" t="s">
        <v>1375</v>
      </c>
      <c r="M499" s="1376">
        <v>468</v>
      </c>
      <c r="N499" s="1376"/>
    </row>
    <row r="500" spans="1:14" s="1370" customFormat="1" x14ac:dyDescent="0.25">
      <c r="A500" s="1119" t="s">
        <v>1377</v>
      </c>
      <c r="B500" s="1026" t="str">
        <f ca="1">IF('[2]Pricing Schedule'!$K$5="No",_xlfn.CONCAT(IFERROR(SUBSTITUTE(ADDRESS(1,MATCH(A500,INDIRECT("'"&amp;E500&amp;"'"&amp;"!A10:Z10"),0),4),1,""),""),29),_xlfn.CONCAT(IFERROR(SUBSTITUTE(ADDRESS(1,MATCH(A500,INDIRECT("'"&amp;E500&amp;"'"&amp;"!A10:Z10"),0),4),1,""),""),63))</f>
        <v>G63</v>
      </c>
      <c r="C500" s="1026" t="str">
        <f ca="1">IF('[2]Pricing Schedule'!$K$5="No",IFERROR(SUBSTITUTE(ADDRESS(1,MATCH(A500,INDIRECT("'"&amp;E500&amp;"'"&amp;"!A10:Z10"),0),4),1,""),""),IFERROR(SUBSTITUTE(ADDRESS(1,MATCH(A500,INDIRECT("'"&amp;E500&amp;"'"&amp;"!A10:Z10"),0),4),1,""),""))</f>
        <v>G</v>
      </c>
      <c r="D500" s="1029" t="s">
        <v>1455</v>
      </c>
      <c r="E500" s="1029" t="s">
        <v>1372</v>
      </c>
      <c r="I500" s="1026" t="str">
        <f t="shared" si="42"/>
        <v>EB Markup Amt</v>
      </c>
      <c r="J500" s="1376" t="str">
        <f t="shared" si="44"/>
        <v>469</v>
      </c>
      <c r="K500" s="1376" t="str">
        <f t="shared" si="43"/>
        <v>Pricing Schedule</v>
      </c>
      <c r="L500" s="1090" t="s">
        <v>1377</v>
      </c>
      <c r="M500" s="1376">
        <v>469</v>
      </c>
      <c r="N500" s="1376"/>
    </row>
    <row r="501" spans="1:14" s="1370" customFormat="1" x14ac:dyDescent="0.25">
      <c r="A501" s="1119" t="s">
        <v>1378</v>
      </c>
      <c r="B501" s="1026" t="str">
        <f ca="1">IF('[2]Pricing Schedule'!$K$5="No",_xlfn.CONCAT(IFERROR(SUBSTITUTE(ADDRESS(1,MATCH(A501,INDIRECT("'"&amp;E501&amp;"'"&amp;"!A10:Z10"),0),4),1,""),""),29),_xlfn.CONCAT(IFERROR(SUBSTITUTE(ADDRESS(1,MATCH(A501,INDIRECT("'"&amp;E501&amp;"'"&amp;"!A10:Z10"),0),4),1,""),""),63))</f>
        <v>I63</v>
      </c>
      <c r="C501" s="1026" t="str">
        <f ca="1">IF('[2]Pricing Schedule'!$K$5="No",IFERROR(SUBSTITUTE(ADDRESS(1,MATCH(A501,INDIRECT("'"&amp;E501&amp;"'"&amp;"!A10:Z10"),0),4),1,""),""),IFERROR(SUBSTITUTE(ADDRESS(1,MATCH(A501,INDIRECT("'"&amp;E501&amp;"'"&amp;"!A10:Z10"),0),4),1,""),""))</f>
        <v>I</v>
      </c>
      <c r="D501" s="1029" t="s">
        <v>1455</v>
      </c>
      <c r="E501" s="1029" t="s">
        <v>1372</v>
      </c>
      <c r="I501" s="1026" t="str">
        <f t="shared" si="42"/>
        <v>Min CS Markup Override Flag</v>
      </c>
      <c r="J501" s="1376" t="str">
        <f t="shared" si="44"/>
        <v>470</v>
      </c>
      <c r="K501" s="1376" t="str">
        <f t="shared" si="43"/>
        <v>Pricing Schedule</v>
      </c>
      <c r="L501" s="1090" t="s">
        <v>1378</v>
      </c>
      <c r="M501" s="1376">
        <v>470</v>
      </c>
      <c r="N501" s="1376"/>
    </row>
    <row r="502" spans="1:14" s="1370" customFormat="1" x14ac:dyDescent="0.25">
      <c r="A502" s="1119" t="s">
        <v>1379</v>
      </c>
      <c r="B502" s="1026" t="str">
        <f ca="1">IF('[2]Pricing Schedule'!$K$5="No",_xlfn.CONCAT(IFERROR(SUBSTITUTE(ADDRESS(1,MATCH(A502,INDIRECT("'"&amp;E502&amp;"'"&amp;"!A10:Z10"),0),4),1,""),""),29),_xlfn.CONCAT(IFERROR(SUBSTITUTE(ADDRESS(1,MATCH(A502,INDIRECT("'"&amp;E502&amp;"'"&amp;"!A10:Z10"),0),4),1,""),""),63))</f>
        <v>J63</v>
      </c>
      <c r="C502" s="1026" t="str">
        <f ca="1">IF('[2]Pricing Schedule'!$K$5="No",IFERROR(SUBSTITUTE(ADDRESS(1,MATCH(A502,INDIRECT("'"&amp;E502&amp;"'"&amp;"!A10:Z10"),0),4),1,""),""),IFERROR(SUBSTITUTE(ADDRESS(1,MATCH(A502,INDIRECT("'"&amp;E502&amp;"'"&amp;"!A10:Z10"),0),4),1,""),""))</f>
        <v>J</v>
      </c>
      <c r="D502" s="1029" t="s">
        <v>1455</v>
      </c>
      <c r="E502" s="1029" t="s">
        <v>1372</v>
      </c>
      <c r="I502" s="1026" t="str">
        <f t="shared" si="42"/>
        <v>Min CS Markup Amt</v>
      </c>
      <c r="J502" s="1376" t="str">
        <f t="shared" si="44"/>
        <v>471</v>
      </c>
      <c r="K502" s="1376" t="str">
        <f t="shared" si="43"/>
        <v>Pricing Schedule</v>
      </c>
      <c r="L502" s="1090" t="s">
        <v>1379</v>
      </c>
      <c r="M502" s="1376">
        <v>471</v>
      </c>
      <c r="N502" s="1376"/>
    </row>
    <row r="503" spans="1:14" s="1370" customFormat="1" x14ac:dyDescent="0.25">
      <c r="A503" s="1119" t="s">
        <v>1380</v>
      </c>
      <c r="B503" s="1026" t="str">
        <f ca="1">IF('[2]Pricing Schedule'!$K$5="No",_xlfn.CONCAT(IFERROR(SUBSTITUTE(ADDRESS(1,MATCH(A503,INDIRECT("'"&amp;E503&amp;"'"&amp;"!A10:Z10"),0),4),1,""),""),29),_xlfn.CONCAT(IFERROR(SUBSTITUTE(ADDRESS(1,MATCH(A503,INDIRECT("'"&amp;E503&amp;"'"&amp;"!A10:Z10"),0),4),1,""),""),63))</f>
        <v>K63</v>
      </c>
      <c r="C503" s="1026" t="str">
        <f ca="1">IF('[2]Pricing Schedule'!$K$5="No",IFERROR(SUBSTITUTE(ADDRESS(1,MATCH(A503,INDIRECT("'"&amp;E503&amp;"'"&amp;"!A10:Z10"),0),4),1,""),""),IFERROR(SUBSTITUTE(ADDRESS(1,MATCH(A503,INDIRECT("'"&amp;E503&amp;"'"&amp;"!A10:Z10"),0),4),1,""),""))</f>
        <v>K</v>
      </c>
      <c r="D503" s="1029" t="s">
        <v>1455</v>
      </c>
      <c r="E503" s="1029" t="s">
        <v>1372</v>
      </c>
      <c r="I503" s="1026" t="str">
        <f t="shared" si="42"/>
        <v>Split Case Fee Override Flag</v>
      </c>
      <c r="J503" s="1376" t="str">
        <f t="shared" si="44"/>
        <v>472</v>
      </c>
      <c r="K503" s="1376" t="str">
        <f t="shared" si="43"/>
        <v>Pricing Schedule</v>
      </c>
      <c r="L503" s="1090" t="s">
        <v>1380</v>
      </c>
      <c r="M503" s="1376">
        <v>472</v>
      </c>
      <c r="N503" s="1376"/>
    </row>
    <row r="504" spans="1:14" s="1370" customFormat="1" x14ac:dyDescent="0.25">
      <c r="A504" s="1119" t="s">
        <v>1381</v>
      </c>
      <c r="B504" s="1026" t="str">
        <f ca="1">IF('[2]Pricing Schedule'!$K$5="No",_xlfn.CONCAT(IFERROR(SUBSTITUTE(ADDRESS(1,MATCH(A504,INDIRECT("'"&amp;E504&amp;"'"&amp;"!A10:Z10"),0),4),1,""),""),29),_xlfn.CONCAT(IFERROR(SUBSTITUTE(ADDRESS(1,MATCH(A504,INDIRECT("'"&amp;E504&amp;"'"&amp;"!A10:Z10"),0),4),1,""),""),63))</f>
        <v>L63</v>
      </c>
      <c r="C504" s="1026" t="str">
        <f ca="1">IF('[2]Pricing Schedule'!$K$5="No",IFERROR(SUBSTITUTE(ADDRESS(1,MATCH(A504,INDIRECT("'"&amp;E504&amp;"'"&amp;"!A10:Z10"),0),4),1,""),""),IFERROR(SUBSTITUTE(ADDRESS(1,MATCH(A504,INDIRECT("'"&amp;E504&amp;"'"&amp;"!A10:Z10"),0),4),1,""),""))</f>
        <v>L</v>
      </c>
      <c r="D504" s="1029" t="s">
        <v>1455</v>
      </c>
      <c r="E504" s="1029" t="s">
        <v>1372</v>
      </c>
      <c r="I504" s="1026" t="str">
        <f t="shared" si="42"/>
        <v>Split Case Fee</v>
      </c>
      <c r="J504" s="1376" t="str">
        <f t="shared" si="44"/>
        <v>473</v>
      </c>
      <c r="K504" s="1376" t="str">
        <f t="shared" si="43"/>
        <v>Pricing Schedule</v>
      </c>
      <c r="L504" s="1090" t="s">
        <v>1381</v>
      </c>
      <c r="M504" s="1376">
        <v>473</v>
      </c>
      <c r="N504" s="1376"/>
    </row>
    <row r="505" spans="1:14" s="1370" customFormat="1" x14ac:dyDescent="0.25">
      <c r="A505" s="1119" t="s">
        <v>1320</v>
      </c>
      <c r="B505" s="1026" t="str">
        <f ca="1">IF('[2]Pricing Schedule'!$K$5="No",_xlfn.CONCAT(IFERROR(SUBSTITUTE(ADDRESS(1,MATCH(A505,INDIRECT("'"&amp;E505&amp;"'"&amp;"!A10:Z10"),0),4),1,""),""),29),_xlfn.CONCAT(IFERROR(SUBSTITUTE(ADDRESS(1,MATCH(A505,INDIRECT("'"&amp;E505&amp;"'"&amp;"!A10:Z10"),0),4),1,""),""),63))</f>
        <v>M63</v>
      </c>
      <c r="C505" s="1026" t="str">
        <f ca="1">IF('[2]Pricing Schedule'!$K$5="No",IFERROR(SUBSTITUTE(ADDRESS(1,MATCH(A505,INDIRECT("'"&amp;E505&amp;"'"&amp;"!A10:Z10"),0),4),1,""),""),IFERROR(SUBSTITUTE(ADDRESS(1,MATCH(A505,INDIRECT("'"&amp;E505&amp;"'"&amp;"!A10:Z10"),0),4),1,""),""))</f>
        <v>M</v>
      </c>
      <c r="D505" s="1029" t="s">
        <v>1455</v>
      </c>
      <c r="E505" s="1029" t="s">
        <v>1372</v>
      </c>
      <c r="I505" s="1026" t="str">
        <f t="shared" si="42"/>
        <v>Split Case Per</v>
      </c>
      <c r="J505" s="1376" t="str">
        <f t="shared" si="44"/>
        <v>474</v>
      </c>
      <c r="K505" s="1376" t="str">
        <f t="shared" si="43"/>
        <v>Pricing Schedule</v>
      </c>
      <c r="L505" s="1090" t="s">
        <v>1320</v>
      </c>
      <c r="M505" s="1376">
        <v>474</v>
      </c>
      <c r="N505" s="1376"/>
    </row>
    <row r="506" spans="1:14" s="1370" customFormat="1" x14ac:dyDescent="0.25">
      <c r="A506" s="1120" t="s">
        <v>1382</v>
      </c>
      <c r="B506" s="1026" t="str">
        <f ca="1">IF('[2]Pricing Schedule'!$K$5="No",_xlfn.CONCAT(IFERROR(SUBSTITUTE(ADDRESS(1,MATCH(A506,INDIRECT("'"&amp;E506&amp;"'"&amp;"!A10:Z10"),0),4),1,""),""),27),_xlfn.CONCAT(IFERROR(SUBSTITUTE(ADDRESS(1,MATCH(A506,INDIRECT("'"&amp;E506&amp;"'"&amp;"!A10:Z10"),0),4),1,""),""),61))</f>
        <v>N61</v>
      </c>
      <c r="C506" s="1026" t="str">
        <f ca="1">IF('[2]Pricing Schedule'!$K$5="No",IFERROR(SUBSTITUTE(ADDRESS(1,MATCH(A506,INDIRECT("'"&amp;E506&amp;"'"&amp;"!A10:Z10"),0),4),1,""),""),IFERROR(SUBSTITUTE(ADDRESS(1,MATCH(A506,INDIRECT("'"&amp;E506&amp;"'"&amp;"!A10:Z10"),0),4),1,""),""))</f>
        <v>N</v>
      </c>
      <c r="D506" s="1029" t="s">
        <v>1455</v>
      </c>
      <c r="E506" s="1029" t="s">
        <v>1372</v>
      </c>
      <c r="I506" s="1026" t="str">
        <f t="shared" si="42"/>
        <v/>
      </c>
      <c r="J506" s="1376"/>
      <c r="K506" s="1376" t="str">
        <f t="shared" si="43"/>
        <v/>
      </c>
      <c r="L506" s="1090" t="s">
        <v>1382</v>
      </c>
      <c r="M506" s="1376">
        <v>475</v>
      </c>
      <c r="N506" s="1376"/>
    </row>
    <row r="507" spans="1:14" s="1370" customFormat="1" x14ac:dyDescent="0.25">
      <c r="A507" s="1121" t="s">
        <v>1373</v>
      </c>
      <c r="B507" s="1026" t="str">
        <f ca="1">IF('[2]Pricing Schedule'!$K$5="No",_xlfn.CONCAT(IFERROR(SUBSTITUTE(ADDRESS(1,MATCH(A507,INDIRECT("'"&amp;E507&amp;"'"&amp;"!A10:Z10"),0),4),1,""),""),27),_xlfn.CONCAT(IFERROR(SUBSTITUTE(ADDRESS(1,MATCH(A507,INDIRECT("'"&amp;E507&amp;"'"&amp;"!A10:Z10"),0),4),1,""),""),61))</f>
        <v>C61</v>
      </c>
      <c r="C507" s="1026" t="str">
        <f ca="1">IF('[2]Pricing Schedule'!$K$5="No",IFERROR(SUBSTITUTE(ADDRESS(1,MATCH(A507,INDIRECT("'"&amp;E507&amp;"'"&amp;"!A10:Z10"),0),4),1,""),""),IFERROR(SUBSTITUTE(ADDRESS(1,MATCH(A507,INDIRECT("'"&amp;E507&amp;"'"&amp;"!A10:Z10"),0),4),1,""),""))</f>
        <v>C</v>
      </c>
      <c r="D507" s="1029" t="s">
        <v>1455</v>
      </c>
      <c r="E507" s="1029" t="s">
        <v>1372</v>
      </c>
      <c r="I507" s="1026" t="str">
        <f t="shared" si="42"/>
        <v/>
      </c>
      <c r="J507" s="1376"/>
      <c r="K507" s="1376" t="str">
        <f t="shared" si="43"/>
        <v/>
      </c>
      <c r="L507" s="1090" t="s">
        <v>254</v>
      </c>
      <c r="M507" s="1376">
        <v>476</v>
      </c>
      <c r="N507" s="1376"/>
    </row>
    <row r="508" spans="1:14" s="1370" customFormat="1" x14ac:dyDescent="0.25">
      <c r="A508" s="1121" t="s">
        <v>1338</v>
      </c>
      <c r="B508" s="1026" t="str">
        <f ca="1">IF('[2]Pricing Schedule'!$K$5="No",_xlfn.CONCAT(IFERROR(SUBSTITUTE(ADDRESS(1,MATCH(A508,INDIRECT("'"&amp;E508&amp;"'"&amp;"!A10:Z10"),0),4),1,""),""),27),_xlfn.CONCAT(IFERROR(SUBSTITUTE(ADDRESS(1,MATCH(A508,INDIRECT("'"&amp;E508&amp;"'"&amp;"!A10:Z10"),0),4),1,""),""),61))</f>
        <v>H61</v>
      </c>
      <c r="C508" s="1026" t="str">
        <f ca="1">IF('[2]Pricing Schedule'!$K$5="No",IFERROR(SUBSTITUTE(ADDRESS(1,MATCH(A508,INDIRECT("'"&amp;E508&amp;"'"&amp;"!A10:Z10"),0),4),1,""),""),IFERROR(SUBSTITUTE(ADDRESS(1,MATCH(A508,INDIRECT("'"&amp;E508&amp;"'"&amp;"!A10:Z10"),0),4),1,""),""))</f>
        <v>H</v>
      </c>
      <c r="D508" s="1029" t="s">
        <v>1455</v>
      </c>
      <c r="E508" s="1029" t="s">
        <v>1372</v>
      </c>
      <c r="I508" s="1026" t="str">
        <f t="shared" si="42"/>
        <v/>
      </c>
      <c r="J508" s="1376"/>
      <c r="K508" s="1376" t="str">
        <f t="shared" si="43"/>
        <v/>
      </c>
      <c r="L508" s="1090" t="s">
        <v>1338</v>
      </c>
      <c r="M508" s="1376">
        <v>477</v>
      </c>
      <c r="N508" s="1376"/>
    </row>
    <row r="509" spans="1:14" s="1370" customFormat="1" x14ac:dyDescent="0.25">
      <c r="A509" s="1121" t="s">
        <v>1376</v>
      </c>
      <c r="B509" s="1026" t="str">
        <f ca="1">IF('[2]Pricing Schedule'!$K$5="No",_xlfn.CONCAT(IFERROR(SUBSTITUTE(ADDRESS(1,MATCH(A509,INDIRECT("'"&amp;E509&amp;"'"&amp;"!A10:Z10"),0),4),1,""),""),27),_xlfn.CONCAT(IFERROR(SUBSTITUTE(ADDRESS(1,MATCH(A509,INDIRECT("'"&amp;E509&amp;"'"&amp;"!A10:Z10"),0),4),1,""),""),61))</f>
        <v>F61</v>
      </c>
      <c r="C509" s="1026" t="str">
        <f ca="1">IF('[2]Pricing Schedule'!$K$5="No",IFERROR(SUBSTITUTE(ADDRESS(1,MATCH(A509,INDIRECT("'"&amp;E509&amp;"'"&amp;"!A10:Z10"),0),4),1,""),""),IFERROR(SUBSTITUTE(ADDRESS(1,MATCH(A509,INDIRECT("'"&amp;E509&amp;"'"&amp;"!A10:Z10"),0),4),1,""),""))</f>
        <v>F</v>
      </c>
      <c r="D509" s="1029" t="s">
        <v>1455</v>
      </c>
      <c r="E509" s="1029" t="s">
        <v>1372</v>
      </c>
      <c r="I509" s="1026" t="str">
        <f t="shared" si="42"/>
        <v/>
      </c>
      <c r="J509" s="1376"/>
      <c r="K509" s="1376" t="str">
        <f t="shared" si="43"/>
        <v/>
      </c>
      <c r="L509" s="1090" t="s">
        <v>225</v>
      </c>
      <c r="M509" s="1376">
        <v>478</v>
      </c>
      <c r="N509" s="1376"/>
    </row>
    <row r="510" spans="1:14" s="1370" customFormat="1" x14ac:dyDescent="0.25">
      <c r="A510" s="1122" t="s">
        <v>466</v>
      </c>
      <c r="B510" s="1026" t="str">
        <f ca="1">_xlfn.CONCAT(IFERROR(SUBSTITUTE(ADDRESS(1,MATCH(A510,INDIRECT("'"&amp;E510&amp;"'"&amp;"!A9:Z9"),0),4),1,""),""),29)</f>
        <v>E29</v>
      </c>
      <c r="C510" s="1026" t="str">
        <f ca="1">_xlfn.CONCAT(IFERROR(SUBSTITUTE(ADDRESS(1,MATCH(A510,INDIRECT("'"&amp;E510&amp;"'"&amp;"!A9:Z9"),0),4),1,""),""))</f>
        <v>E</v>
      </c>
      <c r="D510" s="1376" t="s">
        <v>1455</v>
      </c>
      <c r="E510" s="1029" t="s">
        <v>208</v>
      </c>
      <c r="I510" s="1026" t="str">
        <f t="shared" si="42"/>
        <v>Exclude PIM Classes Below</v>
      </c>
      <c r="J510" s="1376" t="str">
        <f t="shared" si="44"/>
        <v>479</v>
      </c>
      <c r="K510" s="1376" t="str">
        <f t="shared" si="43"/>
        <v>PIM Model</v>
      </c>
      <c r="L510" s="1090" t="s">
        <v>466</v>
      </c>
      <c r="M510" s="1376">
        <v>479</v>
      </c>
      <c r="N510" s="1376"/>
    </row>
    <row r="511" spans="1:14" s="1370" customFormat="1" x14ac:dyDescent="0.25">
      <c r="A511" s="1122" t="s">
        <v>1375</v>
      </c>
      <c r="B511" s="1026" t="str">
        <f ca="1">IF('[2]Pricing Schedule'!$K$5="No",_xlfn.CONCAT(IFERROR(SUBSTITUTE(ADDRESS(1,MATCH(A511,INDIRECT("'"&amp;E511&amp;"'"&amp;"!A10:Z10"),0),4),1,""),""),27),_xlfn.CONCAT(IFERROR(SUBSTITUTE(ADDRESS(1,MATCH(A511,INDIRECT("'"&amp;E511&amp;"'"&amp;"!A10:Z10"),0),4),1,""),""),61))</f>
        <v>E61</v>
      </c>
      <c r="C511" s="1026" t="str">
        <f ca="1">IF('[2]Pricing Schedule'!$K$5="No",IFERROR(SUBSTITUTE(ADDRESS(1,MATCH(A511,INDIRECT("'"&amp;E511&amp;"'"&amp;"!A10:Z10"),0),4),1,""),""),IFERROR(SUBSTITUTE(ADDRESS(1,MATCH(A511,INDIRECT("'"&amp;E511&amp;"'"&amp;"!A10:Z10"),0),4),1,""),""))</f>
        <v>E</v>
      </c>
      <c r="D511" s="1029" t="s">
        <v>1455</v>
      </c>
      <c r="E511" s="1029" t="s">
        <v>1372</v>
      </c>
      <c r="I511" s="1026" t="str">
        <f t="shared" si="42"/>
        <v>Special Pricing Code</v>
      </c>
      <c r="J511" s="1376" t="str">
        <f t="shared" si="44"/>
        <v>480</v>
      </c>
      <c r="K511" s="1376" t="str">
        <f t="shared" si="43"/>
        <v>Pricing Schedule</v>
      </c>
      <c r="L511" s="1090" t="s">
        <v>1375</v>
      </c>
      <c r="M511" s="1376">
        <v>480</v>
      </c>
      <c r="N511" s="1376"/>
    </row>
    <row r="512" spans="1:14" s="1370" customFormat="1" x14ac:dyDescent="0.25">
      <c r="A512" s="1122" t="s">
        <v>1377</v>
      </c>
      <c r="B512" s="1026" t="str">
        <f ca="1">IF('[2]Pricing Schedule'!$K$5="No",_xlfn.CONCAT(IFERROR(SUBSTITUTE(ADDRESS(1,MATCH(A512,INDIRECT("'"&amp;E512&amp;"'"&amp;"!A10:Z10"),0),4),1,""),""),27),_xlfn.CONCAT(IFERROR(SUBSTITUTE(ADDRESS(1,MATCH(A512,INDIRECT("'"&amp;E512&amp;"'"&amp;"!A10:Z10"),0),4),1,""),""),61))</f>
        <v>G61</v>
      </c>
      <c r="C512" s="1026" t="str">
        <f ca="1">IF('[2]Pricing Schedule'!$K$5="No",IFERROR(SUBSTITUTE(ADDRESS(1,MATCH(A512,INDIRECT("'"&amp;E512&amp;"'"&amp;"!A10:Z10"),0),4),1,""),""),IFERROR(SUBSTITUTE(ADDRESS(1,MATCH(A512,INDIRECT("'"&amp;E512&amp;"'"&amp;"!A10:Z10"),0),4),1,""),""))</f>
        <v>G</v>
      </c>
      <c r="D512" s="1029" t="s">
        <v>1455</v>
      </c>
      <c r="E512" s="1029" t="s">
        <v>1372</v>
      </c>
      <c r="I512" s="1026" t="str">
        <f t="shared" si="42"/>
        <v>EB Markup Amt</v>
      </c>
      <c r="J512" s="1376" t="str">
        <f t="shared" si="44"/>
        <v>481</v>
      </c>
      <c r="K512" s="1376" t="str">
        <f t="shared" si="43"/>
        <v>Pricing Schedule</v>
      </c>
      <c r="L512" s="1090" t="s">
        <v>1377</v>
      </c>
      <c r="M512" s="1376">
        <v>481</v>
      </c>
      <c r="N512" s="1376"/>
    </row>
    <row r="513" spans="1:14" s="1370" customFormat="1" x14ac:dyDescent="0.25">
      <c r="A513" s="1122" t="s">
        <v>1378</v>
      </c>
      <c r="B513" s="1026" t="str">
        <f ca="1">IF('[2]Pricing Schedule'!$K$5="No",_xlfn.CONCAT(IFERROR(SUBSTITUTE(ADDRESS(1,MATCH(A513,INDIRECT("'"&amp;E513&amp;"'"&amp;"!A10:Z10"),0),4),1,""),""),27),_xlfn.CONCAT(IFERROR(SUBSTITUTE(ADDRESS(1,MATCH(A513,INDIRECT("'"&amp;E513&amp;"'"&amp;"!A10:Z10"),0),4),1,""),""),61))</f>
        <v>I61</v>
      </c>
      <c r="C513" s="1026" t="str">
        <f ca="1">IF('[2]Pricing Schedule'!$K$5="No",IFERROR(SUBSTITUTE(ADDRESS(1,MATCH(A513,INDIRECT("'"&amp;E513&amp;"'"&amp;"!A10:Z10"),0),4),1,""),""),IFERROR(SUBSTITUTE(ADDRESS(1,MATCH(A513,INDIRECT("'"&amp;E513&amp;"'"&amp;"!A10:Z10"),0),4),1,""),""))</f>
        <v>I</v>
      </c>
      <c r="D513" s="1029" t="s">
        <v>1455</v>
      </c>
      <c r="E513" s="1029" t="s">
        <v>1372</v>
      </c>
      <c r="I513" s="1026" t="str">
        <f t="shared" si="42"/>
        <v>Min CS Markup Override Flag</v>
      </c>
      <c r="J513" s="1376" t="str">
        <f t="shared" si="44"/>
        <v>482</v>
      </c>
      <c r="K513" s="1376" t="str">
        <f t="shared" si="43"/>
        <v>Pricing Schedule</v>
      </c>
      <c r="L513" s="1090" t="s">
        <v>1378</v>
      </c>
      <c r="M513" s="1376">
        <v>482</v>
      </c>
      <c r="N513" s="1376"/>
    </row>
    <row r="514" spans="1:14" s="1370" customFormat="1" x14ac:dyDescent="0.25">
      <c r="A514" s="1122" t="s">
        <v>1379</v>
      </c>
      <c r="B514" s="1026" t="str">
        <f ca="1">IF('[2]Pricing Schedule'!$K$5="No",_xlfn.CONCAT(IFERROR(SUBSTITUTE(ADDRESS(1,MATCH(A514,INDIRECT("'"&amp;E514&amp;"'"&amp;"!A10:Z10"),0),4),1,""),""),27),_xlfn.CONCAT(IFERROR(SUBSTITUTE(ADDRESS(1,MATCH(A514,INDIRECT("'"&amp;E514&amp;"'"&amp;"!A10:Z10"),0),4),1,""),""),61))</f>
        <v>J61</v>
      </c>
      <c r="C514" s="1026" t="str">
        <f ca="1">IF('[2]Pricing Schedule'!$K$5="No",IFERROR(SUBSTITUTE(ADDRESS(1,MATCH(A514,INDIRECT("'"&amp;E514&amp;"'"&amp;"!A10:Z10"),0),4),1,""),""),IFERROR(SUBSTITUTE(ADDRESS(1,MATCH(A514,INDIRECT("'"&amp;E514&amp;"'"&amp;"!A10:Z10"),0),4),1,""),""))</f>
        <v>J</v>
      </c>
      <c r="D514" s="1029" t="s">
        <v>1455</v>
      </c>
      <c r="E514" s="1029" t="s">
        <v>1372</v>
      </c>
      <c r="I514" s="1026" t="str">
        <f t="shared" si="42"/>
        <v>Min CS Markup Amt</v>
      </c>
      <c r="J514" s="1376" t="str">
        <f t="shared" si="44"/>
        <v>483</v>
      </c>
      <c r="K514" s="1376" t="str">
        <f t="shared" si="43"/>
        <v>Pricing Schedule</v>
      </c>
      <c r="L514" s="1090" t="s">
        <v>1379</v>
      </c>
      <c r="M514" s="1376">
        <v>483</v>
      </c>
      <c r="N514" s="1376"/>
    </row>
    <row r="515" spans="1:14" s="1370" customFormat="1" x14ac:dyDescent="0.25">
      <c r="A515" s="1122" t="s">
        <v>1380</v>
      </c>
      <c r="B515" s="1026" t="str">
        <f ca="1">IF('[2]Pricing Schedule'!$K$5="No",_xlfn.CONCAT(IFERROR(SUBSTITUTE(ADDRESS(1,MATCH(A515,INDIRECT("'"&amp;E515&amp;"'"&amp;"!A10:Z10"),0),4),1,""),""),27),_xlfn.CONCAT(IFERROR(SUBSTITUTE(ADDRESS(1,MATCH(A515,INDIRECT("'"&amp;E515&amp;"'"&amp;"!A10:Z10"),0),4),1,""),""),61))</f>
        <v>K61</v>
      </c>
      <c r="C515" s="1026" t="str">
        <f ca="1">IF('[2]Pricing Schedule'!$K$5="No",IFERROR(SUBSTITUTE(ADDRESS(1,MATCH(A515,INDIRECT("'"&amp;E515&amp;"'"&amp;"!A10:Z10"),0),4),1,""),""),IFERROR(SUBSTITUTE(ADDRESS(1,MATCH(A515,INDIRECT("'"&amp;E515&amp;"'"&amp;"!A10:Z10"),0),4),1,""),""))</f>
        <v>K</v>
      </c>
      <c r="D515" s="1029" t="s">
        <v>1455</v>
      </c>
      <c r="E515" s="1029" t="s">
        <v>1372</v>
      </c>
      <c r="I515" s="1026" t="str">
        <f t="shared" si="42"/>
        <v>Split Case Fee Override Flag</v>
      </c>
      <c r="J515" s="1376" t="str">
        <f t="shared" si="44"/>
        <v>484</v>
      </c>
      <c r="K515" s="1376" t="str">
        <f t="shared" si="43"/>
        <v>Pricing Schedule</v>
      </c>
      <c r="L515" s="1090" t="s">
        <v>1380</v>
      </c>
      <c r="M515" s="1376">
        <v>484</v>
      </c>
      <c r="N515" s="1376"/>
    </row>
    <row r="516" spans="1:14" s="1370" customFormat="1" x14ac:dyDescent="0.25">
      <c r="A516" s="1122" t="s">
        <v>1381</v>
      </c>
      <c r="B516" s="1026" t="str">
        <f ca="1">IF('[2]Pricing Schedule'!$K$5="No",_xlfn.CONCAT(IFERROR(SUBSTITUTE(ADDRESS(1,MATCH(A516,INDIRECT("'"&amp;E516&amp;"'"&amp;"!A10:Z10"),0),4),1,""),""),27),_xlfn.CONCAT(IFERROR(SUBSTITUTE(ADDRESS(1,MATCH(A516,INDIRECT("'"&amp;E516&amp;"'"&amp;"!A10:Z10"),0),4),1,""),""),61))</f>
        <v>L61</v>
      </c>
      <c r="C516" s="1026" t="str">
        <f ca="1">IF('[2]Pricing Schedule'!$K$5="No",IFERROR(SUBSTITUTE(ADDRESS(1,MATCH(A516,INDIRECT("'"&amp;E516&amp;"'"&amp;"!A10:Z10"),0),4),1,""),""),IFERROR(SUBSTITUTE(ADDRESS(1,MATCH(A516,INDIRECT("'"&amp;E516&amp;"'"&amp;"!A10:Z10"),0),4),1,""),""))</f>
        <v>L</v>
      </c>
      <c r="D516" s="1029" t="s">
        <v>1455</v>
      </c>
      <c r="E516" s="1029" t="s">
        <v>1372</v>
      </c>
      <c r="I516" s="1026" t="str">
        <f t="shared" ref="I516:I579" si="45">IF(J516&lt;&gt;"",A516,"")</f>
        <v>Split Case Fee</v>
      </c>
      <c r="J516" s="1376" t="str">
        <f t="shared" si="44"/>
        <v>485</v>
      </c>
      <c r="K516" s="1376" t="str">
        <f t="shared" ref="K516:K579" si="46">IF(J516&lt;&gt;"",E516,"")</f>
        <v>Pricing Schedule</v>
      </c>
      <c r="L516" s="1090" t="s">
        <v>1381</v>
      </c>
      <c r="M516" s="1376">
        <v>485</v>
      </c>
      <c r="N516" s="1376"/>
    </row>
    <row r="517" spans="1:14" s="1370" customFormat="1" x14ac:dyDescent="0.25">
      <c r="A517" s="1122" t="s">
        <v>1320</v>
      </c>
      <c r="B517" s="1026" t="str">
        <f ca="1">IF('[2]Pricing Schedule'!$K$5="No",_xlfn.CONCAT(IFERROR(SUBSTITUTE(ADDRESS(1,MATCH(A517,INDIRECT("'"&amp;E517&amp;"'"&amp;"!A10:Z10"),0),4),1,""),""),27),_xlfn.CONCAT(IFERROR(SUBSTITUTE(ADDRESS(1,MATCH(A517,INDIRECT("'"&amp;E517&amp;"'"&amp;"!A10:Z10"),0),4),1,""),""),61))</f>
        <v>M61</v>
      </c>
      <c r="C517" s="1026" t="str">
        <f ca="1">IF('[2]Pricing Schedule'!$K$5="No",IFERROR(SUBSTITUTE(ADDRESS(1,MATCH(A517,INDIRECT("'"&amp;E517&amp;"'"&amp;"!A10:Z10"),0),4),1,""),""),IFERROR(SUBSTITUTE(ADDRESS(1,MATCH(A517,INDIRECT("'"&amp;E517&amp;"'"&amp;"!A10:Z10"),0),4),1,""),""))</f>
        <v>M</v>
      </c>
      <c r="D517" s="1029" t="s">
        <v>1455</v>
      </c>
      <c r="E517" s="1029" t="s">
        <v>1372</v>
      </c>
      <c r="I517" s="1026" t="str">
        <f t="shared" si="45"/>
        <v>Split Case Per</v>
      </c>
      <c r="J517" s="1376" t="str">
        <f t="shared" si="44"/>
        <v>486</v>
      </c>
      <c r="K517" s="1376" t="str">
        <f t="shared" si="46"/>
        <v>Pricing Schedule</v>
      </c>
      <c r="L517" s="1090" t="s">
        <v>1320</v>
      </c>
      <c r="M517" s="1376">
        <v>486</v>
      </c>
      <c r="N517" s="1376"/>
    </row>
    <row r="518" spans="1:14" s="1370" customFormat="1" x14ac:dyDescent="0.25">
      <c r="A518" s="1117" t="s">
        <v>1382</v>
      </c>
      <c r="B518" s="1026" t="str">
        <f ca="1">IF('[2]Pricing Schedule'!$K$5="No",_xlfn.CONCAT(IFERROR(SUBSTITUTE(ADDRESS(1,MATCH(A518,INDIRECT("'"&amp;E518&amp;"'"&amp;"!A10:Z10"),0),4),1,""),""),28),_xlfn.CONCAT(IFERROR(SUBSTITUTE(ADDRESS(1,MATCH(A518,INDIRECT("'"&amp;E518&amp;"'"&amp;"!A10:Z10"),0),4),1,""),""),62))</f>
        <v>N62</v>
      </c>
      <c r="C518" s="1026" t="str">
        <f ca="1">IF('[2]Pricing Schedule'!$K$5="No",IFERROR(SUBSTITUTE(ADDRESS(1,MATCH(A518,INDIRECT("'"&amp;E518&amp;"'"&amp;"!A10:Z10"),0),4),1,""),""),IFERROR(SUBSTITUTE(ADDRESS(1,MATCH(A518,INDIRECT("'"&amp;E518&amp;"'"&amp;"!A10:Z10"),0),4),1,""),""))</f>
        <v>N</v>
      </c>
      <c r="D518" s="1029" t="s">
        <v>1455</v>
      </c>
      <c r="E518" s="1029" t="s">
        <v>1372</v>
      </c>
      <c r="I518" s="1026" t="str">
        <f t="shared" si="45"/>
        <v/>
      </c>
      <c r="J518" s="1376"/>
      <c r="K518" s="1376" t="str">
        <f t="shared" si="46"/>
        <v/>
      </c>
      <c r="L518" s="1090" t="s">
        <v>1382</v>
      </c>
      <c r="M518" s="1376">
        <v>487</v>
      </c>
      <c r="N518" s="1376"/>
    </row>
    <row r="519" spans="1:14" s="1370" customFormat="1" x14ac:dyDescent="0.25">
      <c r="A519" s="1118" t="s">
        <v>1373</v>
      </c>
      <c r="B519" s="1026" t="str">
        <f ca="1">IF('[2]Pricing Schedule'!$K$5="No",_xlfn.CONCAT(IFERROR(SUBSTITUTE(ADDRESS(1,MATCH(A519,INDIRECT("'"&amp;E519&amp;"'"&amp;"!A10:Z10"),0),4),1,""),""),28),_xlfn.CONCAT(IFERROR(SUBSTITUTE(ADDRESS(1,MATCH(A519,INDIRECT("'"&amp;E519&amp;"'"&amp;"!A10:Z10"),0),4),1,""),""),62))</f>
        <v>C62</v>
      </c>
      <c r="C519" s="1026" t="str">
        <f ca="1">IF('[2]Pricing Schedule'!$K$5="No",IFERROR(SUBSTITUTE(ADDRESS(1,MATCH(A519,INDIRECT("'"&amp;E519&amp;"'"&amp;"!A10:Z10"),0),4),1,""),""),IFERROR(SUBSTITUTE(ADDRESS(1,MATCH(A519,INDIRECT("'"&amp;E519&amp;"'"&amp;"!A10:Z10"),0),4),1,""),""))</f>
        <v>C</v>
      </c>
      <c r="D519" s="1029" t="s">
        <v>1455</v>
      </c>
      <c r="E519" s="1029" t="s">
        <v>1372</v>
      </c>
      <c r="I519" s="1026" t="str">
        <f t="shared" si="45"/>
        <v/>
      </c>
      <c r="J519" s="1376"/>
      <c r="K519" s="1376" t="str">
        <f t="shared" si="46"/>
        <v/>
      </c>
      <c r="L519" s="1090" t="s">
        <v>254</v>
      </c>
      <c r="M519" s="1376">
        <v>488</v>
      </c>
      <c r="N519" s="1376"/>
    </row>
    <row r="520" spans="1:14" s="1370" customFormat="1" x14ac:dyDescent="0.25">
      <c r="A520" s="1118" t="s">
        <v>1338</v>
      </c>
      <c r="B520" s="1026" t="str">
        <f ca="1">IF('[2]Pricing Schedule'!$K$5="No",_xlfn.CONCAT(IFERROR(SUBSTITUTE(ADDRESS(1,MATCH(A520,INDIRECT("'"&amp;E520&amp;"'"&amp;"!A10:Z10"),0),4),1,""),""),28),_xlfn.CONCAT(IFERROR(SUBSTITUTE(ADDRESS(1,MATCH(A520,INDIRECT("'"&amp;E520&amp;"'"&amp;"!A10:Z10"),0),4),1,""),""),62))</f>
        <v>H62</v>
      </c>
      <c r="C520" s="1026" t="str">
        <f ca="1">IF('[2]Pricing Schedule'!$K$5="No",IFERROR(SUBSTITUTE(ADDRESS(1,MATCH(A520,INDIRECT("'"&amp;E520&amp;"'"&amp;"!A10:Z10"),0),4),1,""),""),IFERROR(SUBSTITUTE(ADDRESS(1,MATCH(A520,INDIRECT("'"&amp;E520&amp;"'"&amp;"!A10:Z10"),0),4),1,""),""))</f>
        <v>H</v>
      </c>
      <c r="D520" s="1029" t="s">
        <v>1455</v>
      </c>
      <c r="E520" s="1029" t="s">
        <v>1372</v>
      </c>
      <c r="I520" s="1026" t="str">
        <f t="shared" si="45"/>
        <v/>
      </c>
      <c r="J520" s="1376"/>
      <c r="K520" s="1376" t="str">
        <f t="shared" si="46"/>
        <v/>
      </c>
      <c r="L520" s="1090" t="s">
        <v>1338</v>
      </c>
      <c r="M520" s="1376">
        <v>489</v>
      </c>
      <c r="N520" s="1376"/>
    </row>
    <row r="521" spans="1:14" s="1370" customFormat="1" x14ac:dyDescent="0.25">
      <c r="A521" s="1118" t="s">
        <v>1376</v>
      </c>
      <c r="B521" s="1026" t="str">
        <f ca="1">IF('[2]Pricing Schedule'!$K$5="No",_xlfn.CONCAT(IFERROR(SUBSTITUTE(ADDRESS(1,MATCH(A521,INDIRECT("'"&amp;E521&amp;"'"&amp;"!A10:Z10"),0),4),1,""),""),28),_xlfn.CONCAT(IFERROR(SUBSTITUTE(ADDRESS(1,MATCH(A521,INDIRECT("'"&amp;E521&amp;"'"&amp;"!A10:Z10"),0),4),1,""),""),62))</f>
        <v>F62</v>
      </c>
      <c r="C521" s="1026" t="str">
        <f ca="1">IF('[2]Pricing Schedule'!$K$5="No",IFERROR(SUBSTITUTE(ADDRESS(1,MATCH(A521,INDIRECT("'"&amp;E521&amp;"'"&amp;"!A10:Z10"),0),4),1,""),""),IFERROR(SUBSTITUTE(ADDRESS(1,MATCH(A521,INDIRECT("'"&amp;E521&amp;"'"&amp;"!A10:Z10"),0),4),1,""),""))</f>
        <v>F</v>
      </c>
      <c r="D521" s="1029" t="s">
        <v>1455</v>
      </c>
      <c r="E521" s="1029" t="s">
        <v>1372</v>
      </c>
      <c r="I521" s="1026" t="str">
        <f t="shared" si="45"/>
        <v/>
      </c>
      <c r="J521" s="1376"/>
      <c r="K521" s="1376" t="str">
        <f t="shared" si="46"/>
        <v/>
      </c>
      <c r="L521" s="1090" t="s">
        <v>225</v>
      </c>
      <c r="M521" s="1376">
        <v>490</v>
      </c>
      <c r="N521" s="1376"/>
    </row>
    <row r="522" spans="1:14" s="1370" customFormat="1" x14ac:dyDescent="0.25">
      <c r="A522" s="1119" t="s">
        <v>466</v>
      </c>
      <c r="B522" s="1026" t="str">
        <f ca="1">_xlfn.CONCAT(IFERROR(SUBSTITUTE(ADDRESS(1,MATCH(A522,INDIRECT("'"&amp;E522&amp;"'"&amp;"!A9:Z9"),0),4),1,""),""),30)</f>
        <v>E30</v>
      </c>
      <c r="C522" s="1026" t="str">
        <f ca="1">_xlfn.CONCAT(IFERROR(SUBSTITUTE(ADDRESS(1,MATCH(A522,INDIRECT("'"&amp;E522&amp;"'"&amp;"!A9:Z9"),0),4),1,""),""))</f>
        <v>E</v>
      </c>
      <c r="D522" s="1376" t="s">
        <v>1455</v>
      </c>
      <c r="E522" s="1029" t="s">
        <v>208</v>
      </c>
      <c r="I522" s="1026" t="str">
        <f t="shared" si="45"/>
        <v>Exclude PIM Classes Below</v>
      </c>
      <c r="J522" s="1376" t="str">
        <f t="shared" ref="J522:J574" si="47">IF(M522&lt;&gt;"",Q$1&amp;M522,"")</f>
        <v>491</v>
      </c>
      <c r="K522" s="1376" t="str">
        <f t="shared" si="46"/>
        <v>PIM Model</v>
      </c>
      <c r="L522" s="1090" t="s">
        <v>466</v>
      </c>
      <c r="M522" s="1376">
        <v>491</v>
      </c>
      <c r="N522" s="1376"/>
    </row>
    <row r="523" spans="1:14" s="1370" customFormat="1" x14ac:dyDescent="0.25">
      <c r="A523" s="1119" t="s">
        <v>1375</v>
      </c>
      <c r="B523" s="1026" t="str">
        <f ca="1">IF('[2]Pricing Schedule'!$K$5="No",_xlfn.CONCAT(IFERROR(SUBSTITUTE(ADDRESS(1,MATCH(A523,INDIRECT("'"&amp;E523&amp;"'"&amp;"!A10:Z10"),0),4),1,""),""),28),_xlfn.CONCAT(IFERROR(SUBSTITUTE(ADDRESS(1,MATCH(A523,INDIRECT("'"&amp;E523&amp;"'"&amp;"!A10:Z10"),0),4),1,""),""),62))</f>
        <v>E62</v>
      </c>
      <c r="C523" s="1026" t="str">
        <f ca="1">IF('[2]Pricing Schedule'!$K$5="No",IFERROR(SUBSTITUTE(ADDRESS(1,MATCH(A523,INDIRECT("'"&amp;E523&amp;"'"&amp;"!A10:Z10"),0),4),1,""),""),IFERROR(SUBSTITUTE(ADDRESS(1,MATCH(A523,INDIRECT("'"&amp;E523&amp;"'"&amp;"!A10:Z10"),0),4),1,""),""))</f>
        <v>E</v>
      </c>
      <c r="D523" s="1029" t="s">
        <v>1455</v>
      </c>
      <c r="E523" s="1029" t="s">
        <v>1372</v>
      </c>
      <c r="I523" s="1026" t="str">
        <f t="shared" si="45"/>
        <v>Special Pricing Code</v>
      </c>
      <c r="J523" s="1376" t="str">
        <f t="shared" si="47"/>
        <v>492</v>
      </c>
      <c r="K523" s="1376" t="str">
        <f t="shared" si="46"/>
        <v>Pricing Schedule</v>
      </c>
      <c r="L523" s="1090" t="s">
        <v>1375</v>
      </c>
      <c r="M523" s="1376">
        <v>492</v>
      </c>
      <c r="N523" s="1376"/>
    </row>
    <row r="524" spans="1:14" s="1370" customFormat="1" x14ac:dyDescent="0.25">
      <c r="A524" s="1119" t="s">
        <v>1377</v>
      </c>
      <c r="B524" s="1026" t="str">
        <f ca="1">IF('[2]Pricing Schedule'!$K$5="No",_xlfn.CONCAT(IFERROR(SUBSTITUTE(ADDRESS(1,MATCH(A524,INDIRECT("'"&amp;E524&amp;"'"&amp;"!A10:Z10"),0),4),1,""),""),28),_xlfn.CONCAT(IFERROR(SUBSTITUTE(ADDRESS(1,MATCH(A524,INDIRECT("'"&amp;E524&amp;"'"&amp;"!A10:Z10"),0),4),1,""),""),62))</f>
        <v>G62</v>
      </c>
      <c r="C524" s="1026" t="str">
        <f ca="1">IF('[2]Pricing Schedule'!$K$5="No",IFERROR(SUBSTITUTE(ADDRESS(1,MATCH(A524,INDIRECT("'"&amp;E524&amp;"'"&amp;"!A10:Z10"),0),4),1,""),""),IFERROR(SUBSTITUTE(ADDRESS(1,MATCH(A524,INDIRECT("'"&amp;E524&amp;"'"&amp;"!A10:Z10"),0),4),1,""),""))</f>
        <v>G</v>
      </c>
      <c r="D524" s="1029" t="s">
        <v>1455</v>
      </c>
      <c r="E524" s="1029" t="s">
        <v>1372</v>
      </c>
      <c r="I524" s="1026" t="str">
        <f t="shared" si="45"/>
        <v>EB Markup Amt</v>
      </c>
      <c r="J524" s="1376" t="str">
        <f t="shared" si="47"/>
        <v>493</v>
      </c>
      <c r="K524" s="1376" t="str">
        <f t="shared" si="46"/>
        <v>Pricing Schedule</v>
      </c>
      <c r="L524" s="1090" t="s">
        <v>1377</v>
      </c>
      <c r="M524" s="1376">
        <v>493</v>
      </c>
      <c r="N524" s="1376"/>
    </row>
    <row r="525" spans="1:14" s="1370" customFormat="1" x14ac:dyDescent="0.25">
      <c r="A525" s="1119" t="s">
        <v>1378</v>
      </c>
      <c r="B525" s="1026" t="str">
        <f ca="1">IF('[2]Pricing Schedule'!$K$5="No",_xlfn.CONCAT(IFERROR(SUBSTITUTE(ADDRESS(1,MATCH(A525,INDIRECT("'"&amp;E525&amp;"'"&amp;"!A10:Z10"),0),4),1,""),""),28),_xlfn.CONCAT(IFERROR(SUBSTITUTE(ADDRESS(1,MATCH(A525,INDIRECT("'"&amp;E525&amp;"'"&amp;"!A10:Z10"),0),4),1,""),""),62))</f>
        <v>I62</v>
      </c>
      <c r="C525" s="1026" t="str">
        <f ca="1">IF('[2]Pricing Schedule'!$K$5="No",IFERROR(SUBSTITUTE(ADDRESS(1,MATCH(A525,INDIRECT("'"&amp;E525&amp;"'"&amp;"!A10:Z10"),0),4),1,""),""),IFERROR(SUBSTITUTE(ADDRESS(1,MATCH(A525,INDIRECT("'"&amp;E525&amp;"'"&amp;"!A10:Z10"),0),4),1,""),""))</f>
        <v>I</v>
      </c>
      <c r="D525" s="1029" t="s">
        <v>1455</v>
      </c>
      <c r="E525" s="1029" t="s">
        <v>1372</v>
      </c>
      <c r="I525" s="1026" t="str">
        <f t="shared" si="45"/>
        <v>Min CS Markup Override Flag</v>
      </c>
      <c r="J525" s="1376" t="str">
        <f t="shared" si="47"/>
        <v>494</v>
      </c>
      <c r="K525" s="1376" t="str">
        <f t="shared" si="46"/>
        <v>Pricing Schedule</v>
      </c>
      <c r="L525" s="1090" t="s">
        <v>1378</v>
      </c>
      <c r="M525" s="1376">
        <v>494</v>
      </c>
      <c r="N525" s="1376"/>
    </row>
    <row r="526" spans="1:14" s="1370" customFormat="1" x14ac:dyDescent="0.25">
      <c r="A526" s="1119" t="s">
        <v>1379</v>
      </c>
      <c r="B526" s="1026" t="str">
        <f ca="1">IF('[2]Pricing Schedule'!$K$5="No",_xlfn.CONCAT(IFERROR(SUBSTITUTE(ADDRESS(1,MATCH(A526,INDIRECT("'"&amp;E526&amp;"'"&amp;"!A10:Z10"),0),4),1,""),""),28),_xlfn.CONCAT(IFERROR(SUBSTITUTE(ADDRESS(1,MATCH(A526,INDIRECT("'"&amp;E526&amp;"'"&amp;"!A10:Z10"),0),4),1,""),""),62))</f>
        <v>J62</v>
      </c>
      <c r="C526" s="1026" t="str">
        <f ca="1">IF('[2]Pricing Schedule'!$K$5="No",IFERROR(SUBSTITUTE(ADDRESS(1,MATCH(A526,INDIRECT("'"&amp;E526&amp;"'"&amp;"!A10:Z10"),0),4),1,""),""),IFERROR(SUBSTITUTE(ADDRESS(1,MATCH(A526,INDIRECT("'"&amp;E526&amp;"'"&amp;"!A10:Z10"),0),4),1,""),""))</f>
        <v>J</v>
      </c>
      <c r="D526" s="1029" t="s">
        <v>1455</v>
      </c>
      <c r="E526" s="1029" t="s">
        <v>1372</v>
      </c>
      <c r="I526" s="1026" t="str">
        <f t="shared" si="45"/>
        <v>Min CS Markup Amt</v>
      </c>
      <c r="J526" s="1376" t="str">
        <f t="shared" si="47"/>
        <v>495</v>
      </c>
      <c r="K526" s="1376" t="str">
        <f t="shared" si="46"/>
        <v>Pricing Schedule</v>
      </c>
      <c r="L526" s="1090" t="s">
        <v>1379</v>
      </c>
      <c r="M526" s="1376">
        <v>495</v>
      </c>
      <c r="N526" s="1376"/>
    </row>
    <row r="527" spans="1:14" s="1370" customFormat="1" x14ac:dyDescent="0.25">
      <c r="A527" s="1119" t="s">
        <v>1380</v>
      </c>
      <c r="B527" s="1026" t="str">
        <f ca="1">IF('[2]Pricing Schedule'!$K$5="No",_xlfn.CONCAT(IFERROR(SUBSTITUTE(ADDRESS(1,MATCH(A527,INDIRECT("'"&amp;E527&amp;"'"&amp;"!A10:Z10"),0),4),1,""),""),28),_xlfn.CONCAT(IFERROR(SUBSTITUTE(ADDRESS(1,MATCH(A527,INDIRECT("'"&amp;E527&amp;"'"&amp;"!A10:Z10"),0),4),1,""),""),62))</f>
        <v>K62</v>
      </c>
      <c r="C527" s="1026" t="str">
        <f ca="1">IF('[2]Pricing Schedule'!$K$5="No",IFERROR(SUBSTITUTE(ADDRESS(1,MATCH(A527,INDIRECT("'"&amp;E527&amp;"'"&amp;"!A10:Z10"),0),4),1,""),""),IFERROR(SUBSTITUTE(ADDRESS(1,MATCH(A527,INDIRECT("'"&amp;E527&amp;"'"&amp;"!A10:Z10"),0),4),1,""),""))</f>
        <v>K</v>
      </c>
      <c r="D527" s="1029" t="s">
        <v>1455</v>
      </c>
      <c r="E527" s="1029" t="s">
        <v>1372</v>
      </c>
      <c r="I527" s="1026" t="str">
        <f t="shared" si="45"/>
        <v>Split Case Fee Override Flag</v>
      </c>
      <c r="J527" s="1376" t="str">
        <f t="shared" si="47"/>
        <v>496</v>
      </c>
      <c r="K527" s="1376" t="str">
        <f t="shared" si="46"/>
        <v>Pricing Schedule</v>
      </c>
      <c r="L527" s="1090" t="s">
        <v>1380</v>
      </c>
      <c r="M527" s="1376">
        <v>496</v>
      </c>
      <c r="N527" s="1376"/>
    </row>
    <row r="528" spans="1:14" s="1370" customFormat="1" x14ac:dyDescent="0.25">
      <c r="A528" s="1119" t="s">
        <v>1381</v>
      </c>
      <c r="B528" s="1026" t="str">
        <f ca="1">IF('[2]Pricing Schedule'!$K$5="No",_xlfn.CONCAT(IFERROR(SUBSTITUTE(ADDRESS(1,MATCH(A528,INDIRECT("'"&amp;E528&amp;"'"&amp;"!A10:Z10"),0),4),1,""),""),28),_xlfn.CONCAT(IFERROR(SUBSTITUTE(ADDRESS(1,MATCH(A528,INDIRECT("'"&amp;E528&amp;"'"&amp;"!A10:Z10"),0),4),1,""),""),62))</f>
        <v>L62</v>
      </c>
      <c r="C528" s="1026" t="str">
        <f ca="1">IF('[2]Pricing Schedule'!$K$5="No",IFERROR(SUBSTITUTE(ADDRESS(1,MATCH(A528,INDIRECT("'"&amp;E528&amp;"'"&amp;"!A10:Z10"),0),4),1,""),""),IFERROR(SUBSTITUTE(ADDRESS(1,MATCH(A528,INDIRECT("'"&amp;E528&amp;"'"&amp;"!A10:Z10"),0),4),1,""),""))</f>
        <v>L</v>
      </c>
      <c r="D528" s="1029" t="s">
        <v>1455</v>
      </c>
      <c r="E528" s="1029" t="s">
        <v>1372</v>
      </c>
      <c r="I528" s="1026" t="str">
        <f t="shared" si="45"/>
        <v>Split Case Fee</v>
      </c>
      <c r="J528" s="1376" t="str">
        <f t="shared" si="47"/>
        <v>497</v>
      </c>
      <c r="K528" s="1376" t="str">
        <f t="shared" si="46"/>
        <v>Pricing Schedule</v>
      </c>
      <c r="L528" s="1090" t="s">
        <v>1381</v>
      </c>
      <c r="M528" s="1376">
        <v>497</v>
      </c>
      <c r="N528" s="1376"/>
    </row>
    <row r="529" spans="1:18" s="1370" customFormat="1" x14ac:dyDescent="0.25">
      <c r="A529" s="1119" t="s">
        <v>1320</v>
      </c>
      <c r="B529" s="1026" t="str">
        <f ca="1">IF('[2]Pricing Schedule'!$K$5="No",_xlfn.CONCAT(IFERROR(SUBSTITUTE(ADDRESS(1,MATCH(A529,INDIRECT("'"&amp;E529&amp;"'"&amp;"!A10:Z10"),0),4),1,""),""),28),_xlfn.CONCAT(IFERROR(SUBSTITUTE(ADDRESS(1,MATCH(A529,INDIRECT("'"&amp;E529&amp;"'"&amp;"!A10:Z10"),0),4),1,""),""),62))</f>
        <v>M62</v>
      </c>
      <c r="C529" s="1026" t="str">
        <f ca="1">IF('[2]Pricing Schedule'!$K$5="No",IFERROR(SUBSTITUTE(ADDRESS(1,MATCH(A529,INDIRECT("'"&amp;E529&amp;"'"&amp;"!A10:Z10"),0),4),1,""),""),IFERROR(SUBSTITUTE(ADDRESS(1,MATCH(A529,INDIRECT("'"&amp;E529&amp;"'"&amp;"!A10:Z10"),0),4),1,""),""))</f>
        <v>M</v>
      </c>
      <c r="D529" s="1029" t="s">
        <v>1455</v>
      </c>
      <c r="E529" s="1029" t="s">
        <v>1372</v>
      </c>
      <c r="I529" s="1026" t="str">
        <f t="shared" si="45"/>
        <v>Split Case Per</v>
      </c>
      <c r="J529" s="1376" t="str">
        <f t="shared" si="47"/>
        <v>498</v>
      </c>
      <c r="K529" s="1376" t="str">
        <f t="shared" si="46"/>
        <v>Pricing Schedule</v>
      </c>
      <c r="L529" s="1090" t="s">
        <v>1320</v>
      </c>
      <c r="M529" s="1376">
        <v>498</v>
      </c>
      <c r="N529" s="1376"/>
    </row>
    <row r="530" spans="1:18" s="1370" customFormat="1" x14ac:dyDescent="0.25">
      <c r="A530" s="1089" t="s">
        <v>1368</v>
      </c>
      <c r="B530" s="1026" t="str">
        <f ca="1">_xlfn.CONCAT(IFERROR(SUBSTITUTE(ADDRESS(1,MATCH(A530,INDIRECT("'"&amp;E530&amp;"'"&amp;"!A4:Z4"),0),4),1,""),""),4)</f>
        <v>M4</v>
      </c>
      <c r="C530" s="1376" t="str">
        <f ca="1">_xlfn.CONCAT(IFERROR(SUBSTITUTE(ADDRESS(1,MATCH(A530,INDIRECT("'"&amp;E530&amp;"'"&amp;"!A4:Z4"),0),4),1,""),""),5)</f>
        <v>M5</v>
      </c>
      <c r="D530" s="1029" t="s">
        <v>1448</v>
      </c>
      <c r="E530" s="1029" t="s">
        <v>1372</v>
      </c>
      <c r="I530" s="1026" t="str">
        <f t="shared" si="45"/>
        <v>Pricing Termination End Date</v>
      </c>
      <c r="J530" s="1376" t="str">
        <f t="shared" si="47"/>
        <v>499</v>
      </c>
      <c r="K530" s="1376" t="str">
        <f t="shared" si="46"/>
        <v>Pricing Schedule</v>
      </c>
      <c r="L530" s="1090" t="s">
        <v>1368</v>
      </c>
      <c r="M530" s="1376">
        <v>499</v>
      </c>
      <c r="N530" s="1376"/>
    </row>
    <row r="531" spans="1:18" s="1370" customFormat="1" x14ac:dyDescent="0.25">
      <c r="A531" s="1089" t="s">
        <v>1369</v>
      </c>
      <c r="B531" s="1026" t="str">
        <f t="shared" ref="B531:B538" ca="1" si="48">_xlfn.CONCAT(IFERROR(SUBSTITUTE(ADDRESS(1,MATCH(A531,INDIRECT("'"&amp;E531&amp;"'"&amp;"!A4:Z4"),0),4),1,""),""),4)</f>
        <v>N4</v>
      </c>
      <c r="C531" s="1376" t="str">
        <f t="shared" ref="C531:C538" ca="1" si="49">_xlfn.CONCAT(IFERROR(SUBSTITUTE(ADDRESS(1,MATCH(A531,INDIRECT("'"&amp;E531&amp;"'"&amp;"!A4:Z4"),0),4),1,""),""),5)</f>
        <v>N5</v>
      </c>
      <c r="D531" s="1029" t="s">
        <v>1448</v>
      </c>
      <c r="E531" s="1029" t="s">
        <v>1372</v>
      </c>
      <c r="I531" s="1026" t="str">
        <f t="shared" si="45"/>
        <v>Pricing Termination End Date Flag</v>
      </c>
      <c r="J531" s="1376" t="str">
        <f t="shared" si="47"/>
        <v>500</v>
      </c>
      <c r="K531" s="1376" t="str">
        <f t="shared" si="46"/>
        <v>Pricing Schedule</v>
      </c>
      <c r="L531" s="1090" t="s">
        <v>1369</v>
      </c>
      <c r="M531" s="1376">
        <v>500</v>
      </c>
      <c r="N531" s="1376"/>
    </row>
    <row r="532" spans="1:18" s="1370" customFormat="1" x14ac:dyDescent="0.25">
      <c r="A532" s="1089" t="s">
        <v>1363</v>
      </c>
      <c r="B532" s="1026" t="str">
        <f t="shared" ca="1" si="48"/>
        <v>H4</v>
      </c>
      <c r="C532" s="1376" t="str">
        <f t="shared" ca="1" si="49"/>
        <v>H5</v>
      </c>
      <c r="D532" s="1029" t="s">
        <v>1448</v>
      </c>
      <c r="E532" s="1029" t="s">
        <v>1372</v>
      </c>
      <c r="I532" s="1026" t="str">
        <f t="shared" si="45"/>
        <v>Pricing Override Flag</v>
      </c>
      <c r="J532" s="1376" t="str">
        <f t="shared" si="47"/>
        <v>501</v>
      </c>
      <c r="K532" s="1376" t="str">
        <f t="shared" si="46"/>
        <v>Pricing Schedule</v>
      </c>
      <c r="L532" s="1090" t="s">
        <v>1363</v>
      </c>
      <c r="M532" s="1376">
        <v>501</v>
      </c>
      <c r="N532" s="1376"/>
    </row>
    <row r="533" spans="1:18" s="1370" customFormat="1" x14ac:dyDescent="0.25">
      <c r="A533" s="1089" t="s">
        <v>1361</v>
      </c>
      <c r="B533" s="1026" t="str">
        <f t="shared" ca="1" si="48"/>
        <v>F4</v>
      </c>
      <c r="C533" s="1376" t="str">
        <f t="shared" ca="1" si="49"/>
        <v>F5</v>
      </c>
      <c r="D533" s="1029" t="s">
        <v>1448</v>
      </c>
      <c r="E533" s="1029" t="s">
        <v>1372</v>
      </c>
      <c r="I533" s="1026" t="str">
        <f t="shared" si="45"/>
        <v>EBP Cost Basis</v>
      </c>
      <c r="J533" s="1376" t="str">
        <f t="shared" si="47"/>
        <v>514</v>
      </c>
      <c r="K533" s="1376" t="str">
        <f t="shared" si="46"/>
        <v>Pricing Schedule</v>
      </c>
      <c r="L533" s="1089" t="s">
        <v>1361</v>
      </c>
      <c r="M533" s="1376">
        <v>514</v>
      </c>
      <c r="N533" s="1376"/>
    </row>
    <row r="534" spans="1:18" s="1370" customFormat="1" x14ac:dyDescent="0.25">
      <c r="A534" s="1089" t="s">
        <v>1362</v>
      </c>
      <c r="B534" s="1026" t="str">
        <f t="shared" ca="1" si="48"/>
        <v>G4</v>
      </c>
      <c r="C534" s="1376" t="str">
        <f t="shared" ca="1" si="49"/>
        <v>G5</v>
      </c>
      <c r="D534" s="1029" t="s">
        <v>1448</v>
      </c>
      <c r="E534" s="1029" t="s">
        <v>1372</v>
      </c>
      <c r="I534" s="1026" t="str">
        <f t="shared" si="45"/>
        <v>Eligible EBP Language</v>
      </c>
      <c r="J534" s="1376" t="str">
        <f t="shared" si="47"/>
        <v>515</v>
      </c>
      <c r="K534" s="1376" t="str">
        <f t="shared" si="46"/>
        <v>Pricing Schedule</v>
      </c>
      <c r="L534" s="1089" t="s">
        <v>1560</v>
      </c>
      <c r="M534" s="1376">
        <v>515</v>
      </c>
      <c r="N534" s="1376"/>
    </row>
    <row r="535" spans="1:18" s="1370" customFormat="1" x14ac:dyDescent="0.25">
      <c r="A535" s="1089" t="s">
        <v>1364</v>
      </c>
      <c r="B535" s="1026" t="str">
        <f t="shared" ca="1" si="48"/>
        <v>I4</v>
      </c>
      <c r="C535" s="1376" t="str">
        <f t="shared" ca="1" si="49"/>
        <v>I5</v>
      </c>
      <c r="D535" s="1029" t="s">
        <v>1448</v>
      </c>
      <c r="E535" s="1029" t="s">
        <v>1372</v>
      </c>
      <c r="I535" s="1026" t="str">
        <f t="shared" si="45"/>
        <v>Product Pricing Schedule Included Flag</v>
      </c>
      <c r="J535" s="1376" t="str">
        <f t="shared" si="47"/>
        <v>517</v>
      </c>
      <c r="K535" s="1376" t="str">
        <f t="shared" si="46"/>
        <v>Pricing Schedule</v>
      </c>
      <c r="L535" s="1089" t="s">
        <v>1364</v>
      </c>
      <c r="M535" s="1376">
        <v>517</v>
      </c>
      <c r="N535" s="1376"/>
    </row>
    <row r="536" spans="1:18" s="1370" customFormat="1" x14ac:dyDescent="0.25">
      <c r="A536" s="1089" t="s">
        <v>1365</v>
      </c>
      <c r="B536" s="1026" t="str">
        <f t="shared" ca="1" si="48"/>
        <v>J4</v>
      </c>
      <c r="C536" s="1376" t="str">
        <f t="shared" ca="1" si="49"/>
        <v>J5</v>
      </c>
      <c r="D536" s="1029" t="s">
        <v>1448</v>
      </c>
      <c r="E536" s="1029" t="s">
        <v>1372</v>
      </c>
      <c r="I536" s="1026" t="str">
        <f t="shared" si="45"/>
        <v>Special Pricing Flag</v>
      </c>
      <c r="J536" s="1376" t="str">
        <f t="shared" si="47"/>
        <v>518</v>
      </c>
      <c r="K536" s="1376" t="str">
        <f t="shared" si="46"/>
        <v>Pricing Schedule</v>
      </c>
      <c r="L536" s="1089" t="s">
        <v>1365</v>
      </c>
      <c r="M536" s="1376">
        <v>518</v>
      </c>
      <c r="N536" s="1376"/>
    </row>
    <row r="537" spans="1:18" s="1370" customFormat="1" x14ac:dyDescent="0.25">
      <c r="A537" s="1089" t="s">
        <v>1366</v>
      </c>
      <c r="B537" s="1026" t="str">
        <f t="shared" ca="1" si="48"/>
        <v>K4</v>
      </c>
      <c r="C537" s="1376" t="str">
        <f t="shared" ca="1" si="49"/>
        <v>K5</v>
      </c>
      <c r="D537" s="1029" t="s">
        <v>1448</v>
      </c>
      <c r="E537" s="1029" t="s">
        <v>1372</v>
      </c>
      <c r="I537" s="1026" t="str">
        <f t="shared" si="45"/>
        <v>Altenate Pricing Schedule Flag</v>
      </c>
      <c r="J537" s="1376" t="str">
        <f t="shared" si="47"/>
        <v>519</v>
      </c>
      <c r="K537" s="1376" t="str">
        <f t="shared" si="46"/>
        <v>Pricing Schedule</v>
      </c>
      <c r="L537" s="1089" t="s">
        <v>1562</v>
      </c>
      <c r="M537" s="1376">
        <v>519</v>
      </c>
      <c r="N537" s="1376"/>
    </row>
    <row r="538" spans="1:18" s="1370" customFormat="1" x14ac:dyDescent="0.25">
      <c r="A538" s="1089" t="s">
        <v>1367</v>
      </c>
      <c r="B538" s="1026" t="str">
        <f t="shared" ca="1" si="48"/>
        <v>L4</v>
      </c>
      <c r="C538" s="1376" t="str">
        <f t="shared" ca="1" si="49"/>
        <v>L5</v>
      </c>
      <c r="D538" s="1029" t="s">
        <v>1448</v>
      </c>
      <c r="E538" s="1029" t="s">
        <v>1372</v>
      </c>
      <c r="I538" s="1026" t="str">
        <f t="shared" si="45"/>
        <v>EB Pricing Schedule Flag</v>
      </c>
      <c r="J538" s="1376" t="str">
        <f t="shared" si="47"/>
        <v>514</v>
      </c>
      <c r="K538" s="1376" t="str">
        <f t="shared" si="46"/>
        <v>Pricing Schedule</v>
      </c>
      <c r="L538" s="1089" t="s">
        <v>1367</v>
      </c>
      <c r="M538" s="1376">
        <v>514</v>
      </c>
      <c r="N538" s="1376"/>
      <c r="O538" s="1370" t="s">
        <v>742</v>
      </c>
    </row>
    <row r="539" spans="1:18" s="1370" customFormat="1" x14ac:dyDescent="0.25">
      <c r="A539" s="1117" t="s">
        <v>1593</v>
      </c>
      <c r="B539" s="1089" t="str">
        <f ca="1">IFERROR(_xlfn.CONCAT("C",MATCH(A539,INDIRECT("'"&amp;E539&amp;"'!C"&amp;$O$539&amp;":C"&amp;$O$541),0)+$O$539-1),"")</f>
        <v>C7</v>
      </c>
      <c r="C539" s="1089" t="str">
        <f ca="1">IFERROR(_xlfn.CONCAT("D",MATCH(A539,INDIRECT("'"&amp;E539&amp;"'!C"&amp;$O$539&amp;":C"&amp;$O$541),0)+$O$539-1),"")</f>
        <v>D7</v>
      </c>
      <c r="D539" s="1089" t="s">
        <v>1448</v>
      </c>
      <c r="E539" s="1089" t="s">
        <v>1618</v>
      </c>
      <c r="I539" s="1026" t="str">
        <f t="shared" si="45"/>
        <v/>
      </c>
      <c r="J539" s="1376"/>
      <c r="K539" s="1376" t="str">
        <f t="shared" si="46"/>
        <v/>
      </c>
      <c r="L539" s="1089" t="s">
        <v>1593</v>
      </c>
      <c r="M539" s="1376">
        <v>516</v>
      </c>
      <c r="N539" s="1376"/>
      <c r="O539" s="1370">
        <f>'Configurable Tab'!H3</f>
        <v>3</v>
      </c>
      <c r="R539" s="1376" t="s">
        <v>898</v>
      </c>
    </row>
    <row r="540" spans="1:18" s="1370" customFormat="1" x14ac:dyDescent="0.25">
      <c r="A540" s="1117" t="s">
        <v>1809</v>
      </c>
      <c r="B540" s="1089" t="str">
        <f ca="1">_xlfn.CONCAT(IFERROR(SUBSTITUTE(ADDRESS(1,MATCH(A540,INDIRECT("'"&amp;E540&amp;"'"&amp;"!A" &amp; $O$539+11 &amp; ":Z" &amp; $O$539+11 ),0),4),1,""),""),$O$539+11)</f>
        <v>T14</v>
      </c>
      <c r="C540" s="1089" t="str">
        <f ca="1">_xlfn.CONCAT(IFERROR(SUBSTITUTE(ADDRESS(1,MATCH(A540,INDIRECT("'"&amp;E540&amp;"'"&amp;"!A" &amp; $O$539+11 &amp; ":Z" &amp; $O$539+11 ),0),4),1,""),""),$O$539+12)</f>
        <v>T15</v>
      </c>
      <c r="D540" s="1089" t="s">
        <v>1448</v>
      </c>
      <c r="E540" s="1089" t="s">
        <v>1618</v>
      </c>
      <c r="I540" s="1026" t="str">
        <f t="shared" si="45"/>
        <v/>
      </c>
      <c r="J540" s="1376"/>
      <c r="K540" s="1376" t="str">
        <f t="shared" si="46"/>
        <v/>
      </c>
      <c r="L540" s="1089" t="s">
        <v>1809</v>
      </c>
      <c r="M540" s="1376">
        <v>517</v>
      </c>
      <c r="N540" s="1376"/>
      <c r="O540" s="1370" t="s">
        <v>743</v>
      </c>
      <c r="Q540" s="1370" t="s">
        <v>651</v>
      </c>
      <c r="R540" s="1376" t="s">
        <v>898</v>
      </c>
    </row>
    <row r="541" spans="1:18" s="1370" customFormat="1" x14ac:dyDescent="0.25">
      <c r="A541" s="1117" t="s">
        <v>1482</v>
      </c>
      <c r="B541" s="1089" t="str">
        <f ca="1">IFERROR(_xlfn.CONCAT("C",MATCH(A541,INDIRECT("'"&amp;E541&amp;"'!C"&amp;$O$539&amp;":C"&amp;$O$541),0)+$O$539-1),"")</f>
        <v>C5</v>
      </c>
      <c r="C541" s="1089" t="str">
        <f ca="1">IFERROR(_xlfn.CONCAT("D",MATCH(A541,INDIRECT("'"&amp;E541&amp;"'!C"&amp;$O$539&amp;":C"&amp;$O$541),0)+$O$539-1),"")</f>
        <v>D5</v>
      </c>
      <c r="D541" s="1089" t="s">
        <v>1448</v>
      </c>
      <c r="E541" s="1089" t="s">
        <v>1618</v>
      </c>
      <c r="I541" s="1026" t="str">
        <f t="shared" si="45"/>
        <v/>
      </c>
      <c r="J541" s="1376"/>
      <c r="K541" s="1376" t="str">
        <f t="shared" si="46"/>
        <v/>
      </c>
      <c r="L541" s="1089" t="s">
        <v>1482</v>
      </c>
      <c r="M541" s="1376">
        <v>518</v>
      </c>
      <c r="N541" s="1376"/>
      <c r="O541" s="1370">
        <f>'Configurable Tab'!I3</f>
        <v>16</v>
      </c>
      <c r="R541" s="1376" t="s">
        <v>898</v>
      </c>
    </row>
    <row r="542" spans="1:18" s="1370" customFormat="1" x14ac:dyDescent="0.25">
      <c r="A542" s="1117" t="s">
        <v>1484</v>
      </c>
      <c r="B542" s="1089" t="str">
        <f ca="1">IFERROR(_xlfn.CONCAT("C",MATCH(A542,INDIRECT("'"&amp;E542&amp;"'!C"&amp;$O$539&amp;":C"&amp;$O$541),0)+$O$539-1),"")</f>
        <v>C9</v>
      </c>
      <c r="C542" s="1089" t="str">
        <f ca="1">IFERROR(_xlfn.CONCAT("D",MATCH(A542,INDIRECT("'"&amp;E542&amp;"'!C"&amp;$O$539&amp;":C"&amp;$O$541),0)+$O$539-1),"")</f>
        <v>D9</v>
      </c>
      <c r="D542" s="1089" t="s">
        <v>1448</v>
      </c>
      <c r="E542" s="1089" t="s">
        <v>1618</v>
      </c>
      <c r="I542" s="1026" t="str">
        <f t="shared" si="45"/>
        <v/>
      </c>
      <c r="J542" s="1376"/>
      <c r="K542" s="1376" t="str">
        <f t="shared" si="46"/>
        <v/>
      </c>
      <c r="L542" s="1089" t="s">
        <v>1484</v>
      </c>
      <c r="M542" s="1376">
        <v>526</v>
      </c>
      <c r="N542" s="1376"/>
      <c r="O542" s="1370" t="s">
        <v>1736</v>
      </c>
      <c r="R542" s="1376" t="s">
        <v>898</v>
      </c>
    </row>
    <row r="543" spans="1:18" s="1370" customFormat="1" x14ac:dyDescent="0.25">
      <c r="A543" s="1117" t="s">
        <v>1485</v>
      </c>
      <c r="B543" s="1089" t="str">
        <f ca="1">IFERROR(_xlfn.CONCAT("C",MATCH(A543,INDIRECT("'"&amp;E543&amp;"'!C"&amp;$O$539&amp;":C"&amp;$O$541),0)+$O$539-1),"")</f>
        <v>C11</v>
      </c>
      <c r="C543" s="1089" t="str">
        <f ca="1">IFERROR(_xlfn.CONCAT("D",MATCH(A543,INDIRECT("'"&amp;E543&amp;"'!C"&amp;$O$539&amp;":C"&amp;$O$541),0)+$O$539-1),"")</f>
        <v>D11</v>
      </c>
      <c r="D543" s="1089" t="s">
        <v>1448</v>
      </c>
      <c r="E543" s="1089" t="s">
        <v>1618</v>
      </c>
      <c r="I543" s="1026" t="str">
        <f t="shared" si="45"/>
        <v/>
      </c>
      <c r="J543" s="1376"/>
      <c r="K543" s="1376" t="str">
        <f t="shared" si="46"/>
        <v/>
      </c>
      <c r="L543" s="1089" t="s">
        <v>1485</v>
      </c>
      <c r="M543" s="1376">
        <v>527</v>
      </c>
      <c r="N543" s="1376"/>
      <c r="R543" s="1376" t="s">
        <v>898</v>
      </c>
    </row>
    <row r="544" spans="1:18" s="1370" customFormat="1" ht="30" x14ac:dyDescent="0.25">
      <c r="A544" s="1117" t="s">
        <v>1597</v>
      </c>
      <c r="B544" s="1089" t="str">
        <f ca="1">IFERROR(_xlfn.CONCAT("C",MATCH(A544,INDIRECT("'"&amp;E544&amp;"'!C"&amp;$O$539&amp;":C"&amp;$O$541),0)+$O$539-1),"")</f>
        <v>C13</v>
      </c>
      <c r="C544" s="1089" t="str">
        <f ca="1">IFERROR(_xlfn.CONCAT("D",MATCH(A544,INDIRECT("'"&amp;E544&amp;"'!C"&amp;$O$539&amp;":C"&amp;$O$541),0)+$O$539-1),"")</f>
        <v>D13</v>
      </c>
      <c r="D544" s="1089" t="s">
        <v>1448</v>
      </c>
      <c r="E544" s="1089" t="s">
        <v>1618</v>
      </c>
      <c r="I544" s="1026" t="str">
        <f t="shared" si="45"/>
        <v>Incentive Dates Match Agreement Dates Flag</v>
      </c>
      <c r="J544" s="1376" t="str">
        <f t="shared" si="47"/>
        <v>528</v>
      </c>
      <c r="K544" s="1376" t="str">
        <f t="shared" si="46"/>
        <v>Incentives Worksheet</v>
      </c>
      <c r="L544" s="1089" t="s">
        <v>1597</v>
      </c>
      <c r="M544" s="1376">
        <v>528</v>
      </c>
      <c r="N544" s="1376"/>
      <c r="R544" s="1376" t="s">
        <v>898</v>
      </c>
    </row>
    <row r="545" spans="1:18" s="1370" customFormat="1" x14ac:dyDescent="0.25">
      <c r="A545" s="1117" t="s">
        <v>1479</v>
      </c>
      <c r="B545" s="1089" t="str">
        <f t="shared" ref="B545:B551" ca="1" si="50">_xlfn.CONCAT(IFERROR(SUBSTITUTE(ADDRESS(1,MATCH(A545,INDIRECT("'"&amp;E545&amp;"'"&amp;"!A" &amp; $O$539+2 &amp; ":Z"&amp;$O$539+2 ),0),4),1,""),""),$O$539+2)</f>
        <v>H5</v>
      </c>
      <c r="C545" s="1089" t="str">
        <f t="shared" ref="C545:C551" ca="1" si="51">_xlfn.CONCAT(IFERROR(SUBSTITUTE(ADDRESS(1,MATCH(A545,INDIRECT("'"&amp;E545&amp;"'"&amp;"!A" &amp; $O$539+2 &amp; ":Z"&amp;$O$539+2 ),0),4),1,""),""),$O$539+3)</f>
        <v>H6</v>
      </c>
      <c r="D545" s="1089" t="s">
        <v>1448</v>
      </c>
      <c r="E545" s="1089" t="s">
        <v>1618</v>
      </c>
      <c r="I545" s="1026" t="str">
        <f t="shared" si="45"/>
        <v/>
      </c>
      <c r="J545" s="1376"/>
      <c r="K545" s="1376" t="str">
        <f t="shared" si="46"/>
        <v/>
      </c>
      <c r="L545" s="1089" t="s">
        <v>1479</v>
      </c>
      <c r="M545" s="1376">
        <v>519</v>
      </c>
      <c r="N545" s="1376"/>
      <c r="R545" s="1376" t="s">
        <v>898</v>
      </c>
    </row>
    <row r="546" spans="1:18" s="1370" customFormat="1" x14ac:dyDescent="0.25">
      <c r="A546" s="1117" t="s">
        <v>1480</v>
      </c>
      <c r="B546" s="1089" t="str">
        <f t="shared" ca="1" si="50"/>
        <v>J5</v>
      </c>
      <c r="C546" s="1089" t="str">
        <f t="shared" ca="1" si="51"/>
        <v>J6</v>
      </c>
      <c r="D546" s="1089" t="s">
        <v>1448</v>
      </c>
      <c r="E546" s="1089" t="s">
        <v>1618</v>
      </c>
      <c r="I546" s="1026" t="str">
        <f t="shared" si="45"/>
        <v/>
      </c>
      <c r="J546" s="1376"/>
      <c r="K546" s="1376" t="str">
        <f t="shared" si="46"/>
        <v/>
      </c>
      <c r="L546" s="1089" t="s">
        <v>1480</v>
      </c>
      <c r="M546" s="1376">
        <v>520</v>
      </c>
      <c r="N546" s="1376"/>
      <c r="R546" s="1376" t="s">
        <v>898</v>
      </c>
    </row>
    <row r="547" spans="1:18" s="1370" customFormat="1" x14ac:dyDescent="0.25">
      <c r="A547" s="1117" t="s">
        <v>1496</v>
      </c>
      <c r="B547" s="1089" t="str">
        <f t="shared" ca="1" si="50"/>
        <v>L5</v>
      </c>
      <c r="C547" s="1089" t="str">
        <f t="shared" ca="1" si="51"/>
        <v>L6</v>
      </c>
      <c r="D547" s="1089" t="s">
        <v>1448</v>
      </c>
      <c r="E547" s="1089" t="s">
        <v>1618</v>
      </c>
      <c r="I547" s="1026" t="str">
        <f t="shared" si="45"/>
        <v/>
      </c>
      <c r="J547" s="1376"/>
      <c r="K547" s="1376" t="str">
        <f t="shared" si="46"/>
        <v/>
      </c>
      <c r="L547" s="1089" t="s">
        <v>1496</v>
      </c>
      <c r="M547" s="1376">
        <v>521</v>
      </c>
      <c r="N547" s="1376"/>
      <c r="R547" s="1376" t="s">
        <v>898</v>
      </c>
    </row>
    <row r="548" spans="1:18" s="1370" customFormat="1" x14ac:dyDescent="0.25">
      <c r="A548" s="1117" t="s">
        <v>1481</v>
      </c>
      <c r="B548" s="1089" t="str">
        <f t="shared" ca="1" si="50"/>
        <v>N5</v>
      </c>
      <c r="C548" s="1089" t="str">
        <f t="shared" ca="1" si="51"/>
        <v>N6</v>
      </c>
      <c r="D548" s="1089" t="s">
        <v>1448</v>
      </c>
      <c r="E548" s="1089" t="s">
        <v>1618</v>
      </c>
      <c r="I548" s="1026" t="str">
        <f t="shared" si="45"/>
        <v/>
      </c>
      <c r="J548" s="1376"/>
      <c r="K548" s="1376" t="str">
        <f t="shared" si="46"/>
        <v/>
      </c>
      <c r="L548" s="1089" t="s">
        <v>1481</v>
      </c>
      <c r="M548" s="1376">
        <v>522</v>
      </c>
      <c r="N548" s="1376"/>
      <c r="R548" s="1376" t="s">
        <v>898</v>
      </c>
    </row>
    <row r="549" spans="1:18" s="1370" customFormat="1" x14ac:dyDescent="0.25">
      <c r="A549" s="1117" t="s">
        <v>1588</v>
      </c>
      <c r="B549" s="1089" t="str">
        <f t="shared" ca="1" si="50"/>
        <v>P5</v>
      </c>
      <c r="C549" s="1089" t="str">
        <f t="shared" ca="1" si="51"/>
        <v>P6</v>
      </c>
      <c r="D549" s="1089" t="s">
        <v>1448</v>
      </c>
      <c r="E549" s="1089" t="s">
        <v>1618</v>
      </c>
      <c r="I549" s="1026" t="str">
        <f t="shared" si="45"/>
        <v>Qualifying Cycle</v>
      </c>
      <c r="J549" s="1376" t="str">
        <f t="shared" si="47"/>
        <v>523</v>
      </c>
      <c r="K549" s="1376" t="str">
        <f t="shared" si="46"/>
        <v>Incentives Worksheet</v>
      </c>
      <c r="L549" s="1089" t="s">
        <v>1588</v>
      </c>
      <c r="M549" s="1376">
        <v>523</v>
      </c>
      <c r="N549" s="1376"/>
      <c r="R549" s="1376" t="s">
        <v>898</v>
      </c>
    </row>
    <row r="550" spans="1:18" s="1370" customFormat="1" x14ac:dyDescent="0.25">
      <c r="A550" s="1117" t="s">
        <v>1589</v>
      </c>
      <c r="B550" s="1089" t="str">
        <f t="shared" ca="1" si="50"/>
        <v>R5</v>
      </c>
      <c r="C550" s="1089" t="str">
        <f t="shared" ca="1" si="51"/>
        <v>R6</v>
      </c>
      <c r="D550" s="1089" t="s">
        <v>1448</v>
      </c>
      <c r="E550" s="1089" t="s">
        <v>1618</v>
      </c>
      <c r="I550" s="1026" t="str">
        <f t="shared" si="45"/>
        <v>Incentive Calendar</v>
      </c>
      <c r="J550" s="1376" t="str">
        <f t="shared" si="47"/>
        <v>524</v>
      </c>
      <c r="K550" s="1376" t="str">
        <f t="shared" si="46"/>
        <v>Incentives Worksheet</v>
      </c>
      <c r="L550" s="1089" t="s">
        <v>1589</v>
      </c>
      <c r="M550" s="1376">
        <v>524</v>
      </c>
      <c r="N550" s="1376"/>
      <c r="R550" s="1376" t="s">
        <v>898</v>
      </c>
    </row>
    <row r="551" spans="1:18" s="1370" customFormat="1" x14ac:dyDescent="0.25">
      <c r="A551" s="1117" t="s">
        <v>1590</v>
      </c>
      <c r="B551" s="1089" t="str">
        <f t="shared" ca="1" si="50"/>
        <v>T5</v>
      </c>
      <c r="C551" s="1089" t="str">
        <f t="shared" ca="1" si="51"/>
        <v>T6</v>
      </c>
      <c r="D551" s="1089" t="s">
        <v>1448</v>
      </c>
      <c r="E551" s="1089" t="s">
        <v>1618</v>
      </c>
      <c r="I551" s="1026" t="str">
        <f t="shared" si="45"/>
        <v>Post to GL Payment Method Flag</v>
      </c>
      <c r="J551" s="1376" t="str">
        <f t="shared" si="47"/>
        <v>525</v>
      </c>
      <c r="K551" s="1376" t="str">
        <f t="shared" si="46"/>
        <v>Incentives Worksheet</v>
      </c>
      <c r="L551" s="1089" t="s">
        <v>1590</v>
      </c>
      <c r="M551" s="1376">
        <v>525</v>
      </c>
      <c r="N551" s="1376"/>
      <c r="R551" s="1376" t="s">
        <v>898</v>
      </c>
    </row>
    <row r="552" spans="1:18" s="1370" customFormat="1" x14ac:dyDescent="0.25">
      <c r="A552" s="1117" t="s">
        <v>1488</v>
      </c>
      <c r="B552" s="1089" t="str">
        <f ca="1">_xlfn.CONCAT(IFERROR(SUBSTITUTE(ADDRESS(1,MATCH(A552,INDIRECT("'"&amp;E552&amp;"'"&amp;"!A" &amp; $O$539+5 &amp; ":Z"&amp;$O$539+5),0),4),1,""),""),$O$539+5)</f>
        <v>L8</v>
      </c>
      <c r="C552" s="1089" t="str">
        <f ca="1">_xlfn.CONCAT(IFERROR(SUBSTITUTE(ADDRESS(1,MATCH(A552,INDIRECT("'"&amp;E552&amp;"'"&amp;"!A" &amp; $O$539+5 &amp; ":Z"&amp;$O$539+5),0),4),1,""),""),$O$539+6)</f>
        <v>L9</v>
      </c>
      <c r="D552" s="1089" t="s">
        <v>1448</v>
      </c>
      <c r="E552" s="1089" t="s">
        <v>1618</v>
      </c>
      <c r="I552" s="1026" t="str">
        <f t="shared" si="45"/>
        <v/>
      </c>
      <c r="J552" s="1376"/>
      <c r="K552" s="1376" t="str">
        <f t="shared" si="46"/>
        <v/>
      </c>
      <c r="L552" s="1089" t="s">
        <v>1488</v>
      </c>
      <c r="M552" s="1376">
        <v>530</v>
      </c>
      <c r="N552" s="1376"/>
      <c r="R552" s="1376" t="s">
        <v>898</v>
      </c>
    </row>
    <row r="553" spans="1:18" s="1370" customFormat="1" x14ac:dyDescent="0.25">
      <c r="A553" s="1117" t="s">
        <v>1594</v>
      </c>
      <c r="B553" s="1089" t="str">
        <f ca="1">_xlfn.CONCAT(IFERROR(SUBSTITUTE(ADDRESS(1,MATCH(A553,INDIRECT("'"&amp;E553&amp;"'"&amp;"!A" &amp; $O$539+8 &amp; ":Z"&amp;$O$539+8),0),4),1,""),""),$O$539+8)</f>
        <v>H11</v>
      </c>
      <c r="C553" s="1089" t="str">
        <f ca="1">_xlfn.CONCAT(IFERROR(SUBSTITUTE(ADDRESS(1,MATCH(A553,INDIRECT("'"&amp;E553&amp;"'"&amp;"!A" &amp; $O$539+8 &amp; ":Z"&amp;$O$539+8),0),4),1,""),""),$O$539+9)</f>
        <v>H12</v>
      </c>
      <c r="D553" s="1089" t="s">
        <v>1448</v>
      </c>
      <c r="E553" s="1089" t="s">
        <v>1618</v>
      </c>
      <c r="I553" s="1026" t="str">
        <f t="shared" si="45"/>
        <v>Include All Customers Flag</v>
      </c>
      <c r="J553" s="1376" t="str">
        <f t="shared" si="47"/>
        <v>529</v>
      </c>
      <c r="K553" s="1376" t="str">
        <f t="shared" si="46"/>
        <v>Incentives Worksheet</v>
      </c>
      <c r="L553" s="1089" t="s">
        <v>1594</v>
      </c>
      <c r="M553" s="1376">
        <v>529</v>
      </c>
      <c r="N553" s="1376"/>
      <c r="R553" s="1376" t="s">
        <v>898</v>
      </c>
    </row>
    <row r="554" spans="1:18" s="1370" customFormat="1" x14ac:dyDescent="0.25">
      <c r="A554" s="1120" t="s">
        <v>1593</v>
      </c>
      <c r="B554" s="1089" t="str">
        <f ca="1">IFERROR(_xlfn.CONCAT("C",MATCH(A554,INDIRECT("'"&amp;E554&amp;"'!C"&amp;$O$555&amp;":C"&amp;$O$557),0)+$O$555-1),"")</f>
        <v>C21</v>
      </c>
      <c r="C554" s="1089" t="str">
        <f ca="1">IFERROR(_xlfn.CONCAT("D",MATCH(A554,INDIRECT("'"&amp;E554&amp;"'!C"&amp;$O$555&amp;":C"&amp;$O$557),0)+$O$555-1),"")</f>
        <v>D21</v>
      </c>
      <c r="D554" s="1089" t="s">
        <v>1448</v>
      </c>
      <c r="E554" s="1089" t="s">
        <v>1618</v>
      </c>
      <c r="I554" s="1026" t="str">
        <f t="shared" si="45"/>
        <v/>
      </c>
      <c r="J554" s="1376"/>
      <c r="K554" s="1376" t="str">
        <f t="shared" si="46"/>
        <v/>
      </c>
      <c r="L554" s="1089" t="s">
        <v>1593</v>
      </c>
      <c r="M554" s="1376">
        <v>531</v>
      </c>
      <c r="N554" s="1376"/>
      <c r="O554" s="1370" t="s">
        <v>742</v>
      </c>
      <c r="R554" s="1376" t="s">
        <v>898</v>
      </c>
    </row>
    <row r="555" spans="1:18" s="1370" customFormat="1" x14ac:dyDescent="0.25">
      <c r="A555" s="1120" t="s">
        <v>1809</v>
      </c>
      <c r="B555" s="1089" t="str">
        <f ca="1">_xlfn.CONCAT(IFERROR(SUBSTITUTE(ADDRESS(1,MATCH(A555,INDIRECT("'"&amp;E555&amp;"'"&amp;"!A" &amp; $O$555+11 &amp; ":Z" &amp; $O$555+11),0),4),1,""),""),$O$555+11)</f>
        <v>T28</v>
      </c>
      <c r="C555" s="1089" t="str">
        <f ca="1">_xlfn.CONCAT(IFERROR(SUBSTITUTE(ADDRESS(1,MATCH(A555,INDIRECT("'"&amp;E555&amp;"'"&amp;"!A" &amp; $O$555+11 &amp; ":Z" &amp; $O$555+11),0),4),1,""),""),$O$555+12)</f>
        <v>T29</v>
      </c>
      <c r="D555" s="1089" t="s">
        <v>1448</v>
      </c>
      <c r="E555" s="1089" t="s">
        <v>1618</v>
      </c>
      <c r="I555" s="1026" t="str">
        <f t="shared" si="45"/>
        <v/>
      </c>
      <c r="J555" s="1376"/>
      <c r="K555" s="1376" t="str">
        <f t="shared" si="46"/>
        <v/>
      </c>
      <c r="L555" s="1089" t="s">
        <v>1809</v>
      </c>
      <c r="M555" s="1376">
        <v>532</v>
      </c>
      <c r="N555" s="1376"/>
      <c r="O555" s="1370">
        <f>'Configurable Tab'!H4</f>
        <v>17</v>
      </c>
      <c r="Q555" s="1370" t="s">
        <v>653</v>
      </c>
      <c r="R555" s="1376" t="s">
        <v>898</v>
      </c>
    </row>
    <row r="556" spans="1:18" s="1370" customFormat="1" x14ac:dyDescent="0.25">
      <c r="A556" s="1120" t="s">
        <v>1482</v>
      </c>
      <c r="B556" s="1089" t="str">
        <f ca="1">IFERROR(_xlfn.CONCAT("C",MATCH(A556,INDIRECT("'"&amp;E556&amp;"'!C"&amp;$O$555&amp;":C"&amp;$O$557),0)+$O$555-1),"")</f>
        <v>C19</v>
      </c>
      <c r="C556" s="1089" t="str">
        <f ca="1">IFERROR(_xlfn.CONCAT("D",MATCH(A556,INDIRECT("'"&amp;E556&amp;"'!C"&amp;$O$555&amp;":C"&amp;$O$557),0)+$O$555-1),"")</f>
        <v>D19</v>
      </c>
      <c r="D556" s="1089" t="s">
        <v>1448</v>
      </c>
      <c r="E556" s="1089" t="s">
        <v>1618</v>
      </c>
      <c r="I556" s="1026" t="str">
        <f t="shared" si="45"/>
        <v/>
      </c>
      <c r="J556" s="1376"/>
      <c r="K556" s="1376" t="str">
        <f t="shared" si="46"/>
        <v/>
      </c>
      <c r="L556" s="1089" t="s">
        <v>1482</v>
      </c>
      <c r="M556" s="1376">
        <v>533</v>
      </c>
      <c r="N556" s="1376"/>
      <c r="O556" s="1370" t="s">
        <v>743</v>
      </c>
      <c r="R556" s="1376" t="s">
        <v>898</v>
      </c>
    </row>
    <row r="557" spans="1:18" s="1370" customFormat="1" x14ac:dyDescent="0.25">
      <c r="A557" s="1120" t="s">
        <v>1484</v>
      </c>
      <c r="B557" s="1089" t="str">
        <f ca="1">IFERROR(_xlfn.CONCAT("C",MATCH(A557,INDIRECT("'"&amp;E557&amp;"'!C"&amp;$O$555&amp;":C"&amp;$O$557),0)+$O$555-1),"")</f>
        <v>C23</v>
      </c>
      <c r="C557" s="1089" t="str">
        <f ca="1">IFERROR(_xlfn.CONCAT("D",MATCH(A557,INDIRECT("'"&amp;E557&amp;"'!C"&amp;$O$555&amp;":C"&amp;$O$557),0)+$O$555-1),"")</f>
        <v>D23</v>
      </c>
      <c r="D557" s="1089" t="s">
        <v>1448</v>
      </c>
      <c r="E557" s="1089" t="s">
        <v>1618</v>
      </c>
      <c r="I557" s="1026" t="str">
        <f t="shared" si="45"/>
        <v/>
      </c>
      <c r="J557" s="1376"/>
      <c r="K557" s="1376" t="str">
        <f t="shared" si="46"/>
        <v/>
      </c>
      <c r="L557" s="1089" t="s">
        <v>1484</v>
      </c>
      <c r="M557" s="1376">
        <v>541</v>
      </c>
      <c r="N557" s="1376"/>
      <c r="O557" s="1370">
        <f>'Configurable Tab'!I4</f>
        <v>30</v>
      </c>
      <c r="R557" s="1376" t="s">
        <v>898</v>
      </c>
    </row>
    <row r="558" spans="1:18" s="1370" customFormat="1" x14ac:dyDescent="0.25">
      <c r="A558" s="1120" t="s">
        <v>1485</v>
      </c>
      <c r="B558" s="1089" t="str">
        <f ca="1">IFERROR(_xlfn.CONCAT("C",MATCH(A558,INDIRECT("'"&amp;E558&amp;"'!C"&amp;$O$555&amp;":C"&amp;$O$557),0)+$O$555-1),"")</f>
        <v>C25</v>
      </c>
      <c r="C558" s="1089" t="str">
        <f ca="1">IFERROR(_xlfn.CONCAT("D",MATCH(A558,INDIRECT("'"&amp;E558&amp;"'!C"&amp;$O$555&amp;":C"&amp;$O$557),0)+$O$555-1),"")</f>
        <v>D25</v>
      </c>
      <c r="D558" s="1089" t="s">
        <v>1448</v>
      </c>
      <c r="E558" s="1089" t="s">
        <v>1618</v>
      </c>
      <c r="I558" s="1026" t="str">
        <f t="shared" si="45"/>
        <v/>
      </c>
      <c r="J558" s="1376"/>
      <c r="K558" s="1376" t="str">
        <f t="shared" si="46"/>
        <v/>
      </c>
      <c r="L558" s="1089" t="s">
        <v>1485</v>
      </c>
      <c r="M558" s="1376">
        <v>542</v>
      </c>
      <c r="N558" s="1376"/>
      <c r="O558" s="1370" t="s">
        <v>1737</v>
      </c>
      <c r="R558" s="1376" t="s">
        <v>898</v>
      </c>
    </row>
    <row r="559" spans="1:18" s="1370" customFormat="1" ht="30" x14ac:dyDescent="0.25">
      <c r="A559" s="1120" t="s">
        <v>1597</v>
      </c>
      <c r="B559" s="1089" t="str">
        <f ca="1">IFERROR(_xlfn.CONCAT("C",MATCH(A559,INDIRECT("'"&amp;E559&amp;"'!C"&amp;$O$555&amp;":C"&amp;$O$557),0)+$O$555-1),"")</f>
        <v>C27</v>
      </c>
      <c r="C559" s="1089" t="str">
        <f ca="1">IFERROR(_xlfn.CONCAT("D",MATCH(A559,INDIRECT("'"&amp;E559&amp;"'!C"&amp;$O$555&amp;":C"&amp;$O$557),0)+$O$555-1),"")</f>
        <v>D27</v>
      </c>
      <c r="D559" s="1089" t="s">
        <v>1448</v>
      </c>
      <c r="E559" s="1089" t="s">
        <v>1618</v>
      </c>
      <c r="I559" s="1026" t="str">
        <f t="shared" si="45"/>
        <v>Incentive Dates Match Agreement Dates Flag</v>
      </c>
      <c r="J559" s="1376" t="str">
        <f t="shared" si="47"/>
        <v>543</v>
      </c>
      <c r="K559" s="1376" t="str">
        <f t="shared" si="46"/>
        <v>Incentives Worksheet</v>
      </c>
      <c r="L559" s="1089" t="s">
        <v>1597</v>
      </c>
      <c r="M559" s="1376">
        <v>543</v>
      </c>
      <c r="N559" s="1376"/>
      <c r="R559" s="1376" t="s">
        <v>898</v>
      </c>
    </row>
    <row r="560" spans="1:18" s="1370" customFormat="1" x14ac:dyDescent="0.25">
      <c r="A560" s="1120" t="s">
        <v>1479</v>
      </c>
      <c r="B560" s="1089" t="str">
        <f ca="1">_xlfn.CONCAT(IFERROR(SUBSTITUTE(ADDRESS(1,MATCH(A560,INDIRECT("'"&amp;E560&amp;"'"&amp;"!A" &amp; $O$555+2 &amp; ":Z" &amp; $O$555+2),0),4),1,""),""),$O$555+2)</f>
        <v>H19</v>
      </c>
      <c r="C560" s="1089" t="str">
        <f ca="1">_xlfn.CONCAT(IFERROR(SUBSTITUTE(ADDRESS(1,MATCH(A560,INDIRECT("'"&amp;E560&amp;"'"&amp;"!A" &amp; $O$555+2 &amp; ":Z" &amp; $O$555+2),0),4),1,""),""),$O$555+3)</f>
        <v>H20</v>
      </c>
      <c r="D560" s="1089" t="s">
        <v>1448</v>
      </c>
      <c r="E560" s="1089" t="s">
        <v>1618</v>
      </c>
      <c r="I560" s="1026" t="str">
        <f t="shared" si="45"/>
        <v/>
      </c>
      <c r="J560" s="1376"/>
      <c r="K560" s="1376" t="str">
        <f t="shared" si="46"/>
        <v/>
      </c>
      <c r="L560" s="1089" t="s">
        <v>1479</v>
      </c>
      <c r="M560" s="1376">
        <v>534</v>
      </c>
      <c r="N560" s="1376"/>
      <c r="R560" s="1376" t="s">
        <v>898</v>
      </c>
    </row>
    <row r="561" spans="1:18" s="1370" customFormat="1" x14ac:dyDescent="0.25">
      <c r="A561" s="1120" t="s">
        <v>1480</v>
      </c>
      <c r="B561" s="1089" t="str">
        <f t="shared" ref="B561:B566" ca="1" si="52">_xlfn.CONCAT(IFERROR(SUBSTITUTE(ADDRESS(1,MATCH(A561,INDIRECT("'"&amp;E561&amp;"'"&amp;"!A" &amp; $O$555+2 &amp; ":Z" &amp; $O$555+2),0),4),1,""),""),$O$555+2)</f>
        <v>J19</v>
      </c>
      <c r="C561" s="1089" t="str">
        <f t="shared" ref="C561:C566" ca="1" si="53">_xlfn.CONCAT(IFERROR(SUBSTITUTE(ADDRESS(1,MATCH(A561,INDIRECT("'"&amp;E561&amp;"'"&amp;"!A" &amp; $O$555+2 &amp; ":Z" &amp; $O$555+2),0),4),1,""),""),$O$555+3)</f>
        <v>J20</v>
      </c>
      <c r="D561" s="1089" t="s">
        <v>1448</v>
      </c>
      <c r="E561" s="1089" t="s">
        <v>1618</v>
      </c>
      <c r="I561" s="1026" t="str">
        <f t="shared" si="45"/>
        <v/>
      </c>
      <c r="J561" s="1376"/>
      <c r="K561" s="1376" t="str">
        <f t="shared" si="46"/>
        <v/>
      </c>
      <c r="L561" s="1089" t="s">
        <v>1480</v>
      </c>
      <c r="M561" s="1376">
        <v>535</v>
      </c>
      <c r="N561" s="1376"/>
      <c r="R561" s="1376" t="s">
        <v>898</v>
      </c>
    </row>
    <row r="562" spans="1:18" s="1370" customFormat="1" x14ac:dyDescent="0.25">
      <c r="A562" s="1120" t="s">
        <v>1496</v>
      </c>
      <c r="B562" s="1089" t="str">
        <f t="shared" ca="1" si="52"/>
        <v>L19</v>
      </c>
      <c r="C562" s="1089" t="str">
        <f t="shared" ca="1" si="53"/>
        <v>L20</v>
      </c>
      <c r="D562" s="1089" t="s">
        <v>1448</v>
      </c>
      <c r="E562" s="1089" t="s">
        <v>1618</v>
      </c>
      <c r="I562" s="1026" t="str">
        <f t="shared" si="45"/>
        <v/>
      </c>
      <c r="J562" s="1376"/>
      <c r="K562" s="1376" t="str">
        <f t="shared" si="46"/>
        <v/>
      </c>
      <c r="L562" s="1089" t="s">
        <v>1496</v>
      </c>
      <c r="M562" s="1376">
        <v>536</v>
      </c>
      <c r="N562" s="1376"/>
      <c r="R562" s="1376" t="s">
        <v>898</v>
      </c>
    </row>
    <row r="563" spans="1:18" s="1370" customFormat="1" x14ac:dyDescent="0.25">
      <c r="A563" s="1120" t="s">
        <v>1481</v>
      </c>
      <c r="B563" s="1089" t="str">
        <f t="shared" ca="1" si="52"/>
        <v>N19</v>
      </c>
      <c r="C563" s="1089" t="str">
        <f t="shared" ca="1" si="53"/>
        <v>N20</v>
      </c>
      <c r="D563" s="1089" t="s">
        <v>1448</v>
      </c>
      <c r="E563" s="1089" t="s">
        <v>1618</v>
      </c>
      <c r="I563" s="1026" t="str">
        <f t="shared" si="45"/>
        <v/>
      </c>
      <c r="J563" s="1376"/>
      <c r="K563" s="1376" t="str">
        <f t="shared" si="46"/>
        <v/>
      </c>
      <c r="L563" s="1089" t="s">
        <v>1481</v>
      </c>
      <c r="M563" s="1376">
        <v>537</v>
      </c>
      <c r="N563" s="1376"/>
      <c r="R563" s="1376" t="s">
        <v>898</v>
      </c>
    </row>
    <row r="564" spans="1:18" s="1370" customFormat="1" x14ac:dyDescent="0.25">
      <c r="A564" s="1120" t="s">
        <v>1588</v>
      </c>
      <c r="B564" s="1089" t="str">
        <f t="shared" ca="1" si="52"/>
        <v>P19</v>
      </c>
      <c r="C564" s="1089" t="str">
        <f t="shared" ca="1" si="53"/>
        <v>P20</v>
      </c>
      <c r="D564" s="1089" t="s">
        <v>1448</v>
      </c>
      <c r="E564" s="1089" t="s">
        <v>1618</v>
      </c>
      <c r="I564" s="1026" t="str">
        <f t="shared" si="45"/>
        <v>Qualifying Cycle</v>
      </c>
      <c r="J564" s="1376" t="str">
        <f t="shared" si="47"/>
        <v>538</v>
      </c>
      <c r="K564" s="1376" t="str">
        <f t="shared" si="46"/>
        <v>Incentives Worksheet</v>
      </c>
      <c r="L564" s="1089" t="s">
        <v>1588</v>
      </c>
      <c r="M564" s="1376">
        <v>538</v>
      </c>
      <c r="N564" s="1376"/>
      <c r="R564" s="1376" t="s">
        <v>898</v>
      </c>
    </row>
    <row r="565" spans="1:18" s="1370" customFormat="1" x14ac:dyDescent="0.25">
      <c r="A565" s="1120" t="s">
        <v>1589</v>
      </c>
      <c r="B565" s="1089" t="str">
        <f t="shared" ca="1" si="52"/>
        <v>R19</v>
      </c>
      <c r="C565" s="1089" t="str">
        <f t="shared" ca="1" si="53"/>
        <v>R20</v>
      </c>
      <c r="D565" s="1089" t="s">
        <v>1448</v>
      </c>
      <c r="E565" s="1089" t="s">
        <v>1618</v>
      </c>
      <c r="I565" s="1026" t="str">
        <f t="shared" si="45"/>
        <v>Incentive Calendar</v>
      </c>
      <c r="J565" s="1376" t="str">
        <f t="shared" si="47"/>
        <v>539</v>
      </c>
      <c r="K565" s="1376" t="str">
        <f t="shared" si="46"/>
        <v>Incentives Worksheet</v>
      </c>
      <c r="L565" s="1089" t="s">
        <v>1589</v>
      </c>
      <c r="M565" s="1376">
        <v>539</v>
      </c>
      <c r="N565" s="1376"/>
      <c r="R565" s="1376" t="s">
        <v>898</v>
      </c>
    </row>
    <row r="566" spans="1:18" s="1370" customFormat="1" x14ac:dyDescent="0.25">
      <c r="A566" s="1120" t="s">
        <v>1590</v>
      </c>
      <c r="B566" s="1089" t="str">
        <f t="shared" ca="1" si="52"/>
        <v>T19</v>
      </c>
      <c r="C566" s="1089" t="str">
        <f t="shared" ca="1" si="53"/>
        <v>T20</v>
      </c>
      <c r="D566" s="1089" t="s">
        <v>1448</v>
      </c>
      <c r="E566" s="1089" t="s">
        <v>1618</v>
      </c>
      <c r="I566" s="1026" t="str">
        <f t="shared" si="45"/>
        <v>Post to GL Payment Method Flag</v>
      </c>
      <c r="J566" s="1376" t="str">
        <f t="shared" si="47"/>
        <v>540</v>
      </c>
      <c r="K566" s="1376" t="str">
        <f t="shared" si="46"/>
        <v>Incentives Worksheet</v>
      </c>
      <c r="L566" s="1089" t="s">
        <v>1590</v>
      </c>
      <c r="M566" s="1376">
        <v>540</v>
      </c>
      <c r="N566" s="1376"/>
      <c r="R566" s="1376" t="s">
        <v>898</v>
      </c>
    </row>
    <row r="567" spans="1:18" s="1370" customFormat="1" x14ac:dyDescent="0.25">
      <c r="A567" s="1120" t="s">
        <v>1488</v>
      </c>
      <c r="B567" s="1089" t="str">
        <f ca="1">_xlfn.CONCAT(IFERROR(SUBSTITUTE(ADDRESS(1,MATCH(A567,INDIRECT("'"&amp;E567&amp;"'"&amp;"!A" &amp; $O$555+5 &amp; ":Z" &amp; $O$555+5),0),4),1,""),""),$O$555+5)</f>
        <v>L22</v>
      </c>
      <c r="C567" s="1089" t="str">
        <f ca="1">_xlfn.CONCAT(IFERROR(SUBSTITUTE(ADDRESS(1,MATCH(A567,INDIRECT("'"&amp;E567&amp;"'"&amp;"!A" &amp; $O$555+5 &amp; ":Z" &amp; $O$555+5),0),4),1,""),""),$O$555+6)</f>
        <v>L23</v>
      </c>
      <c r="D567" s="1089" t="s">
        <v>1448</v>
      </c>
      <c r="E567" s="1089" t="s">
        <v>1618</v>
      </c>
      <c r="I567" s="1026" t="str">
        <f t="shared" si="45"/>
        <v/>
      </c>
      <c r="J567" s="1376"/>
      <c r="K567" s="1376" t="str">
        <f t="shared" si="46"/>
        <v/>
      </c>
      <c r="L567" s="1089" t="s">
        <v>1488</v>
      </c>
      <c r="M567" s="1376">
        <v>545</v>
      </c>
      <c r="N567" s="1376"/>
      <c r="R567" s="1376" t="s">
        <v>898</v>
      </c>
    </row>
    <row r="568" spans="1:18" s="1370" customFormat="1" x14ac:dyDescent="0.25">
      <c r="A568" s="1120" t="s">
        <v>1594</v>
      </c>
      <c r="B568" s="1089" t="str">
        <f ca="1">_xlfn.CONCAT(IFERROR(SUBSTITUTE(ADDRESS(1,MATCH(A568,INDIRECT("'"&amp;E568&amp;"'"&amp;"!A" &amp; $O$555+8 &amp; ":Z" &amp; $O$555+8),0),4),1,""),""),$O$555+8)</f>
        <v>H25</v>
      </c>
      <c r="C568" s="1089" t="str">
        <f ca="1">_xlfn.CONCAT(IFERROR(SUBSTITUTE(ADDRESS(1,MATCH(A568,INDIRECT("'"&amp;E568&amp;"'"&amp;"!A" &amp; $O$555+8 &amp; ":Z" &amp; $O$555+8),0),4),1,""),""),$O$555+9)</f>
        <v>H26</v>
      </c>
      <c r="D568" s="1089" t="s">
        <v>1448</v>
      </c>
      <c r="E568" s="1089" t="s">
        <v>1618</v>
      </c>
      <c r="I568" s="1026" t="str">
        <f t="shared" si="45"/>
        <v>Include All Customers Flag</v>
      </c>
      <c r="J568" s="1376" t="str">
        <f t="shared" si="47"/>
        <v>544</v>
      </c>
      <c r="K568" s="1376" t="str">
        <f t="shared" si="46"/>
        <v>Incentives Worksheet</v>
      </c>
      <c r="L568" s="1089" t="s">
        <v>1594</v>
      </c>
      <c r="M568" s="1376">
        <v>544</v>
      </c>
      <c r="N568" s="1376"/>
      <c r="R568" s="1376" t="s">
        <v>898</v>
      </c>
    </row>
    <row r="569" spans="1:18" s="1370" customFormat="1" x14ac:dyDescent="0.25">
      <c r="A569" s="1117" t="s">
        <v>1593</v>
      </c>
      <c r="B569" s="1089" t="str">
        <f ca="1">IFERROR(_xlfn.CONCAT("C",MATCH(A569,INDIRECT("'"&amp;E569&amp;"'!C"&amp;$O$570&amp;":C"&amp;$O$572),0)+$O$570-1),"")</f>
        <v>C35</v>
      </c>
      <c r="C569" s="1089" t="str">
        <f ca="1">IFERROR(_xlfn.CONCAT("D",MATCH(A569,INDIRECT("'"&amp;E569&amp;"'!C"&amp;$O$570&amp;":C"&amp;$O$572),0)+$O$570-1),"")</f>
        <v>D35</v>
      </c>
      <c r="D569" s="1089" t="s">
        <v>1448</v>
      </c>
      <c r="E569" s="1089" t="s">
        <v>1618</v>
      </c>
      <c r="I569" s="1026" t="str">
        <f t="shared" si="45"/>
        <v/>
      </c>
      <c r="J569" s="1376"/>
      <c r="K569" s="1376" t="str">
        <f t="shared" si="46"/>
        <v/>
      </c>
      <c r="L569" s="1089" t="s">
        <v>1593</v>
      </c>
      <c r="M569" s="1376">
        <v>546</v>
      </c>
      <c r="N569" s="1376"/>
      <c r="O569" s="1370" t="s">
        <v>742</v>
      </c>
      <c r="R569" s="1376" t="s">
        <v>898</v>
      </c>
    </row>
    <row r="570" spans="1:18" s="1370" customFormat="1" x14ac:dyDescent="0.25">
      <c r="A570" s="1117" t="s">
        <v>1809</v>
      </c>
      <c r="B570" s="1089" t="str">
        <f ca="1">_xlfn.CONCAT(IFERROR(SUBSTITUTE(ADDRESS(1,MATCH(A570,INDIRECT("'"&amp;E570&amp;"'"&amp;"!A" &amp; $O$570+11 &amp; ":Z" &amp; $O$570+11),0),4),1,""),""),$O$570+11)</f>
        <v>T42</v>
      </c>
      <c r="C570" s="1089" t="str">
        <f ca="1">_xlfn.CONCAT(IFERROR(SUBSTITUTE(ADDRESS(1,MATCH(A570,INDIRECT("'"&amp;E570&amp;"'"&amp;"!A" &amp; $O$570+11 &amp; ":Z" &amp; $O$570+11),0),4),1,""),""),$O$570+12)</f>
        <v>T43</v>
      </c>
      <c r="D570" s="1089" t="s">
        <v>1448</v>
      </c>
      <c r="E570" s="1089" t="s">
        <v>1618</v>
      </c>
      <c r="I570" s="1026" t="str">
        <f t="shared" si="45"/>
        <v/>
      </c>
      <c r="J570" s="1376"/>
      <c r="K570" s="1376" t="str">
        <f t="shared" si="46"/>
        <v/>
      </c>
      <c r="L570" s="1089" t="s">
        <v>1809</v>
      </c>
      <c r="M570" s="1376">
        <v>547</v>
      </c>
      <c r="N570" s="1376"/>
      <c r="O570" s="1370">
        <f>'Configurable Tab'!H5</f>
        <v>31</v>
      </c>
      <c r="Q570" s="1370" t="s">
        <v>651</v>
      </c>
      <c r="R570" s="1376" t="s">
        <v>898</v>
      </c>
    </row>
    <row r="571" spans="1:18" s="1370" customFormat="1" x14ac:dyDescent="0.25">
      <c r="A571" s="1117" t="s">
        <v>1482</v>
      </c>
      <c r="B571" s="1089" t="str">
        <f ca="1">IFERROR(_xlfn.CONCAT("C",MATCH(A571,INDIRECT("'"&amp;E571&amp;"'!C"&amp;$O$570&amp;":C"&amp;$O$572),0)+$O$570-1),"")</f>
        <v>C33</v>
      </c>
      <c r="C571" s="1089" t="str">
        <f ca="1">IFERROR(_xlfn.CONCAT("D",MATCH(A571,INDIRECT("'"&amp;E571&amp;"'!C"&amp;$O$570&amp;":C"&amp;$O$572),0)+$O$570-1),"")</f>
        <v>D33</v>
      </c>
      <c r="D571" s="1089" t="s">
        <v>1448</v>
      </c>
      <c r="E571" s="1089" t="s">
        <v>1618</v>
      </c>
      <c r="I571" s="1026" t="str">
        <f t="shared" si="45"/>
        <v/>
      </c>
      <c r="J571" s="1376"/>
      <c r="K571" s="1376" t="str">
        <f t="shared" si="46"/>
        <v/>
      </c>
      <c r="L571" s="1089" t="s">
        <v>1482</v>
      </c>
      <c r="M571" s="1376">
        <v>548</v>
      </c>
      <c r="N571" s="1376"/>
      <c r="O571" s="1370" t="s">
        <v>743</v>
      </c>
      <c r="R571" s="1376" t="s">
        <v>898</v>
      </c>
    </row>
    <row r="572" spans="1:18" s="1370" customFormat="1" x14ac:dyDescent="0.25">
      <c r="A572" s="1117" t="s">
        <v>1484</v>
      </c>
      <c r="B572" s="1089" t="str">
        <f ca="1">IFERROR(_xlfn.CONCAT("C",MATCH(A572,INDIRECT("'"&amp;E572&amp;"'!C"&amp;$O$570&amp;":C"&amp;$O$572),0)+$O$570-1),"")</f>
        <v>C37</v>
      </c>
      <c r="C572" s="1089" t="str">
        <f ca="1">IFERROR(_xlfn.CONCAT("D",MATCH(A572,INDIRECT("'"&amp;E572&amp;"'!C"&amp;$O$570&amp;":C"&amp;$O$572),0)+$O$570-1),"")</f>
        <v>D37</v>
      </c>
      <c r="D572" s="1089" t="s">
        <v>1448</v>
      </c>
      <c r="E572" s="1089" t="s">
        <v>1618</v>
      </c>
      <c r="I572" s="1026" t="str">
        <f t="shared" si="45"/>
        <v/>
      </c>
      <c r="J572" s="1376"/>
      <c r="K572" s="1376" t="str">
        <f t="shared" si="46"/>
        <v/>
      </c>
      <c r="L572" s="1089" t="s">
        <v>1484</v>
      </c>
      <c r="M572" s="1376">
        <v>556</v>
      </c>
      <c r="N572" s="1376"/>
      <c r="O572" s="1370">
        <f>'Configurable Tab'!I5</f>
        <v>44</v>
      </c>
      <c r="R572" s="1376" t="s">
        <v>898</v>
      </c>
    </row>
    <row r="573" spans="1:18" s="1370" customFormat="1" x14ac:dyDescent="0.25">
      <c r="A573" s="1117" t="s">
        <v>1485</v>
      </c>
      <c r="B573" s="1089" t="str">
        <f ca="1">IFERROR(_xlfn.CONCAT("C",MATCH(A573,INDIRECT("'"&amp;E573&amp;"'!C"&amp;$O$570&amp;":C"&amp;$O$572),0)+$O$570-1),"")</f>
        <v>C39</v>
      </c>
      <c r="C573" s="1089" t="str">
        <f ca="1">IFERROR(_xlfn.CONCAT("D",MATCH(A573,INDIRECT("'"&amp;E573&amp;"'!C"&amp;$O$570&amp;":C"&amp;$O$572),0)+$O$570-1),"")</f>
        <v>D39</v>
      </c>
      <c r="D573" s="1089" t="s">
        <v>1448</v>
      </c>
      <c r="E573" s="1089" t="s">
        <v>1618</v>
      </c>
      <c r="I573" s="1026" t="str">
        <f t="shared" si="45"/>
        <v/>
      </c>
      <c r="J573" s="1376"/>
      <c r="K573" s="1376" t="str">
        <f t="shared" si="46"/>
        <v/>
      </c>
      <c r="L573" s="1089" t="s">
        <v>1485</v>
      </c>
      <c r="M573" s="1376">
        <v>557</v>
      </c>
      <c r="N573" s="1376"/>
      <c r="O573" s="1222" t="s">
        <v>1738</v>
      </c>
      <c r="R573" s="1376" t="s">
        <v>898</v>
      </c>
    </row>
    <row r="574" spans="1:18" s="1370" customFormat="1" ht="30" x14ac:dyDescent="0.25">
      <c r="A574" s="1117" t="s">
        <v>1597</v>
      </c>
      <c r="B574" s="1089" t="str">
        <f ca="1">IFERROR(_xlfn.CONCAT("C",MATCH(A574,INDIRECT("'"&amp;E574&amp;"'!C"&amp;$O$570&amp;":C"&amp;$O$572),0)+$O$570-1),"")</f>
        <v>C41</v>
      </c>
      <c r="C574" s="1089" t="str">
        <f ca="1">IFERROR(_xlfn.CONCAT("D",MATCH(A574,INDIRECT("'"&amp;E574&amp;"'!C"&amp;$O$570&amp;":C"&amp;$O$572),0)+$O$570-1),"")</f>
        <v>D41</v>
      </c>
      <c r="D574" s="1089" t="s">
        <v>1448</v>
      </c>
      <c r="E574" s="1089" t="s">
        <v>1618</v>
      </c>
      <c r="I574" s="1026" t="str">
        <f t="shared" si="45"/>
        <v>Incentive Dates Match Agreement Dates Flag</v>
      </c>
      <c r="J574" s="1376" t="str">
        <f t="shared" si="47"/>
        <v>558</v>
      </c>
      <c r="K574" s="1376" t="str">
        <f t="shared" si="46"/>
        <v>Incentives Worksheet</v>
      </c>
      <c r="L574" s="1089" t="s">
        <v>1597</v>
      </c>
      <c r="M574" s="1376">
        <v>558</v>
      </c>
      <c r="N574" s="1376"/>
      <c r="R574" s="1376" t="s">
        <v>898</v>
      </c>
    </row>
    <row r="575" spans="1:18" s="1370" customFormat="1" x14ac:dyDescent="0.25">
      <c r="A575" s="1117" t="s">
        <v>1479</v>
      </c>
      <c r="B575" s="1089" t="str">
        <f ca="1">_xlfn.CONCAT(IFERROR(SUBSTITUTE(ADDRESS(1,MATCH(A575,INDIRECT("'"&amp;E575&amp;"'"&amp;"!A" &amp; $O$570+2 &amp; ":Z" &amp; $O$570+2),0),4),1,""),""),$O$570+2)</f>
        <v>H33</v>
      </c>
      <c r="C575" s="1089" t="str">
        <f ca="1">_xlfn.CONCAT(IFERROR(SUBSTITUTE(ADDRESS(1,MATCH(A575,INDIRECT("'"&amp;E575&amp;"'"&amp;"!A" &amp; $O$570+2 &amp; ":Z" &amp; $O$570+2),0),4),1,""),""),$O$570+3)</f>
        <v>H34</v>
      </c>
      <c r="D575" s="1089" t="s">
        <v>1448</v>
      </c>
      <c r="E575" s="1089" t="s">
        <v>1618</v>
      </c>
      <c r="I575" s="1026" t="str">
        <f t="shared" si="45"/>
        <v/>
      </c>
      <c r="J575" s="1376"/>
      <c r="K575" s="1376" t="str">
        <f t="shared" si="46"/>
        <v/>
      </c>
      <c r="L575" s="1089" t="s">
        <v>1479</v>
      </c>
      <c r="M575" s="1376">
        <v>549</v>
      </c>
      <c r="N575" s="1376"/>
      <c r="R575" s="1376" t="s">
        <v>898</v>
      </c>
    </row>
    <row r="576" spans="1:18" s="1370" customFormat="1" x14ac:dyDescent="0.25">
      <c r="A576" s="1117" t="s">
        <v>1480</v>
      </c>
      <c r="B576" s="1089" t="str">
        <f t="shared" ref="B576:B581" ca="1" si="54">_xlfn.CONCAT(IFERROR(SUBSTITUTE(ADDRESS(1,MATCH(A576,INDIRECT("'"&amp;E576&amp;"'"&amp;"!A" &amp; $O$570+2 &amp; ":Z" &amp; $O$570+2),0),4),1,""),""),$O$570+2)</f>
        <v>J33</v>
      </c>
      <c r="C576" s="1089" t="str">
        <f t="shared" ref="C576:C581" ca="1" si="55">_xlfn.CONCAT(IFERROR(SUBSTITUTE(ADDRESS(1,MATCH(A576,INDIRECT("'"&amp;E576&amp;"'"&amp;"!A" &amp; $O$570+2 &amp; ":Z" &amp; $O$570+2),0),4),1,""),""),$O$570+3)</f>
        <v>J34</v>
      </c>
      <c r="D576" s="1089" t="s">
        <v>1448</v>
      </c>
      <c r="E576" s="1089" t="s">
        <v>1618</v>
      </c>
      <c r="I576" s="1026" t="str">
        <f t="shared" si="45"/>
        <v/>
      </c>
      <c r="J576" s="1376"/>
      <c r="K576" s="1376" t="str">
        <f t="shared" si="46"/>
        <v/>
      </c>
      <c r="L576" s="1089" t="s">
        <v>1480</v>
      </c>
      <c r="M576" s="1376">
        <v>550</v>
      </c>
      <c r="N576" s="1376"/>
      <c r="R576" s="1376" t="s">
        <v>898</v>
      </c>
    </row>
    <row r="577" spans="1:18" s="1370" customFormat="1" x14ac:dyDescent="0.25">
      <c r="A577" s="1117" t="s">
        <v>1496</v>
      </c>
      <c r="B577" s="1089" t="str">
        <f t="shared" ca="1" si="54"/>
        <v>L33</v>
      </c>
      <c r="C577" s="1089" t="str">
        <f t="shared" ca="1" si="55"/>
        <v>L34</v>
      </c>
      <c r="D577" s="1089" t="s">
        <v>1448</v>
      </c>
      <c r="E577" s="1089" t="s">
        <v>1618</v>
      </c>
      <c r="I577" s="1026" t="str">
        <f t="shared" si="45"/>
        <v/>
      </c>
      <c r="J577" s="1376"/>
      <c r="K577" s="1376" t="str">
        <f t="shared" si="46"/>
        <v/>
      </c>
      <c r="L577" s="1089" t="s">
        <v>1496</v>
      </c>
      <c r="M577" s="1376">
        <v>551</v>
      </c>
      <c r="N577" s="1376"/>
      <c r="R577" s="1376" t="s">
        <v>898</v>
      </c>
    </row>
    <row r="578" spans="1:18" s="1370" customFormat="1" x14ac:dyDescent="0.25">
      <c r="A578" s="1117" t="s">
        <v>1481</v>
      </c>
      <c r="B578" s="1089" t="str">
        <f t="shared" ca="1" si="54"/>
        <v>N33</v>
      </c>
      <c r="C578" s="1089" t="str">
        <f t="shared" ca="1" si="55"/>
        <v>N34</v>
      </c>
      <c r="D578" s="1089" t="s">
        <v>1448</v>
      </c>
      <c r="E578" s="1089" t="s">
        <v>1618</v>
      </c>
      <c r="I578" s="1026" t="str">
        <f t="shared" si="45"/>
        <v/>
      </c>
      <c r="J578" s="1376"/>
      <c r="K578" s="1376" t="str">
        <f t="shared" si="46"/>
        <v/>
      </c>
      <c r="L578" s="1089" t="s">
        <v>1481</v>
      </c>
      <c r="M578" s="1376">
        <v>552</v>
      </c>
      <c r="N578" s="1376"/>
      <c r="R578" s="1376" t="s">
        <v>898</v>
      </c>
    </row>
    <row r="579" spans="1:18" s="1370" customFormat="1" x14ac:dyDescent="0.25">
      <c r="A579" s="1117" t="s">
        <v>1588</v>
      </c>
      <c r="B579" s="1089" t="str">
        <f t="shared" ca="1" si="54"/>
        <v>P33</v>
      </c>
      <c r="C579" s="1089" t="str">
        <f t="shared" ca="1" si="55"/>
        <v>P34</v>
      </c>
      <c r="D579" s="1089" t="s">
        <v>1448</v>
      </c>
      <c r="E579" s="1089" t="s">
        <v>1618</v>
      </c>
      <c r="I579" s="1026" t="str">
        <f t="shared" si="45"/>
        <v>Qualifying Cycle</v>
      </c>
      <c r="J579" s="1376" t="str">
        <f t="shared" ref="J579:J637" si="56">IF(M579&lt;&gt;"",Q$1&amp;M579,"")</f>
        <v>553</v>
      </c>
      <c r="K579" s="1376" t="str">
        <f t="shared" si="46"/>
        <v>Incentives Worksheet</v>
      </c>
      <c r="L579" s="1089" t="s">
        <v>1588</v>
      </c>
      <c r="M579" s="1376">
        <v>553</v>
      </c>
      <c r="N579" s="1376"/>
      <c r="R579" s="1376" t="s">
        <v>898</v>
      </c>
    </row>
    <row r="580" spans="1:18" s="1370" customFormat="1" x14ac:dyDescent="0.25">
      <c r="A580" s="1117" t="s">
        <v>1589</v>
      </c>
      <c r="B580" s="1089" t="str">
        <f t="shared" ca="1" si="54"/>
        <v>R33</v>
      </c>
      <c r="C580" s="1089" t="str">
        <f t="shared" ca="1" si="55"/>
        <v>R34</v>
      </c>
      <c r="D580" s="1089" t="s">
        <v>1448</v>
      </c>
      <c r="E580" s="1089" t="s">
        <v>1618</v>
      </c>
      <c r="I580" s="1026" t="str">
        <f t="shared" ref="I580:I643" si="57">IF(J580&lt;&gt;"",A580,"")</f>
        <v>Incentive Calendar</v>
      </c>
      <c r="J580" s="1376" t="str">
        <f t="shared" si="56"/>
        <v>554</v>
      </c>
      <c r="K580" s="1376" t="str">
        <f t="shared" ref="K580:K643" si="58">IF(J580&lt;&gt;"",E580,"")</f>
        <v>Incentives Worksheet</v>
      </c>
      <c r="L580" s="1089" t="s">
        <v>1589</v>
      </c>
      <c r="M580" s="1376">
        <v>554</v>
      </c>
      <c r="N580" s="1376"/>
      <c r="R580" s="1376" t="s">
        <v>898</v>
      </c>
    </row>
    <row r="581" spans="1:18" s="1370" customFormat="1" x14ac:dyDescent="0.25">
      <c r="A581" s="1117" t="s">
        <v>1590</v>
      </c>
      <c r="B581" s="1089" t="str">
        <f t="shared" ca="1" si="54"/>
        <v>T33</v>
      </c>
      <c r="C581" s="1089" t="str">
        <f t="shared" ca="1" si="55"/>
        <v>T34</v>
      </c>
      <c r="D581" s="1089" t="s">
        <v>1448</v>
      </c>
      <c r="E581" s="1089" t="s">
        <v>1618</v>
      </c>
      <c r="I581" s="1026" t="str">
        <f t="shared" si="57"/>
        <v>Post to GL Payment Method Flag</v>
      </c>
      <c r="J581" s="1376" t="str">
        <f t="shared" si="56"/>
        <v>555</v>
      </c>
      <c r="K581" s="1376" t="str">
        <f t="shared" si="58"/>
        <v>Incentives Worksheet</v>
      </c>
      <c r="L581" s="1089" t="s">
        <v>1590</v>
      </c>
      <c r="M581" s="1376">
        <v>555</v>
      </c>
      <c r="N581" s="1376"/>
      <c r="R581" s="1376" t="s">
        <v>898</v>
      </c>
    </row>
    <row r="582" spans="1:18" s="1370" customFormat="1" x14ac:dyDescent="0.25">
      <c r="A582" s="1117" t="s">
        <v>1594</v>
      </c>
      <c r="B582" s="1089" t="str">
        <f ca="1">_xlfn.CONCAT(IFERROR(SUBSTITUTE(ADDRESS(1,MATCH(A582,INDIRECT("'"&amp;E582&amp;"'"&amp;"!A" &amp; $O$570+8 &amp; ":Z" &amp; $O$570+8),0),4),1,""),""),$O$570+8)</f>
        <v>H39</v>
      </c>
      <c r="C582" s="1089" t="str">
        <f ca="1">_xlfn.CONCAT(IFERROR(SUBSTITUTE(ADDRESS(1,MATCH(A582,INDIRECT("'"&amp;E582&amp;"'"&amp;"!A" &amp; $O$570+8 &amp; ":Z" &amp; $O$570+8),0),4),1,""),""),$O$570+9)</f>
        <v>H40</v>
      </c>
      <c r="D582" s="1089" t="s">
        <v>1448</v>
      </c>
      <c r="E582" s="1089" t="s">
        <v>1618</v>
      </c>
      <c r="I582" s="1026" t="str">
        <f t="shared" si="57"/>
        <v>Include All Customers Flag</v>
      </c>
      <c r="J582" s="1376" t="str">
        <f t="shared" si="56"/>
        <v>559</v>
      </c>
      <c r="K582" s="1376" t="str">
        <f t="shared" si="58"/>
        <v>Incentives Worksheet</v>
      </c>
      <c r="L582" s="1089" t="s">
        <v>1594</v>
      </c>
      <c r="M582" s="1376">
        <v>559</v>
      </c>
      <c r="N582" s="1376"/>
      <c r="R582" s="1376" t="s">
        <v>898</v>
      </c>
    </row>
    <row r="583" spans="1:18" s="1370" customFormat="1" x14ac:dyDescent="0.25">
      <c r="A583" s="1117" t="s">
        <v>1608</v>
      </c>
      <c r="B583" s="1089" t="str">
        <f ca="1">_xlfn.CONCAT(IFERROR(SUBSTITUTE(ADDRESS(1,MATCH(A583,INDIRECT("'"&amp;E583&amp;"'"&amp;"!A" &amp; $O$570+8 &amp; ":Z" &amp; $O$570+8),0),4),1,""),""),$O$570+8)</f>
        <v>J39</v>
      </c>
      <c r="C583" s="1089" t="str">
        <f ca="1">_xlfn.CONCAT(IFERROR(SUBSTITUTE(ADDRESS(1,MATCH(A583,INDIRECT("'"&amp;E583&amp;"'"&amp;"!A" &amp; $O$570+8 &amp; ":Z" &amp; $O$570+8),0),4),1,""),""),$O$570+9)</f>
        <v>J40</v>
      </c>
      <c r="D583" s="1089" t="s">
        <v>1448</v>
      </c>
      <c r="E583" s="1089" t="s">
        <v>1618</v>
      </c>
      <c r="I583" s="1026" t="str">
        <f t="shared" si="57"/>
        <v>Customer Aggregation</v>
      </c>
      <c r="J583" s="1376" t="str">
        <f t="shared" si="56"/>
        <v>560</v>
      </c>
      <c r="K583" s="1376" t="str">
        <f t="shared" si="58"/>
        <v>Incentives Worksheet</v>
      </c>
      <c r="L583" s="1089" t="s">
        <v>1608</v>
      </c>
      <c r="M583" s="1376">
        <v>560</v>
      </c>
      <c r="N583" s="1376"/>
      <c r="R583" s="1376" t="s">
        <v>898</v>
      </c>
    </row>
    <row r="584" spans="1:18" s="1370" customFormat="1" x14ac:dyDescent="0.25">
      <c r="A584" s="1117" t="s">
        <v>1610</v>
      </c>
      <c r="B584" s="1089" t="str">
        <f ca="1">_xlfn.CONCAT(IFERROR(SUBSTITUTE(ADDRESS(1,MATCH(A584,INDIRECT("'"&amp;E584&amp;"'"&amp;"!A" &amp; $O$570+8 &amp; ":Z" &amp; $O$570+8),0),4),1,""),""),$O$570+8)</f>
        <v>P39</v>
      </c>
      <c r="C584" s="1089" t="str">
        <f ca="1">_xlfn.CONCAT(IFERROR(SUBSTITUTE(ADDRESS(1,MATCH(A584,INDIRECT("'"&amp;E584&amp;"'"&amp;"!A" &amp; $O$570+8 &amp; ":Z" &amp; $O$570+8),0),4),1,""),""),$O$570+9)</f>
        <v>P40</v>
      </c>
      <c r="D584" s="1089" t="s">
        <v>1448</v>
      </c>
      <c r="E584" s="1089" t="s">
        <v>1618</v>
      </c>
      <c r="I584" s="1026" t="str">
        <f t="shared" si="57"/>
        <v>Weekly Threshold Flag</v>
      </c>
      <c r="J584" s="1376" t="str">
        <f t="shared" si="56"/>
        <v>564</v>
      </c>
      <c r="K584" s="1376" t="str">
        <f t="shared" si="58"/>
        <v>Incentives Worksheet</v>
      </c>
      <c r="L584" s="1089" t="s">
        <v>1610</v>
      </c>
      <c r="M584" s="1376">
        <v>564</v>
      </c>
      <c r="N584" s="1376"/>
      <c r="R584" s="1376" t="s">
        <v>898</v>
      </c>
    </row>
    <row r="585" spans="1:18" s="1370" customFormat="1" x14ac:dyDescent="0.25">
      <c r="A585" s="1117" t="s">
        <v>1486</v>
      </c>
      <c r="B585" s="1089" t="str">
        <f ca="1">_xlfn.CONCAT(IFERROR(SUBSTITUTE(ADDRESS(1,MATCH(A585,INDIRECT("'"&amp;E585&amp;"'"&amp;"!A" &amp; $O$570+5 &amp; ":Z" &amp; $O$570+5),0),4),1,""),""),$O$570+5)</f>
        <v>H36</v>
      </c>
      <c r="C585" s="1089" t="str">
        <f ca="1">_xlfn.CONCAT(IFERROR(SUBSTITUTE(ADDRESS(1,MATCH(A585,INDIRECT("'"&amp;E585&amp;"'"&amp;"!A" &amp; $O$570+5 &amp; ":Z" &amp; $O$570+5),0),4),1,""),""),$O$570+6)</f>
        <v>H37</v>
      </c>
      <c r="D585" s="1089" t="s">
        <v>1448</v>
      </c>
      <c r="E585" s="1089" t="s">
        <v>1618</v>
      </c>
      <c r="I585" s="1026" t="str">
        <f t="shared" si="57"/>
        <v/>
      </c>
      <c r="J585" s="1376"/>
      <c r="K585" s="1376" t="str">
        <f t="shared" si="58"/>
        <v/>
      </c>
      <c r="L585" s="1089" t="s">
        <v>1486</v>
      </c>
      <c r="M585" s="1376">
        <v>561</v>
      </c>
      <c r="N585" s="1376"/>
      <c r="R585" s="1376" t="s">
        <v>898</v>
      </c>
    </row>
    <row r="586" spans="1:18" s="1370" customFormat="1" x14ac:dyDescent="0.25">
      <c r="A586" s="1117" t="s">
        <v>1487</v>
      </c>
      <c r="B586" s="1089" t="str">
        <f ca="1">_xlfn.CONCAT(IFERROR(SUBSTITUTE(ADDRESS(1,MATCH(A586,INDIRECT("'"&amp;E586&amp;"'"&amp;"!A" &amp; $O$570+5 &amp; ":Z" &amp; $O$570+5),0),4),1,""),""),$O$570+5)</f>
        <v>J36</v>
      </c>
      <c r="C586" s="1089" t="str">
        <f ca="1">_xlfn.CONCAT(IFERROR(SUBSTITUTE(ADDRESS(1,MATCH(A586,INDIRECT("'"&amp;E586&amp;"'"&amp;"!A" &amp; $O$570+5 &amp; ":Z" &amp; $O$570+5),0),4),1,""),""),$O$570+6)</f>
        <v>J37</v>
      </c>
      <c r="D586" s="1089" t="s">
        <v>1448</v>
      </c>
      <c r="E586" s="1089" t="s">
        <v>1618</v>
      </c>
      <c r="I586" s="1026" t="str">
        <f t="shared" si="57"/>
        <v/>
      </c>
      <c r="J586" s="1376"/>
      <c r="K586" s="1376" t="str">
        <f t="shared" si="58"/>
        <v/>
      </c>
      <c r="L586" s="1089" t="s">
        <v>1487</v>
      </c>
      <c r="M586" s="1376">
        <v>562</v>
      </c>
      <c r="N586" s="1376"/>
      <c r="R586" s="1376" t="s">
        <v>898</v>
      </c>
    </row>
    <row r="587" spans="1:18" s="1370" customFormat="1" x14ac:dyDescent="0.25">
      <c r="A587" s="1118" t="s">
        <v>1488</v>
      </c>
      <c r="B587" s="1089" t="str">
        <f ca="1">_xlfn.CONCAT(IFERROR(SUBSTITUTE(ADDRESS(1,MATCH(A587,INDIRECT("'"&amp;E587&amp;"'"&amp;"!A" &amp; $O$570+5 &amp; ":Z" &amp; $O$570+5),0),4),1,""),""),$O$570+5)</f>
        <v>L36</v>
      </c>
      <c r="C587" s="1089" t="str">
        <f ca="1">_xlfn.CONCAT(IFERROR(SUBSTITUTE(ADDRESS(1,MATCH(A587,INDIRECT("'"&amp;E587&amp;"'"&amp;"!A" &amp; $O$570+5 &amp; ":Z" &amp; $O$570+5),0),4),1,""),""),$O$570+6)</f>
        <v>L37</v>
      </c>
      <c r="D587" s="1089" t="s">
        <v>1448</v>
      </c>
      <c r="E587" s="1089" t="s">
        <v>1618</v>
      </c>
      <c r="I587" s="1026" t="str">
        <f t="shared" si="57"/>
        <v/>
      </c>
      <c r="J587" s="1376"/>
      <c r="K587" s="1376" t="str">
        <f t="shared" si="58"/>
        <v/>
      </c>
      <c r="L587" s="1091" t="s">
        <v>1488</v>
      </c>
      <c r="M587" s="1376">
        <v>563</v>
      </c>
      <c r="N587" s="1376"/>
      <c r="R587" s="1376" t="s">
        <v>898</v>
      </c>
    </row>
    <row r="588" spans="1:18" s="1370" customFormat="1" x14ac:dyDescent="0.25">
      <c r="A588" s="1120" t="s">
        <v>1593</v>
      </c>
      <c r="B588" s="1089" t="str">
        <f ca="1">IFERROR(_xlfn.CONCAT("C",MATCH(A588,INDIRECT("'"&amp;E588&amp;"'!C"&amp;$O$589&amp;":C"&amp;$O$591),0)+$O$589-1),"")</f>
        <v>C49</v>
      </c>
      <c r="C588" s="1089" t="str">
        <f ca="1">IFERROR(_xlfn.CONCAT("D",MATCH(A588,INDIRECT("'"&amp;E588&amp;"'!C"&amp;$O$589&amp;":C"&amp;$O$591),0)+$O$589-1),"")</f>
        <v>D49</v>
      </c>
      <c r="D588" s="1089" t="s">
        <v>1448</v>
      </c>
      <c r="E588" s="1089" t="s">
        <v>1618</v>
      </c>
      <c r="I588" s="1026" t="str">
        <f t="shared" si="57"/>
        <v/>
      </c>
      <c r="J588" s="1376"/>
      <c r="K588" s="1376" t="str">
        <f t="shared" si="58"/>
        <v/>
      </c>
      <c r="L588" s="1089" t="s">
        <v>1593</v>
      </c>
      <c r="M588" s="1376">
        <v>565</v>
      </c>
      <c r="N588" s="1376"/>
      <c r="O588" s="1370" t="s">
        <v>742</v>
      </c>
      <c r="R588" s="1376" t="s">
        <v>898</v>
      </c>
    </row>
    <row r="589" spans="1:18" s="1370" customFormat="1" x14ac:dyDescent="0.25">
      <c r="A589" s="1120" t="s">
        <v>1809</v>
      </c>
      <c r="B589" s="1089" t="str">
        <f ca="1">_xlfn.CONCAT(IFERROR(SUBSTITUTE(ADDRESS(1,MATCH(A589,INDIRECT("'"&amp;E589&amp;"'"&amp;"!A" &amp; $O$589+11 &amp; ":Z" &amp; $O$589+11),0),4),1,""),""),$O$589+11)</f>
        <v>T56</v>
      </c>
      <c r="C589" s="1089" t="str">
        <f ca="1">_xlfn.CONCAT(IFERROR(SUBSTITUTE(ADDRESS(1,MATCH(A589,INDIRECT("'"&amp;E589&amp;"'"&amp;"!A" &amp; $O$589+11 &amp; ":Z" &amp; $O$589+11),0),4),1,""),""),$O$589+12)</f>
        <v>T57</v>
      </c>
      <c r="D589" s="1089" t="s">
        <v>1448</v>
      </c>
      <c r="E589" s="1089" t="s">
        <v>1618</v>
      </c>
      <c r="I589" s="1026" t="str">
        <f t="shared" si="57"/>
        <v/>
      </c>
      <c r="J589" s="1376"/>
      <c r="K589" s="1376" t="str">
        <f t="shared" si="58"/>
        <v/>
      </c>
      <c r="L589" s="1089" t="s">
        <v>1809</v>
      </c>
      <c r="M589" s="1376">
        <v>566</v>
      </c>
      <c r="N589" s="1376"/>
      <c r="O589" s="1370">
        <f>'Configurable Tab'!H6</f>
        <v>45</v>
      </c>
      <c r="Q589" s="1370" t="s">
        <v>651</v>
      </c>
      <c r="R589" s="1376" t="s">
        <v>898</v>
      </c>
    </row>
    <row r="590" spans="1:18" s="1370" customFormat="1" x14ac:dyDescent="0.25">
      <c r="A590" s="1120" t="s">
        <v>1482</v>
      </c>
      <c r="B590" s="1089" t="str">
        <f ca="1">IFERROR(_xlfn.CONCAT("C",MATCH(A590,INDIRECT("'"&amp;E590&amp;"'!C"&amp;$O$589&amp;":C"&amp;$O$591),0)+$O$589-1),"")</f>
        <v>C47</v>
      </c>
      <c r="C590" s="1089" t="str">
        <f ca="1">IFERROR(_xlfn.CONCAT("D",MATCH(A590,INDIRECT("'"&amp;E590&amp;"'!C"&amp;$O$589&amp;":C"&amp;$O$591),0)+$O$589-1),"")</f>
        <v>D47</v>
      </c>
      <c r="D590" s="1089" t="s">
        <v>1448</v>
      </c>
      <c r="E590" s="1089" t="s">
        <v>1618</v>
      </c>
      <c r="I590" s="1026" t="str">
        <f t="shared" si="57"/>
        <v/>
      </c>
      <c r="J590" s="1376"/>
      <c r="K590" s="1376" t="str">
        <f t="shared" si="58"/>
        <v/>
      </c>
      <c r="L590" s="1089" t="s">
        <v>1482</v>
      </c>
      <c r="M590" s="1376">
        <v>567</v>
      </c>
      <c r="N590" s="1376"/>
      <c r="O590" s="1370" t="s">
        <v>743</v>
      </c>
      <c r="R590" s="1376" t="s">
        <v>898</v>
      </c>
    </row>
    <row r="591" spans="1:18" s="1370" customFormat="1" x14ac:dyDescent="0.25">
      <c r="A591" s="1120" t="s">
        <v>1484</v>
      </c>
      <c r="B591" s="1089" t="str">
        <f ca="1">IFERROR(_xlfn.CONCAT("C",MATCH(A591,INDIRECT("'"&amp;E591&amp;"'!C"&amp;$O$589&amp;":C"&amp;$O$591),0)+$O$589-1),"")</f>
        <v>C51</v>
      </c>
      <c r="C591" s="1089" t="str">
        <f ca="1">IFERROR(_xlfn.CONCAT("D",MATCH(A591,INDIRECT("'"&amp;E591&amp;"'!C"&amp;$O$589&amp;":C"&amp;$O$591),0)+$O$589-1),"")</f>
        <v>D51</v>
      </c>
      <c r="D591" s="1089" t="s">
        <v>1448</v>
      </c>
      <c r="E591" s="1089" t="s">
        <v>1618</v>
      </c>
      <c r="I591" s="1026" t="str">
        <f t="shared" si="57"/>
        <v/>
      </c>
      <c r="J591" s="1376"/>
      <c r="K591" s="1376" t="str">
        <f t="shared" si="58"/>
        <v/>
      </c>
      <c r="L591" s="1089" t="s">
        <v>1484</v>
      </c>
      <c r="M591" s="1376">
        <v>575</v>
      </c>
      <c r="N591" s="1376"/>
      <c r="O591" s="1370">
        <f>'Configurable Tab'!I6</f>
        <v>58</v>
      </c>
      <c r="R591" s="1376" t="s">
        <v>898</v>
      </c>
    </row>
    <row r="592" spans="1:18" s="1370" customFormat="1" x14ac:dyDescent="0.25">
      <c r="A592" s="1120" t="s">
        <v>1485</v>
      </c>
      <c r="B592" s="1089" t="str">
        <f ca="1">IFERROR(_xlfn.CONCAT("C",MATCH(A592,INDIRECT("'"&amp;E592&amp;"'!C"&amp;$O$589&amp;":C"&amp;$O$591),0)+$O$589-1),"")</f>
        <v>C53</v>
      </c>
      <c r="C592" s="1089" t="str">
        <f ca="1">IFERROR(_xlfn.CONCAT("D",MATCH(A592,INDIRECT("'"&amp;E592&amp;"'!C"&amp;$O$589&amp;":C"&amp;$O$591),0)+$O$589-1),"")</f>
        <v>D53</v>
      </c>
      <c r="D592" s="1089" t="s">
        <v>1448</v>
      </c>
      <c r="E592" s="1089" t="s">
        <v>1618</v>
      </c>
      <c r="I592" s="1026" t="str">
        <f t="shared" si="57"/>
        <v/>
      </c>
      <c r="J592" s="1376"/>
      <c r="K592" s="1376" t="str">
        <f t="shared" si="58"/>
        <v/>
      </c>
      <c r="L592" s="1089" t="s">
        <v>1485</v>
      </c>
      <c r="M592" s="1376">
        <v>576</v>
      </c>
      <c r="N592" s="1376"/>
      <c r="O592" s="1222" t="s">
        <v>1739</v>
      </c>
      <c r="R592" s="1376" t="s">
        <v>898</v>
      </c>
    </row>
    <row r="593" spans="1:18" s="1370" customFormat="1" ht="30" x14ac:dyDescent="0.25">
      <c r="A593" s="1120" t="s">
        <v>1597</v>
      </c>
      <c r="B593" s="1089" t="str">
        <f ca="1">IFERROR(_xlfn.CONCAT("C",MATCH(A593,INDIRECT("'"&amp;E593&amp;"'!C"&amp;$O$589&amp;":C"&amp;$O$591),0)+$O$589-1),"")</f>
        <v>C55</v>
      </c>
      <c r="C593" s="1089" t="str">
        <f ca="1">IFERROR(_xlfn.CONCAT("D",MATCH(A593,INDIRECT("'"&amp;E593&amp;"'!C"&amp;$O$589&amp;":C"&amp;$O$591),0)+$O$589-1),"")</f>
        <v>D55</v>
      </c>
      <c r="D593" s="1089" t="s">
        <v>1448</v>
      </c>
      <c r="E593" s="1089" t="s">
        <v>1618</v>
      </c>
      <c r="I593" s="1026" t="str">
        <f t="shared" si="57"/>
        <v>Incentive Dates Match Agreement Dates Flag</v>
      </c>
      <c r="J593" s="1376" t="str">
        <f t="shared" si="56"/>
        <v>577</v>
      </c>
      <c r="K593" s="1376" t="str">
        <f t="shared" si="58"/>
        <v>Incentives Worksheet</v>
      </c>
      <c r="L593" s="1089" t="s">
        <v>1597</v>
      </c>
      <c r="M593" s="1376">
        <v>577</v>
      </c>
      <c r="N593" s="1376"/>
      <c r="R593" s="1376" t="s">
        <v>898</v>
      </c>
    </row>
    <row r="594" spans="1:18" s="1370" customFormat="1" x14ac:dyDescent="0.25">
      <c r="A594" s="1120" t="s">
        <v>1479</v>
      </c>
      <c r="B594" s="1089" t="str">
        <f ca="1">_xlfn.CONCAT(IFERROR(SUBSTITUTE(ADDRESS(1,MATCH(A594,INDIRECT("'"&amp;E594&amp;"'"&amp;"!A" &amp; $O$589+2 &amp; ":Z" &amp; $O$589+2),0),4),1,""),""),$O$589+2)</f>
        <v>H47</v>
      </c>
      <c r="C594" s="1089" t="str">
        <f ca="1">_xlfn.CONCAT(IFERROR(SUBSTITUTE(ADDRESS(1,MATCH(A594,INDIRECT("'"&amp;E594&amp;"'"&amp;"!A" &amp; $O$589+2 &amp; ":Z" &amp; $O$589+2),0),4),1,""),""),$O$589+3)</f>
        <v>H48</v>
      </c>
      <c r="D594" s="1089" t="s">
        <v>1448</v>
      </c>
      <c r="E594" s="1089" t="s">
        <v>1618</v>
      </c>
      <c r="I594" s="1026" t="str">
        <f t="shared" si="57"/>
        <v/>
      </c>
      <c r="J594" s="1376"/>
      <c r="K594" s="1376" t="str">
        <f t="shared" si="58"/>
        <v/>
      </c>
      <c r="L594" s="1089" t="s">
        <v>1479</v>
      </c>
      <c r="M594" s="1376">
        <v>568</v>
      </c>
      <c r="N594" s="1376"/>
      <c r="R594" s="1376" t="s">
        <v>898</v>
      </c>
    </row>
    <row r="595" spans="1:18" s="1370" customFormat="1" x14ac:dyDescent="0.25">
      <c r="A595" s="1120" t="s">
        <v>1480</v>
      </c>
      <c r="B595" s="1089" t="str">
        <f t="shared" ref="B595:B600" ca="1" si="59">_xlfn.CONCAT(IFERROR(SUBSTITUTE(ADDRESS(1,MATCH(A595,INDIRECT("'"&amp;E595&amp;"'"&amp;"!A" &amp; $O$589+2 &amp; ":Z" &amp; $O$589+2),0),4),1,""),""),$O$589+2)</f>
        <v>J47</v>
      </c>
      <c r="C595" s="1089" t="str">
        <f t="shared" ref="C595:C600" ca="1" si="60">_xlfn.CONCAT(IFERROR(SUBSTITUTE(ADDRESS(1,MATCH(A595,INDIRECT("'"&amp;E595&amp;"'"&amp;"!A" &amp; $O$589+2 &amp; ":Z" &amp; $O$589+2),0),4),1,""),""),$O$589+3)</f>
        <v>J48</v>
      </c>
      <c r="D595" s="1089" t="s">
        <v>1448</v>
      </c>
      <c r="E595" s="1089" t="s">
        <v>1618</v>
      </c>
      <c r="I595" s="1026" t="str">
        <f t="shared" si="57"/>
        <v/>
      </c>
      <c r="J595" s="1376"/>
      <c r="K595" s="1376" t="str">
        <f t="shared" si="58"/>
        <v/>
      </c>
      <c r="L595" s="1089" t="s">
        <v>1480</v>
      </c>
      <c r="M595" s="1376">
        <v>569</v>
      </c>
      <c r="N595" s="1376"/>
      <c r="R595" s="1376" t="s">
        <v>898</v>
      </c>
    </row>
    <row r="596" spans="1:18" s="1370" customFormat="1" x14ac:dyDescent="0.25">
      <c r="A596" s="1120" t="s">
        <v>1496</v>
      </c>
      <c r="B596" s="1089" t="str">
        <f t="shared" ca="1" si="59"/>
        <v>L47</v>
      </c>
      <c r="C596" s="1089" t="str">
        <f t="shared" ca="1" si="60"/>
        <v>L48</v>
      </c>
      <c r="D596" s="1089" t="s">
        <v>1448</v>
      </c>
      <c r="E596" s="1089" t="s">
        <v>1618</v>
      </c>
      <c r="I596" s="1026" t="str">
        <f t="shared" si="57"/>
        <v/>
      </c>
      <c r="J596" s="1376"/>
      <c r="K596" s="1376" t="str">
        <f t="shared" si="58"/>
        <v/>
      </c>
      <c r="L596" s="1089" t="s">
        <v>1496</v>
      </c>
      <c r="M596" s="1376">
        <v>570</v>
      </c>
      <c r="N596" s="1376"/>
      <c r="R596" s="1376" t="s">
        <v>898</v>
      </c>
    </row>
    <row r="597" spans="1:18" s="1370" customFormat="1" x14ac:dyDescent="0.25">
      <c r="A597" s="1120" t="s">
        <v>1481</v>
      </c>
      <c r="B597" s="1089" t="str">
        <f t="shared" ca="1" si="59"/>
        <v>N47</v>
      </c>
      <c r="C597" s="1089" t="str">
        <f t="shared" ca="1" si="60"/>
        <v>N48</v>
      </c>
      <c r="D597" s="1089" t="s">
        <v>1448</v>
      </c>
      <c r="E597" s="1089" t="s">
        <v>1618</v>
      </c>
      <c r="I597" s="1026" t="str">
        <f t="shared" si="57"/>
        <v/>
      </c>
      <c r="J597" s="1376"/>
      <c r="K597" s="1376" t="str">
        <f t="shared" si="58"/>
        <v/>
      </c>
      <c r="L597" s="1089" t="s">
        <v>1481</v>
      </c>
      <c r="M597" s="1376">
        <v>571</v>
      </c>
      <c r="N597" s="1376"/>
      <c r="R597" s="1376" t="s">
        <v>898</v>
      </c>
    </row>
    <row r="598" spans="1:18" s="1370" customFormat="1" x14ac:dyDescent="0.25">
      <c r="A598" s="1120" t="s">
        <v>1588</v>
      </c>
      <c r="B598" s="1089" t="str">
        <f t="shared" ca="1" si="59"/>
        <v>P47</v>
      </c>
      <c r="C598" s="1089" t="str">
        <f t="shared" ca="1" si="60"/>
        <v>P48</v>
      </c>
      <c r="D598" s="1089" t="s">
        <v>1448</v>
      </c>
      <c r="E598" s="1089" t="s">
        <v>1618</v>
      </c>
      <c r="I598" s="1026" t="str">
        <f t="shared" si="57"/>
        <v>Qualifying Cycle</v>
      </c>
      <c r="J598" s="1376" t="str">
        <f t="shared" si="56"/>
        <v>572</v>
      </c>
      <c r="K598" s="1376" t="str">
        <f t="shared" si="58"/>
        <v>Incentives Worksheet</v>
      </c>
      <c r="L598" s="1089" t="s">
        <v>1588</v>
      </c>
      <c r="M598" s="1376">
        <v>572</v>
      </c>
      <c r="N598" s="1376"/>
      <c r="R598" s="1376" t="s">
        <v>898</v>
      </c>
    </row>
    <row r="599" spans="1:18" s="1370" customFormat="1" x14ac:dyDescent="0.25">
      <c r="A599" s="1120" t="s">
        <v>1589</v>
      </c>
      <c r="B599" s="1089" t="str">
        <f t="shared" ca="1" si="59"/>
        <v>R47</v>
      </c>
      <c r="C599" s="1089" t="str">
        <f t="shared" ca="1" si="60"/>
        <v>R48</v>
      </c>
      <c r="D599" s="1089" t="s">
        <v>1448</v>
      </c>
      <c r="E599" s="1089" t="s">
        <v>1618</v>
      </c>
      <c r="I599" s="1026" t="str">
        <f t="shared" si="57"/>
        <v>Incentive Calendar</v>
      </c>
      <c r="J599" s="1376" t="str">
        <f t="shared" si="56"/>
        <v>573</v>
      </c>
      <c r="K599" s="1376" t="str">
        <f t="shared" si="58"/>
        <v>Incentives Worksheet</v>
      </c>
      <c r="L599" s="1089" t="s">
        <v>1589</v>
      </c>
      <c r="M599" s="1376">
        <v>573</v>
      </c>
      <c r="N599" s="1376"/>
      <c r="R599" s="1376" t="s">
        <v>898</v>
      </c>
    </row>
    <row r="600" spans="1:18" s="1370" customFormat="1" x14ac:dyDescent="0.25">
      <c r="A600" s="1120" t="s">
        <v>1590</v>
      </c>
      <c r="B600" s="1089" t="str">
        <f t="shared" ca="1" si="59"/>
        <v>T47</v>
      </c>
      <c r="C600" s="1089" t="str">
        <f t="shared" ca="1" si="60"/>
        <v>T48</v>
      </c>
      <c r="D600" s="1089" t="s">
        <v>1448</v>
      </c>
      <c r="E600" s="1089" t="s">
        <v>1618</v>
      </c>
      <c r="I600" s="1026" t="str">
        <f t="shared" si="57"/>
        <v>Post to GL Payment Method Flag</v>
      </c>
      <c r="J600" s="1376" t="str">
        <f t="shared" si="56"/>
        <v>574</v>
      </c>
      <c r="K600" s="1376" t="str">
        <f t="shared" si="58"/>
        <v>Incentives Worksheet</v>
      </c>
      <c r="L600" s="1089" t="s">
        <v>1590</v>
      </c>
      <c r="M600" s="1376">
        <v>574</v>
      </c>
      <c r="N600" s="1376"/>
      <c r="R600" s="1376" t="s">
        <v>898</v>
      </c>
    </row>
    <row r="601" spans="1:18" s="1370" customFormat="1" x14ac:dyDescent="0.25">
      <c r="A601" s="1120" t="s">
        <v>1594</v>
      </c>
      <c r="B601" s="1089" t="str">
        <f ca="1">_xlfn.CONCAT(IFERROR(SUBSTITUTE(ADDRESS(1,MATCH(A601,INDIRECT("'"&amp;E601&amp;"'"&amp;"!A" &amp; $O$589+8 &amp; ":Z" &amp; $O$589+8),0),4),1,""),""),$O$589+8)</f>
        <v>H53</v>
      </c>
      <c r="C601" s="1089" t="str">
        <f ca="1">_xlfn.CONCAT(IFERROR(SUBSTITUTE(ADDRESS(1,MATCH(A601,INDIRECT("'"&amp;E601&amp;"'"&amp;"!A" &amp; $O$589+8 &amp; ":Z" &amp; $O$589+8),0),4),1,""),""),$O$589+9)</f>
        <v>H54</v>
      </c>
      <c r="D601" s="1089" t="s">
        <v>1448</v>
      </c>
      <c r="E601" s="1089" t="s">
        <v>1618</v>
      </c>
      <c r="I601" s="1026" t="str">
        <f t="shared" si="57"/>
        <v>Include All Customers Flag</v>
      </c>
      <c r="J601" s="1376" t="str">
        <f t="shared" si="56"/>
        <v>578</v>
      </c>
      <c r="K601" s="1376" t="str">
        <f t="shared" si="58"/>
        <v>Incentives Worksheet</v>
      </c>
      <c r="L601" s="1089" t="s">
        <v>1594</v>
      </c>
      <c r="M601" s="1376">
        <v>578</v>
      </c>
      <c r="N601" s="1376"/>
      <c r="R601" s="1376" t="s">
        <v>898</v>
      </c>
    </row>
    <row r="602" spans="1:18" s="1370" customFormat="1" x14ac:dyDescent="0.25">
      <c r="A602" s="1120" t="s">
        <v>1608</v>
      </c>
      <c r="B602" s="1089" t="str">
        <f ca="1">_xlfn.CONCAT(IFERROR(SUBSTITUTE(ADDRESS(1,MATCH(A602,INDIRECT("'"&amp;E602&amp;"'"&amp;"!A" &amp; $O$589+8 &amp; ":Z" &amp; $O$589+8),0),4),1,""),""),$O$589+8)</f>
        <v>J53</v>
      </c>
      <c r="C602" s="1089" t="str">
        <f ca="1">_xlfn.CONCAT(IFERROR(SUBSTITUTE(ADDRESS(1,MATCH(A602,INDIRECT("'"&amp;E602&amp;"'"&amp;"!A" &amp; $O$589+8 &amp; ":Z" &amp; $O$589+8),0),4),1,""),""),$O$589+9)</f>
        <v>J54</v>
      </c>
      <c r="D602" s="1089" t="s">
        <v>1448</v>
      </c>
      <c r="E602" s="1089" t="s">
        <v>1618</v>
      </c>
      <c r="I602" s="1026" t="str">
        <f t="shared" si="57"/>
        <v>Customer Aggregation</v>
      </c>
      <c r="J602" s="1376" t="str">
        <f t="shared" si="56"/>
        <v>579</v>
      </c>
      <c r="K602" s="1376" t="str">
        <f t="shared" si="58"/>
        <v>Incentives Worksheet</v>
      </c>
      <c r="L602" s="1089" t="s">
        <v>1608</v>
      </c>
      <c r="M602" s="1376">
        <v>579</v>
      </c>
      <c r="N602" s="1376"/>
      <c r="R602" s="1376" t="s">
        <v>898</v>
      </c>
    </row>
    <row r="603" spans="1:18" s="1370" customFormat="1" x14ac:dyDescent="0.25">
      <c r="A603" s="1120" t="s">
        <v>1610</v>
      </c>
      <c r="B603" s="1089" t="str">
        <f ca="1">_xlfn.CONCAT(IFERROR(SUBSTITUTE(ADDRESS(1,MATCH(A603,INDIRECT("'"&amp;E603&amp;"'"&amp;"!A" &amp; $O$589+8 &amp; ":Z" &amp; $O$589+8),0),4),1,""),""),$O$589+8)</f>
        <v>P53</v>
      </c>
      <c r="C603" s="1089" t="str">
        <f ca="1">_xlfn.CONCAT(IFERROR(SUBSTITUTE(ADDRESS(1,MATCH(A603,INDIRECT("'"&amp;E603&amp;"'"&amp;"!A" &amp; $O$589+8 &amp; ":Z" &amp; $O$589+8),0),4),1,""),""),$O$589+9)</f>
        <v>P54</v>
      </c>
      <c r="D603" s="1089" t="s">
        <v>1448</v>
      </c>
      <c r="E603" s="1089" t="s">
        <v>1618</v>
      </c>
      <c r="I603" s="1026" t="str">
        <f t="shared" si="57"/>
        <v>Weekly Threshold Flag</v>
      </c>
      <c r="J603" s="1376" t="str">
        <f t="shared" si="56"/>
        <v>583</v>
      </c>
      <c r="K603" s="1376" t="str">
        <f t="shared" si="58"/>
        <v>Incentives Worksheet</v>
      </c>
      <c r="L603" s="1089" t="s">
        <v>1610</v>
      </c>
      <c r="M603" s="1376">
        <v>583</v>
      </c>
      <c r="N603" s="1376"/>
      <c r="R603" s="1376" t="s">
        <v>898</v>
      </c>
    </row>
    <row r="604" spans="1:18" s="1370" customFormat="1" x14ac:dyDescent="0.25">
      <c r="A604" s="1120" t="s">
        <v>1486</v>
      </c>
      <c r="B604" s="1089" t="str">
        <f ca="1">_xlfn.CONCAT(IFERROR(SUBSTITUTE(ADDRESS(1,MATCH(A604,INDIRECT("'"&amp;E604&amp;"'"&amp;"!A" &amp; $O$589+5 &amp; ":Z" &amp; $O$589+5),0),4),1,""),""),$O$589+5)</f>
        <v>H50</v>
      </c>
      <c r="C604" s="1089" t="str">
        <f ca="1">_xlfn.CONCAT(IFERROR(SUBSTITUTE(ADDRESS(1,MATCH(A604,INDIRECT("'"&amp;E604&amp;"'"&amp;"!A" &amp; $O$589+5 &amp; ":Z" &amp; $O$589+5),0),4),1,""),""),$O$589+6)</f>
        <v>H51</v>
      </c>
      <c r="D604" s="1089" t="s">
        <v>1448</v>
      </c>
      <c r="E604" s="1089" t="s">
        <v>1618</v>
      </c>
      <c r="I604" s="1026" t="str">
        <f t="shared" si="57"/>
        <v/>
      </c>
      <c r="J604" s="1376"/>
      <c r="K604" s="1376" t="str">
        <f t="shared" si="58"/>
        <v/>
      </c>
      <c r="L604" s="1089" t="s">
        <v>1486</v>
      </c>
      <c r="M604" s="1376">
        <v>580</v>
      </c>
      <c r="N604" s="1376"/>
      <c r="R604" s="1376" t="s">
        <v>898</v>
      </c>
    </row>
    <row r="605" spans="1:18" s="1370" customFormat="1" x14ac:dyDescent="0.25">
      <c r="A605" s="1120" t="s">
        <v>1487</v>
      </c>
      <c r="B605" s="1089" t="str">
        <f ca="1">_xlfn.CONCAT(IFERROR(SUBSTITUTE(ADDRESS(1,MATCH(A605,INDIRECT("'"&amp;E605&amp;"'"&amp;"!A" &amp; $O$589+5 &amp; ":Z" &amp; $O$589+5),0),4),1,""),""),$O$589+5)</f>
        <v>J50</v>
      </c>
      <c r="C605" s="1089" t="str">
        <f ca="1">_xlfn.CONCAT(IFERROR(SUBSTITUTE(ADDRESS(1,MATCH(A605,INDIRECT("'"&amp;E605&amp;"'"&amp;"!A" &amp; $O$589+5 &amp; ":Z" &amp; $O$589+5),0),4),1,""),""),$O$589+6)</f>
        <v>J51</v>
      </c>
      <c r="D605" s="1089" t="s">
        <v>1448</v>
      </c>
      <c r="E605" s="1089" t="s">
        <v>1618</v>
      </c>
      <c r="I605" s="1026" t="str">
        <f t="shared" si="57"/>
        <v/>
      </c>
      <c r="J605" s="1376"/>
      <c r="K605" s="1376" t="str">
        <f t="shared" si="58"/>
        <v/>
      </c>
      <c r="L605" s="1089" t="s">
        <v>1487</v>
      </c>
      <c r="M605" s="1376">
        <v>581</v>
      </c>
      <c r="N605" s="1376"/>
      <c r="R605" s="1376" t="s">
        <v>898</v>
      </c>
    </row>
    <row r="606" spans="1:18" s="1370" customFormat="1" x14ac:dyDescent="0.25">
      <c r="A606" s="1121" t="s">
        <v>1488</v>
      </c>
      <c r="B606" s="1089" t="str">
        <f ca="1">_xlfn.CONCAT(IFERROR(SUBSTITUTE(ADDRESS(1,MATCH(A606,INDIRECT("'"&amp;E606&amp;"'"&amp;"!A" &amp; $O$589+5 &amp; ":Z" &amp; $O$589+5),0),4),1,""),""),$O$589+5)</f>
        <v>L50</v>
      </c>
      <c r="C606" s="1089" t="str">
        <f ca="1">_xlfn.CONCAT(IFERROR(SUBSTITUTE(ADDRESS(1,MATCH(A606,INDIRECT("'"&amp;E606&amp;"'"&amp;"!A" &amp; $O$589+5 &amp; ":Z" &amp; $O$589+5),0),4),1,""),""),$O$589+6)</f>
        <v>L51</v>
      </c>
      <c r="D606" s="1089" t="s">
        <v>1448</v>
      </c>
      <c r="E606" s="1089" t="s">
        <v>1618</v>
      </c>
      <c r="I606" s="1026" t="str">
        <f t="shared" si="57"/>
        <v/>
      </c>
      <c r="J606" s="1376"/>
      <c r="K606" s="1376" t="str">
        <f t="shared" si="58"/>
        <v/>
      </c>
      <c r="L606" s="1089" t="s">
        <v>1488</v>
      </c>
      <c r="M606" s="1376">
        <v>582</v>
      </c>
      <c r="N606" s="1376"/>
      <c r="R606" s="1376" t="s">
        <v>898</v>
      </c>
    </row>
    <row r="607" spans="1:18" s="1370" customFormat="1" x14ac:dyDescent="0.25">
      <c r="A607" s="1118" t="s">
        <v>1593</v>
      </c>
      <c r="B607" s="1089" t="str">
        <f ca="1">IFERROR(_xlfn.CONCAT("C",MATCH(A607,INDIRECT("'"&amp;E607&amp;"'!C"&amp;$O$608&amp;":C"&amp;$O$610),0)+$O$608-1),"")</f>
        <v>C63</v>
      </c>
      <c r="C607" s="1089" t="str">
        <f ca="1">IFERROR(_xlfn.CONCAT("D",MATCH(A607,INDIRECT("'"&amp;E607&amp;"'!C"&amp;$O$608&amp;":C"&amp;$O$610),0)+$O$608-1),"")</f>
        <v>D63</v>
      </c>
      <c r="D607" s="1089" t="s">
        <v>1448</v>
      </c>
      <c r="E607" s="1089" t="s">
        <v>1618</v>
      </c>
      <c r="I607" s="1026" t="str">
        <f t="shared" si="57"/>
        <v/>
      </c>
      <c r="J607" s="1376"/>
      <c r="K607" s="1376" t="str">
        <f t="shared" si="58"/>
        <v/>
      </c>
      <c r="L607" s="1089" t="s">
        <v>1593</v>
      </c>
      <c r="M607" s="1376">
        <v>584</v>
      </c>
      <c r="N607" s="1376"/>
      <c r="O607" s="1370" t="s">
        <v>742</v>
      </c>
      <c r="R607" s="1376" t="s">
        <v>898</v>
      </c>
    </row>
    <row r="608" spans="1:18" s="1370" customFormat="1" x14ac:dyDescent="0.25">
      <c r="A608" s="1118" t="s">
        <v>1809</v>
      </c>
      <c r="B608" s="1089" t="str">
        <f ca="1">_xlfn.CONCAT(IFERROR(SUBSTITUTE(ADDRESS(1,MATCH(A608,INDIRECT("'"&amp;E608&amp;"'"&amp;"!A" &amp; $O$608 + 12 &amp; ":Z" &amp; $O$608+12),0),4),1,""),""),$O$608+12)</f>
        <v>T71</v>
      </c>
      <c r="C608" s="1089" t="str">
        <f ca="1">_xlfn.CONCAT(IFERROR(SUBSTITUTE(ADDRESS(1,MATCH(A608,INDIRECT("'"&amp;E608&amp;"'"&amp;"!A" &amp; $O$608 + 12 &amp; ":Z" &amp; $O$608+12),0),4),1,""),""),$O$608+13)</f>
        <v>T72</v>
      </c>
      <c r="D608" s="1089" t="s">
        <v>1448</v>
      </c>
      <c r="E608" s="1089" t="s">
        <v>1618</v>
      </c>
      <c r="I608" s="1026" t="str">
        <f t="shared" si="57"/>
        <v/>
      </c>
      <c r="J608" s="1376"/>
      <c r="K608" s="1376" t="str">
        <f t="shared" si="58"/>
        <v/>
      </c>
      <c r="L608" s="1089" t="s">
        <v>1809</v>
      </c>
      <c r="M608" s="1376">
        <v>585</v>
      </c>
      <c r="N608" s="1376"/>
      <c r="O608" s="1370">
        <f>'Configurable Tab'!H7</f>
        <v>59</v>
      </c>
      <c r="Q608" s="1370" t="s">
        <v>653</v>
      </c>
      <c r="R608" s="1376" t="s">
        <v>898</v>
      </c>
    </row>
    <row r="609" spans="1:18" s="1370" customFormat="1" x14ac:dyDescent="0.25">
      <c r="A609" s="1118" t="s">
        <v>1482</v>
      </c>
      <c r="B609" s="1089" t="str">
        <f ca="1">IFERROR(_xlfn.CONCAT("C",MATCH(A609,INDIRECT("'"&amp;E609&amp;"'!C"&amp;$O$589&amp;":C"&amp;$O$591),0)+$O$589-1),"")</f>
        <v>C47</v>
      </c>
      <c r="C609" s="1089" t="str">
        <f ca="1">IFERROR(_xlfn.CONCAT("D",MATCH(A609,INDIRECT("'"&amp;E609&amp;"'!C"&amp;$O$608&amp;":C"&amp;$O$610),0)+$O$608-1),"")</f>
        <v>D61</v>
      </c>
      <c r="D609" s="1089" t="s">
        <v>1448</v>
      </c>
      <c r="E609" s="1089" t="s">
        <v>1618</v>
      </c>
      <c r="I609" s="1026" t="str">
        <f t="shared" si="57"/>
        <v/>
      </c>
      <c r="J609" s="1376"/>
      <c r="K609" s="1376" t="str">
        <f t="shared" si="58"/>
        <v/>
      </c>
      <c r="L609" s="1089" t="s">
        <v>1482</v>
      </c>
      <c r="M609" s="1376">
        <v>586</v>
      </c>
      <c r="N609" s="1376"/>
      <c r="O609" s="1370" t="s">
        <v>743</v>
      </c>
      <c r="R609" s="1376" t="s">
        <v>898</v>
      </c>
    </row>
    <row r="610" spans="1:18" s="1370" customFormat="1" x14ac:dyDescent="0.25">
      <c r="A610" s="1118" t="s">
        <v>1479</v>
      </c>
      <c r="B610" s="1089" t="str">
        <f ca="1">_xlfn.CONCAT(IFERROR(SUBSTITUTE(ADDRESS(1,MATCH(A594,INDIRECT("'"&amp;E594&amp;"'"&amp;"!A" &amp; $O$608+2&amp;":Z" &amp; $O$608+2),0),4),1,""),""),$O$608+2)</f>
        <v>H61</v>
      </c>
      <c r="C610" s="1089" t="str">
        <f ca="1">_xlfn.CONCAT(IFERROR(SUBSTITUTE(ADDRESS(1,MATCH(A594,INDIRECT("'"&amp;E594&amp;"'"&amp;"!A" &amp; $O$608+2&amp;":Z" &amp; $O$608+2),0),4),1,""),""),$O$608+3)</f>
        <v>H62</v>
      </c>
      <c r="D610" s="1089" t="s">
        <v>1448</v>
      </c>
      <c r="E610" s="1089" t="s">
        <v>1618</v>
      </c>
      <c r="I610" s="1026" t="str">
        <f t="shared" si="57"/>
        <v/>
      </c>
      <c r="J610" s="1376"/>
      <c r="K610" s="1376" t="str">
        <f t="shared" si="58"/>
        <v/>
      </c>
      <c r="L610" s="1089" t="s">
        <v>1479</v>
      </c>
      <c r="M610" s="1376">
        <v>587</v>
      </c>
      <c r="N610" s="1376"/>
      <c r="O610" s="1370">
        <f>'Configurable Tab'!I7</f>
        <v>74</v>
      </c>
      <c r="R610" s="1376" t="s">
        <v>898</v>
      </c>
    </row>
    <row r="611" spans="1:18" s="1370" customFormat="1" x14ac:dyDescent="0.25">
      <c r="A611" s="1118" t="s">
        <v>1480</v>
      </c>
      <c r="B611" s="1089" t="str">
        <f t="shared" ref="B611:B616" ca="1" si="61">_xlfn.CONCAT(IFERROR(SUBSTITUTE(ADDRESS(1,MATCH(A595,INDIRECT("'"&amp;E595&amp;"'"&amp;"!A" &amp; $O$608+2&amp;":Z" &amp; $O$608+2),0),4),1,""),""),$O$608+2)</f>
        <v>J61</v>
      </c>
      <c r="C611" s="1089" t="str">
        <f t="shared" ref="C611:C616" ca="1" si="62">_xlfn.CONCAT(IFERROR(SUBSTITUTE(ADDRESS(1,MATCH(A595,INDIRECT("'"&amp;E595&amp;"'"&amp;"!A" &amp; $O$608+2&amp;":Z" &amp; $O$608+2),0),4),1,""),""),$O$608+3)</f>
        <v>J62</v>
      </c>
      <c r="D611" s="1089" t="s">
        <v>1448</v>
      </c>
      <c r="E611" s="1089" t="s">
        <v>1618</v>
      </c>
      <c r="I611" s="1026" t="str">
        <f t="shared" si="57"/>
        <v/>
      </c>
      <c r="J611" s="1376"/>
      <c r="K611" s="1376" t="str">
        <f t="shared" si="58"/>
        <v/>
      </c>
      <c r="L611" s="1089" t="s">
        <v>1480</v>
      </c>
      <c r="M611" s="1376">
        <v>588</v>
      </c>
      <c r="N611" s="1376"/>
      <c r="O611" s="1370" t="s">
        <v>1740</v>
      </c>
      <c r="R611" s="1376" t="s">
        <v>898</v>
      </c>
    </row>
    <row r="612" spans="1:18" s="1370" customFormat="1" x14ac:dyDescent="0.25">
      <c r="A612" s="1118" t="s">
        <v>1496</v>
      </c>
      <c r="B612" s="1089" t="str">
        <f t="shared" ca="1" si="61"/>
        <v>L61</v>
      </c>
      <c r="C612" s="1089" t="str">
        <f t="shared" ca="1" si="62"/>
        <v>L62</v>
      </c>
      <c r="D612" s="1089" t="s">
        <v>1448</v>
      </c>
      <c r="E612" s="1089" t="s">
        <v>1618</v>
      </c>
      <c r="I612" s="1026" t="str">
        <f t="shared" si="57"/>
        <v/>
      </c>
      <c r="J612" s="1376"/>
      <c r="K612" s="1376" t="str">
        <f t="shared" si="58"/>
        <v/>
      </c>
      <c r="L612" s="1089" t="s">
        <v>1496</v>
      </c>
      <c r="M612" s="1376">
        <v>589</v>
      </c>
      <c r="N612" s="1376"/>
      <c r="R612" s="1376" t="s">
        <v>898</v>
      </c>
    </row>
    <row r="613" spans="1:18" s="1370" customFormat="1" x14ac:dyDescent="0.25">
      <c r="A613" s="1118" t="s">
        <v>1481</v>
      </c>
      <c r="B613" s="1089" t="str">
        <f t="shared" ca="1" si="61"/>
        <v>N61</v>
      </c>
      <c r="C613" s="1089" t="str">
        <f t="shared" ca="1" si="62"/>
        <v>N62</v>
      </c>
      <c r="D613" s="1089" t="s">
        <v>1448</v>
      </c>
      <c r="E613" s="1089" t="s">
        <v>1618</v>
      </c>
      <c r="I613" s="1026" t="str">
        <f t="shared" si="57"/>
        <v/>
      </c>
      <c r="J613" s="1376"/>
      <c r="K613" s="1376" t="str">
        <f t="shared" si="58"/>
        <v/>
      </c>
      <c r="L613" s="1089" t="s">
        <v>1481</v>
      </c>
      <c r="M613" s="1376">
        <v>590</v>
      </c>
      <c r="N613" s="1376"/>
      <c r="R613" s="1376" t="s">
        <v>898</v>
      </c>
    </row>
    <row r="614" spans="1:18" s="1370" customFormat="1" x14ac:dyDescent="0.25">
      <c r="A614" s="1118" t="s">
        <v>1588</v>
      </c>
      <c r="B614" s="1089" t="str">
        <f t="shared" ca="1" si="61"/>
        <v>P61</v>
      </c>
      <c r="C614" s="1089" t="str">
        <f t="shared" ca="1" si="62"/>
        <v>P62</v>
      </c>
      <c r="D614" s="1089" t="s">
        <v>1448</v>
      </c>
      <c r="E614" s="1089" t="s">
        <v>1618</v>
      </c>
      <c r="I614" s="1026" t="str">
        <f t="shared" si="57"/>
        <v>Qualifying Cycle</v>
      </c>
      <c r="J614" s="1376" t="str">
        <f t="shared" si="56"/>
        <v>591</v>
      </c>
      <c r="K614" s="1376" t="str">
        <f t="shared" si="58"/>
        <v>Incentives Worksheet</v>
      </c>
      <c r="L614" s="1089" t="s">
        <v>1588</v>
      </c>
      <c r="M614" s="1376">
        <v>591</v>
      </c>
      <c r="N614" s="1376"/>
      <c r="R614" s="1376" t="s">
        <v>898</v>
      </c>
    </row>
    <row r="615" spans="1:18" s="1370" customFormat="1" x14ac:dyDescent="0.25">
      <c r="A615" s="1118" t="s">
        <v>1589</v>
      </c>
      <c r="B615" s="1089" t="str">
        <f t="shared" ca="1" si="61"/>
        <v>R61</v>
      </c>
      <c r="C615" s="1089" t="str">
        <f t="shared" ca="1" si="62"/>
        <v>R62</v>
      </c>
      <c r="D615" s="1089" t="s">
        <v>1448</v>
      </c>
      <c r="E615" s="1089" t="s">
        <v>1618</v>
      </c>
      <c r="I615" s="1026" t="str">
        <f t="shared" si="57"/>
        <v>Incentive Calendar</v>
      </c>
      <c r="J615" s="1376" t="str">
        <f t="shared" si="56"/>
        <v>592</v>
      </c>
      <c r="K615" s="1376" t="str">
        <f t="shared" si="58"/>
        <v>Incentives Worksheet</v>
      </c>
      <c r="L615" s="1089" t="s">
        <v>1589</v>
      </c>
      <c r="M615" s="1376">
        <v>592</v>
      </c>
      <c r="N615" s="1376"/>
      <c r="R615" s="1376" t="s">
        <v>898</v>
      </c>
    </row>
    <row r="616" spans="1:18" s="1370" customFormat="1" x14ac:dyDescent="0.25">
      <c r="A616" s="1118" t="s">
        <v>1590</v>
      </c>
      <c r="B616" s="1089" t="str">
        <f t="shared" ca="1" si="61"/>
        <v>T61</v>
      </c>
      <c r="C616" s="1089" t="str">
        <f t="shared" ca="1" si="62"/>
        <v>T62</v>
      </c>
      <c r="D616" s="1089" t="s">
        <v>1448</v>
      </c>
      <c r="E616" s="1089" t="s">
        <v>1618</v>
      </c>
      <c r="I616" s="1026" t="str">
        <f t="shared" si="57"/>
        <v>Post to GL Payment Method Flag</v>
      </c>
      <c r="J616" s="1376" t="str">
        <f t="shared" si="56"/>
        <v>593</v>
      </c>
      <c r="K616" s="1376" t="str">
        <f t="shared" si="58"/>
        <v>Incentives Worksheet</v>
      </c>
      <c r="L616" s="1089" t="s">
        <v>1590</v>
      </c>
      <c r="M616" s="1376">
        <v>593</v>
      </c>
      <c r="N616" s="1376"/>
      <c r="R616" s="1376" t="s">
        <v>898</v>
      </c>
    </row>
    <row r="617" spans="1:18" s="1370" customFormat="1" x14ac:dyDescent="0.25">
      <c r="A617" s="1118" t="s">
        <v>1484</v>
      </c>
      <c r="B617" s="1089" t="str">
        <f ca="1">IFERROR(_xlfn.CONCAT("C",MATCH(A617,INDIRECT("'"&amp;E617&amp;"'!C"&amp;$O$608&amp;":C"&amp;$O$610),0)+$O$608-1),"")</f>
        <v>C65</v>
      </c>
      <c r="C617" s="1089" t="str">
        <f ca="1">IFERROR(_xlfn.CONCAT("D",MATCH(A617,INDIRECT("'"&amp;E617&amp;"'!C"&amp;$O$608&amp;":C"&amp;$O$610),0)+$O$608-1),"")</f>
        <v>D65</v>
      </c>
      <c r="D617" s="1089" t="s">
        <v>1448</v>
      </c>
      <c r="E617" s="1089" t="s">
        <v>1618</v>
      </c>
      <c r="I617" s="1026" t="str">
        <f t="shared" si="57"/>
        <v/>
      </c>
      <c r="J617" s="1376"/>
      <c r="K617" s="1376" t="str">
        <f t="shared" si="58"/>
        <v/>
      </c>
      <c r="L617" s="1089" t="s">
        <v>1484</v>
      </c>
      <c r="M617" s="1376">
        <v>594</v>
      </c>
      <c r="N617" s="1376"/>
      <c r="R617" s="1376" t="s">
        <v>898</v>
      </c>
    </row>
    <row r="618" spans="1:18" s="1370" customFormat="1" x14ac:dyDescent="0.25">
      <c r="A618" s="1118" t="s">
        <v>1485</v>
      </c>
      <c r="B618" s="1089" t="str">
        <f ca="1">IFERROR(_xlfn.CONCAT("C",MATCH(A618,INDIRECT("'"&amp;E618&amp;"'!C"&amp;$O$608&amp;":C"&amp;$O$610),0)+$O$608-1),"")</f>
        <v>C67</v>
      </c>
      <c r="C618" s="1089" t="str">
        <f ca="1">IFERROR(_xlfn.CONCAT("D",MATCH(A618,INDIRECT("'"&amp;E618&amp;"'!C"&amp;$O$608&amp;":C"&amp;$O$610),0)+$O$608-1),"")</f>
        <v>D67</v>
      </c>
      <c r="D618" s="1089" t="s">
        <v>1448</v>
      </c>
      <c r="E618" s="1089" t="s">
        <v>1618</v>
      </c>
      <c r="I618" s="1026" t="str">
        <f t="shared" si="57"/>
        <v/>
      </c>
      <c r="J618" s="1376"/>
      <c r="K618" s="1376" t="str">
        <f t="shared" si="58"/>
        <v/>
      </c>
      <c r="L618" s="1089" t="s">
        <v>1485</v>
      </c>
      <c r="M618" s="1376">
        <v>595</v>
      </c>
      <c r="N618" s="1376"/>
      <c r="R618" s="1376" t="s">
        <v>898</v>
      </c>
    </row>
    <row r="619" spans="1:18" s="1370" customFormat="1" ht="30" x14ac:dyDescent="0.25">
      <c r="A619" s="1118" t="s">
        <v>1597</v>
      </c>
      <c r="B619" s="1089" t="str">
        <f ca="1">IFERROR(_xlfn.CONCAT("C",MATCH(A619,INDIRECT("'"&amp;E619&amp;"'!C"&amp;$O$608&amp;":C"&amp;$O$610),0)+$O$608-1),"")</f>
        <v>C71</v>
      </c>
      <c r="C619" s="1089" t="str">
        <f ca="1">IFERROR(_xlfn.CONCAT("D",MATCH(A619,INDIRECT("'"&amp;E619&amp;"'!C"&amp;$O$608&amp;":C"&amp;$O$610),0)+$O$608-1),"")</f>
        <v>D71</v>
      </c>
      <c r="D619" s="1089" t="s">
        <v>1448</v>
      </c>
      <c r="E619" s="1089" t="s">
        <v>1618</v>
      </c>
      <c r="I619" s="1026" t="str">
        <f t="shared" si="57"/>
        <v>Incentive Dates Match Agreement Dates Flag</v>
      </c>
      <c r="J619" s="1376" t="str">
        <f t="shared" si="56"/>
        <v>596</v>
      </c>
      <c r="K619" s="1376" t="str">
        <f t="shared" si="58"/>
        <v>Incentives Worksheet</v>
      </c>
      <c r="L619" s="1089" t="s">
        <v>1597</v>
      </c>
      <c r="M619" s="1376">
        <v>596</v>
      </c>
      <c r="N619" s="1376"/>
      <c r="R619" s="1376" t="s">
        <v>898</v>
      </c>
    </row>
    <row r="620" spans="1:18" s="1370" customFormat="1" x14ac:dyDescent="0.25">
      <c r="A620" s="1118" t="s">
        <v>1594</v>
      </c>
      <c r="B620" s="1089" t="str">
        <f ca="1">_xlfn.CONCAT(IFERROR(SUBSTITUTE(ADDRESS(1,MATCH(A620,INDIRECT("'"&amp;E620&amp;"'"&amp;"!A" &amp; $O$608 + 12 &amp; ":Z" &amp; $O$608+12),0),4),1,""),""),$O$608+12)</f>
        <v>H71</v>
      </c>
      <c r="C620" s="1089" t="str">
        <f ca="1">_xlfn.CONCAT(IFERROR(SUBSTITUTE(ADDRESS(1,MATCH(A620,INDIRECT("'"&amp;E620&amp;"'"&amp;"!A" &amp; $O$608 + 12 &amp; ":Z" &amp; $O$608+12),0),4),1,""),""),$O$608+13)</f>
        <v>H72</v>
      </c>
      <c r="D620" s="1089" t="s">
        <v>1448</v>
      </c>
      <c r="E620" s="1089" t="s">
        <v>1618</v>
      </c>
      <c r="I620" s="1026" t="str">
        <f t="shared" si="57"/>
        <v>Include All Customers Flag</v>
      </c>
      <c r="J620" s="1376" t="str">
        <f t="shared" si="56"/>
        <v>597</v>
      </c>
      <c r="K620" s="1376" t="str">
        <f t="shared" si="58"/>
        <v>Incentives Worksheet</v>
      </c>
      <c r="L620" s="1089" t="s">
        <v>1594</v>
      </c>
      <c r="M620" s="1376">
        <v>597</v>
      </c>
      <c r="N620" s="1376"/>
      <c r="R620" s="1376" t="s">
        <v>898</v>
      </c>
    </row>
    <row r="621" spans="1:18" s="1370" customFormat="1" x14ac:dyDescent="0.25">
      <c r="A621" s="1118" t="s">
        <v>1608</v>
      </c>
      <c r="B621" s="1089" t="str">
        <f ca="1">_xlfn.CONCAT(IFERROR(SUBSTITUTE(ADDRESS(1,MATCH(A621,INDIRECT("'"&amp;E621&amp;"'"&amp;"!A" &amp; $O$608 + 12 &amp; ":Z" &amp; $O$608+12),0),4),1,""),""),$O$608+12)</f>
        <v>J71</v>
      </c>
      <c r="C621" s="1089" t="str">
        <f ca="1">_xlfn.CONCAT(IFERROR(SUBSTITUTE(ADDRESS(1,MATCH(A621,INDIRECT("'"&amp;E621&amp;"'"&amp;"!A" &amp; $O$608 + 12 &amp; ":Z" &amp; $O$608+12),0),4),1,""),""),$O$608+13)</f>
        <v>J72</v>
      </c>
      <c r="D621" s="1089" t="s">
        <v>1448</v>
      </c>
      <c r="E621" s="1089" t="s">
        <v>1618</v>
      </c>
      <c r="I621" s="1026" t="str">
        <f t="shared" si="57"/>
        <v>Customer Aggregation</v>
      </c>
      <c r="J621" s="1376" t="str">
        <f t="shared" si="56"/>
        <v>598</v>
      </c>
      <c r="K621" s="1376" t="str">
        <f t="shared" si="58"/>
        <v>Incentives Worksheet</v>
      </c>
      <c r="L621" s="1089" t="s">
        <v>1608</v>
      </c>
      <c r="M621" s="1376">
        <v>598</v>
      </c>
      <c r="N621" s="1376"/>
      <c r="R621" s="1376" t="s">
        <v>898</v>
      </c>
    </row>
    <row r="622" spans="1:18" s="1370" customFormat="1" x14ac:dyDescent="0.25">
      <c r="A622" s="1118" t="s">
        <v>1486</v>
      </c>
      <c r="B622" s="1089" t="str">
        <f ca="1">_xlfn.IFNA(_xlfn.CONCAT(SUBSTITUTE(ADDRESS(1,MATCH(A622,INDIRECT("'"&amp;E622&amp;"'"&amp;"!A" &amp; $O$608+5 &amp; ":Z" &amp; $O$608+5),0),4),1,""),$O$608+6),"")</f>
        <v>H65</v>
      </c>
      <c r="C622" s="1089" t="str">
        <f ca="1">_xlfn.IFNA(SUBSTITUTE(ADDRESS(1,MATCH(A622,INDIRECT("'"&amp;E622&amp;"'"&amp;"!A" &amp; O$608+5 &amp; ":Z" &amp; O$608+5),0),4),1,""),"")</f>
        <v>H</v>
      </c>
      <c r="D622" s="1089" t="s">
        <v>1455</v>
      </c>
      <c r="E622" s="1089" t="s">
        <v>1618</v>
      </c>
      <c r="I622" s="1026" t="str">
        <f t="shared" si="57"/>
        <v/>
      </c>
      <c r="J622" s="1376"/>
      <c r="K622" s="1376" t="str">
        <f t="shared" si="58"/>
        <v/>
      </c>
      <c r="L622" s="1089" t="s">
        <v>1486</v>
      </c>
      <c r="M622" s="1376">
        <v>599</v>
      </c>
      <c r="N622" s="1376"/>
      <c r="R622" s="1376" t="s">
        <v>898</v>
      </c>
    </row>
    <row r="623" spans="1:18" s="1370" customFormat="1" x14ac:dyDescent="0.25">
      <c r="A623" s="1118" t="s">
        <v>1487</v>
      </c>
      <c r="B623" s="1089" t="str">
        <f ca="1">_xlfn.IFNA(_xlfn.CONCAT(SUBSTITUTE(ADDRESS(1,MATCH(A623,INDIRECT("'"&amp;E623&amp;"'"&amp;"!A" &amp; $O$608+5 &amp; ":Z" &amp; $O$608+5),0),4),1,""),$O$608+6),"")</f>
        <v>J65</v>
      </c>
      <c r="C623" s="1089" t="str">
        <f t="shared" ref="C623:C636" ca="1" si="63">_xlfn.IFNA(SUBSTITUTE(ADDRESS(1,MATCH(A623,INDIRECT("'"&amp;E623&amp;"'"&amp;"!A" &amp; O$608+5 &amp; ":Z" &amp; O$608+5),0),4),1,""),"")</f>
        <v>J</v>
      </c>
      <c r="D623" s="1089" t="s">
        <v>1455</v>
      </c>
      <c r="E623" s="1089" t="s">
        <v>1618</v>
      </c>
      <c r="I623" s="1026" t="str">
        <f t="shared" si="57"/>
        <v/>
      </c>
      <c r="J623" s="1376"/>
      <c r="K623" s="1376" t="str">
        <f t="shared" si="58"/>
        <v/>
      </c>
      <c r="L623" s="1089" t="s">
        <v>1487</v>
      </c>
      <c r="M623" s="1376">
        <v>600</v>
      </c>
      <c r="N623" s="1376"/>
      <c r="R623" s="1376" t="s">
        <v>898</v>
      </c>
    </row>
    <row r="624" spans="1:18" s="1370" customFormat="1" x14ac:dyDescent="0.25">
      <c r="A624" s="1118" t="s">
        <v>1488</v>
      </c>
      <c r="B624" s="1089" t="str">
        <f ca="1">_xlfn.IFNA(_xlfn.CONCAT(SUBSTITUTE(ADDRESS(1,MATCH(A624,INDIRECT("'"&amp;E624&amp;"'"&amp;"!A" &amp; $O$608+5 &amp; ":Z" &amp; $O$608+5),0),4),1,""),$O$608+6),"")</f>
        <v>L65</v>
      </c>
      <c r="C624" s="1089" t="str">
        <f t="shared" ca="1" si="63"/>
        <v>L</v>
      </c>
      <c r="D624" s="1089" t="s">
        <v>1455</v>
      </c>
      <c r="E624" s="1089" t="s">
        <v>1618</v>
      </c>
      <c r="I624" s="1026" t="str">
        <f t="shared" si="57"/>
        <v/>
      </c>
      <c r="J624" s="1376"/>
      <c r="K624" s="1376" t="str">
        <f t="shared" si="58"/>
        <v/>
      </c>
      <c r="L624" s="1089" t="s">
        <v>1488</v>
      </c>
      <c r="M624" s="1376">
        <v>601</v>
      </c>
      <c r="N624" s="1376"/>
      <c r="R624" s="1376" t="s">
        <v>898</v>
      </c>
    </row>
    <row r="625" spans="1:18" s="1370" customFormat="1" x14ac:dyDescent="0.25">
      <c r="A625" s="1118" t="s">
        <v>1486</v>
      </c>
      <c r="B625" s="1089" t="str">
        <f ca="1">_xlfn.IFNA(_xlfn.CONCAT(SUBSTITUTE(ADDRESS(1,MATCH(A625,INDIRECT("'"&amp;E625&amp;"'"&amp;"!A" &amp; $O$608+5 &amp; ":Z" &amp; $O$608+5),0),4),1,""),$O$608+7),"")</f>
        <v>H66</v>
      </c>
      <c r="C625" s="1089" t="str">
        <f t="shared" ca="1" si="63"/>
        <v>H</v>
      </c>
      <c r="D625" s="1089" t="s">
        <v>1455</v>
      </c>
      <c r="E625" s="1089" t="s">
        <v>1618</v>
      </c>
      <c r="I625" s="1026" t="str">
        <f t="shared" si="57"/>
        <v/>
      </c>
      <c r="J625" s="1376"/>
      <c r="K625" s="1376" t="str">
        <f t="shared" si="58"/>
        <v/>
      </c>
      <c r="L625" s="1089" t="s">
        <v>1486</v>
      </c>
      <c r="M625" s="1376">
        <v>602</v>
      </c>
      <c r="N625" s="1376"/>
      <c r="R625" s="1376" t="s">
        <v>898</v>
      </c>
    </row>
    <row r="626" spans="1:18" s="1370" customFormat="1" x14ac:dyDescent="0.25">
      <c r="A626" s="1118" t="s">
        <v>1487</v>
      </c>
      <c r="B626" s="1089" t="str">
        <f ca="1">_xlfn.IFNA(_xlfn.CONCAT(SUBSTITUTE(ADDRESS(1,MATCH(A626,INDIRECT("'"&amp;E626&amp;"'"&amp;"!A" &amp; $O$608+5 &amp; ":Z" &amp; $O$608+5),0),4),1,""),$O$608+7),"")</f>
        <v>J66</v>
      </c>
      <c r="C626" s="1089" t="str">
        <f t="shared" ca="1" si="63"/>
        <v>J</v>
      </c>
      <c r="D626" s="1089" t="s">
        <v>1455</v>
      </c>
      <c r="E626" s="1089" t="s">
        <v>1618</v>
      </c>
      <c r="I626" s="1026" t="str">
        <f t="shared" si="57"/>
        <v/>
      </c>
      <c r="J626" s="1376"/>
      <c r="K626" s="1376" t="str">
        <f t="shared" si="58"/>
        <v/>
      </c>
      <c r="L626" s="1089" t="s">
        <v>1487</v>
      </c>
      <c r="M626" s="1376">
        <v>603</v>
      </c>
      <c r="N626" s="1376"/>
      <c r="R626" s="1376" t="s">
        <v>898</v>
      </c>
    </row>
    <row r="627" spans="1:18" s="1370" customFormat="1" x14ac:dyDescent="0.25">
      <c r="A627" s="1118" t="s">
        <v>1488</v>
      </c>
      <c r="B627" s="1089" t="str">
        <f ca="1">_xlfn.IFNA(_xlfn.CONCAT(SUBSTITUTE(ADDRESS(1,MATCH(A627,INDIRECT("'"&amp;E627&amp;"'"&amp;"!A" &amp; $O$608+5 &amp; ":Z" &amp; $O$608+5),0),4),1,""),$O$608+7),"")</f>
        <v>L66</v>
      </c>
      <c r="C627" s="1089" t="str">
        <f t="shared" ca="1" si="63"/>
        <v>L</v>
      </c>
      <c r="D627" s="1089" t="s">
        <v>1455</v>
      </c>
      <c r="E627" s="1089" t="s">
        <v>1618</v>
      </c>
      <c r="I627" s="1026" t="str">
        <f t="shared" si="57"/>
        <v/>
      </c>
      <c r="J627" s="1376"/>
      <c r="K627" s="1376" t="str">
        <f t="shared" si="58"/>
        <v/>
      </c>
      <c r="L627" s="1089" t="s">
        <v>1488</v>
      </c>
      <c r="M627" s="1376">
        <v>604</v>
      </c>
      <c r="N627" s="1376"/>
      <c r="R627" s="1376" t="s">
        <v>898</v>
      </c>
    </row>
    <row r="628" spans="1:18" s="1370" customFormat="1" x14ac:dyDescent="0.25">
      <c r="A628" s="1118" t="s">
        <v>1486</v>
      </c>
      <c r="B628" s="1089" t="str">
        <f ca="1">_xlfn.IFNA(_xlfn.CONCAT(SUBSTITUTE(ADDRESS(1,MATCH(A628,INDIRECT("'"&amp;E628&amp;"'"&amp;"!A" &amp; $O$608+5 &amp; ":Z" &amp; $O$608+5),0),4),1,""),$O$608+8),"")</f>
        <v>H67</v>
      </c>
      <c r="C628" s="1089" t="str">
        <f t="shared" ca="1" si="63"/>
        <v>H</v>
      </c>
      <c r="D628" s="1089" t="s">
        <v>1455</v>
      </c>
      <c r="E628" s="1089" t="s">
        <v>1618</v>
      </c>
      <c r="I628" s="1026" t="str">
        <f t="shared" si="57"/>
        <v/>
      </c>
      <c r="J628" s="1376"/>
      <c r="K628" s="1376" t="str">
        <f t="shared" si="58"/>
        <v/>
      </c>
      <c r="L628" s="1089" t="s">
        <v>1486</v>
      </c>
      <c r="M628" s="1376">
        <v>605</v>
      </c>
      <c r="N628" s="1376"/>
      <c r="R628" s="1376" t="s">
        <v>898</v>
      </c>
    </row>
    <row r="629" spans="1:18" s="1370" customFormat="1" x14ac:dyDescent="0.25">
      <c r="A629" s="1118" t="s">
        <v>1487</v>
      </c>
      <c r="B629" s="1089" t="str">
        <f ca="1">_xlfn.IFNA(_xlfn.CONCAT(SUBSTITUTE(ADDRESS(1,MATCH(A629,INDIRECT("'"&amp;E629&amp;"'"&amp;"!A" &amp; $O$608+5 &amp; ":Z" &amp; $O$608+5),0),4),1,""),$O$608+8),"")</f>
        <v>J67</v>
      </c>
      <c r="C629" s="1089" t="str">
        <f t="shared" ca="1" si="63"/>
        <v>J</v>
      </c>
      <c r="D629" s="1089" t="s">
        <v>1455</v>
      </c>
      <c r="E629" s="1089" t="s">
        <v>1618</v>
      </c>
      <c r="I629" s="1026" t="str">
        <f t="shared" si="57"/>
        <v/>
      </c>
      <c r="J629" s="1376"/>
      <c r="K629" s="1376" t="str">
        <f t="shared" si="58"/>
        <v/>
      </c>
      <c r="L629" s="1089" t="s">
        <v>1487</v>
      </c>
      <c r="M629" s="1376">
        <v>606</v>
      </c>
      <c r="N629" s="1376"/>
      <c r="R629" s="1376" t="s">
        <v>898</v>
      </c>
    </row>
    <row r="630" spans="1:18" s="1370" customFormat="1" x14ac:dyDescent="0.25">
      <c r="A630" s="1118" t="s">
        <v>1488</v>
      </c>
      <c r="B630" s="1089" t="str">
        <f ca="1">_xlfn.IFNA(_xlfn.CONCAT(SUBSTITUTE(ADDRESS(1,MATCH(A630,INDIRECT("'"&amp;E630&amp;"'"&amp;"!A" &amp; $O$608+5 &amp; ":Z" &amp; $O$608+5),0),4),1,""),$O$608+8),"")</f>
        <v>L67</v>
      </c>
      <c r="C630" s="1089" t="str">
        <f t="shared" ca="1" si="63"/>
        <v>L</v>
      </c>
      <c r="D630" s="1089" t="s">
        <v>1455</v>
      </c>
      <c r="E630" s="1089" t="s">
        <v>1618</v>
      </c>
      <c r="I630" s="1026" t="str">
        <f t="shared" si="57"/>
        <v/>
      </c>
      <c r="J630" s="1376"/>
      <c r="K630" s="1376" t="str">
        <f t="shared" si="58"/>
        <v/>
      </c>
      <c r="L630" s="1089" t="s">
        <v>1488</v>
      </c>
      <c r="M630" s="1376">
        <v>607</v>
      </c>
      <c r="N630" s="1376"/>
      <c r="R630" s="1376" t="s">
        <v>898</v>
      </c>
    </row>
    <row r="631" spans="1:18" s="1370" customFormat="1" x14ac:dyDescent="0.25">
      <c r="A631" s="1118" t="s">
        <v>1486</v>
      </c>
      <c r="B631" s="1089" t="str">
        <f ca="1">_xlfn.IFNA(_xlfn.CONCAT(SUBSTITUTE(ADDRESS(1,MATCH(A631,INDIRECT("'"&amp;E631&amp;"'"&amp;"!A" &amp; $O$608+5 &amp; ":Z" &amp; $O$608+5),0),4),1,""),$O$608+9),"")</f>
        <v>H68</v>
      </c>
      <c r="C631" s="1089" t="str">
        <f t="shared" ca="1" si="63"/>
        <v>H</v>
      </c>
      <c r="D631" s="1089" t="s">
        <v>1455</v>
      </c>
      <c r="E631" s="1089" t="s">
        <v>1618</v>
      </c>
      <c r="I631" s="1026" t="str">
        <f t="shared" si="57"/>
        <v/>
      </c>
      <c r="J631" s="1376"/>
      <c r="K631" s="1376" t="str">
        <f t="shared" si="58"/>
        <v/>
      </c>
      <c r="L631" s="1089" t="s">
        <v>1486</v>
      </c>
      <c r="M631" s="1376">
        <v>608</v>
      </c>
      <c r="N631" s="1376"/>
      <c r="R631" s="1376" t="s">
        <v>898</v>
      </c>
    </row>
    <row r="632" spans="1:18" s="1370" customFormat="1" x14ac:dyDescent="0.25">
      <c r="A632" s="1118" t="s">
        <v>1487</v>
      </c>
      <c r="B632" s="1089" t="str">
        <f ca="1">_xlfn.IFNA(_xlfn.CONCAT(SUBSTITUTE(ADDRESS(1,MATCH(A632,INDIRECT("'"&amp;E632&amp;"'"&amp;"!A" &amp; $O$608+5 &amp; ":Z" &amp; $O$608+5),0),4),1,""),$O$608+9),"")</f>
        <v>J68</v>
      </c>
      <c r="C632" s="1089" t="str">
        <f t="shared" ca="1" si="63"/>
        <v>J</v>
      </c>
      <c r="D632" s="1089" t="s">
        <v>1455</v>
      </c>
      <c r="E632" s="1089" t="s">
        <v>1618</v>
      </c>
      <c r="I632" s="1026" t="str">
        <f t="shared" si="57"/>
        <v/>
      </c>
      <c r="J632" s="1376"/>
      <c r="K632" s="1376" t="str">
        <f t="shared" si="58"/>
        <v/>
      </c>
      <c r="L632" s="1089" t="s">
        <v>1487</v>
      </c>
      <c r="M632" s="1376">
        <v>609</v>
      </c>
      <c r="N632" s="1376"/>
      <c r="R632" s="1376" t="s">
        <v>898</v>
      </c>
    </row>
    <row r="633" spans="1:18" s="1370" customFormat="1" x14ac:dyDescent="0.25">
      <c r="A633" s="1118" t="s">
        <v>1488</v>
      </c>
      <c r="B633" s="1089" t="str">
        <f ca="1">_xlfn.IFNA(_xlfn.CONCAT(SUBSTITUTE(ADDRESS(1,MATCH(A633,INDIRECT("'"&amp;E633&amp;"'"&amp;"!A" &amp; $O$608+5 &amp; ":Z" &amp; $O$608+5),0),4),1,""),$O$608+9),"")</f>
        <v>L68</v>
      </c>
      <c r="C633" s="1089" t="str">
        <f t="shared" ca="1" si="63"/>
        <v>L</v>
      </c>
      <c r="D633" s="1089" t="s">
        <v>1455</v>
      </c>
      <c r="E633" s="1089" t="s">
        <v>1618</v>
      </c>
      <c r="I633" s="1026" t="str">
        <f t="shared" si="57"/>
        <v/>
      </c>
      <c r="J633" s="1376"/>
      <c r="K633" s="1376" t="str">
        <f t="shared" si="58"/>
        <v/>
      </c>
      <c r="L633" s="1089" t="s">
        <v>1488</v>
      </c>
      <c r="M633" s="1376">
        <v>610</v>
      </c>
      <c r="N633" s="1376"/>
      <c r="R633" s="1376" t="s">
        <v>898</v>
      </c>
    </row>
    <row r="634" spans="1:18" s="1370" customFormat="1" x14ac:dyDescent="0.25">
      <c r="A634" s="1118" t="s">
        <v>1486</v>
      </c>
      <c r="B634" s="1089" t="str">
        <f ca="1">_xlfn.IFNA(_xlfn.CONCAT(SUBSTITUTE(ADDRESS(1,MATCH(A634,INDIRECT("'"&amp;E634&amp;"'"&amp;"!A" &amp; $O$608+5 &amp; ":Z" &amp; $O$608+5),0),4),1,""),$O$608+10),"")</f>
        <v>H69</v>
      </c>
      <c r="C634" s="1089" t="str">
        <f t="shared" ca="1" si="63"/>
        <v>H</v>
      </c>
      <c r="D634" s="1089" t="s">
        <v>1455</v>
      </c>
      <c r="E634" s="1089" t="s">
        <v>1618</v>
      </c>
      <c r="I634" s="1026" t="str">
        <f t="shared" si="57"/>
        <v/>
      </c>
      <c r="J634" s="1376"/>
      <c r="K634" s="1376" t="str">
        <f t="shared" si="58"/>
        <v/>
      </c>
      <c r="L634" s="1089" t="s">
        <v>1486</v>
      </c>
      <c r="M634" s="1376">
        <v>611</v>
      </c>
      <c r="N634" s="1376"/>
      <c r="R634" s="1376" t="s">
        <v>898</v>
      </c>
    </row>
    <row r="635" spans="1:18" s="1370" customFormat="1" x14ac:dyDescent="0.25">
      <c r="A635" s="1118" t="s">
        <v>1487</v>
      </c>
      <c r="B635" s="1089" t="str">
        <f ca="1">_xlfn.IFNA(_xlfn.CONCAT(SUBSTITUTE(ADDRESS(1,MATCH(A635,INDIRECT("'"&amp;E635&amp;"'"&amp;"!A" &amp; $O$608+5 &amp; ":Z" &amp; $O$608+5),0),4),1,""),$O$608+10),"")</f>
        <v>J69</v>
      </c>
      <c r="C635" s="1089" t="str">
        <f t="shared" ca="1" si="63"/>
        <v>J</v>
      </c>
      <c r="D635" s="1089" t="s">
        <v>1455</v>
      </c>
      <c r="E635" s="1089" t="s">
        <v>1618</v>
      </c>
      <c r="I635" s="1026" t="str">
        <f t="shared" si="57"/>
        <v/>
      </c>
      <c r="J635" s="1376"/>
      <c r="K635" s="1376" t="str">
        <f t="shared" si="58"/>
        <v/>
      </c>
      <c r="L635" s="1089" t="s">
        <v>1487</v>
      </c>
      <c r="M635" s="1376">
        <v>612</v>
      </c>
      <c r="N635" s="1376"/>
      <c r="R635" s="1376" t="s">
        <v>898</v>
      </c>
    </row>
    <row r="636" spans="1:18" s="1370" customFormat="1" x14ac:dyDescent="0.25">
      <c r="A636" s="1118" t="s">
        <v>1488</v>
      </c>
      <c r="B636" s="1089" t="str">
        <f ca="1">_xlfn.IFNA(_xlfn.CONCAT(SUBSTITUTE(ADDRESS(1,MATCH(A636,INDIRECT("'"&amp;E636&amp;"'"&amp;"!A" &amp; $O$608+5 &amp; ":Z" &amp; $O$608+5),0),4),1,""),$O$608+10),"")</f>
        <v>L69</v>
      </c>
      <c r="C636" s="1089" t="str">
        <f t="shared" ca="1" si="63"/>
        <v>L</v>
      </c>
      <c r="D636" s="1089" t="s">
        <v>1455</v>
      </c>
      <c r="E636" s="1089" t="s">
        <v>1618</v>
      </c>
      <c r="I636" s="1026" t="str">
        <f t="shared" si="57"/>
        <v/>
      </c>
      <c r="J636" s="1376"/>
      <c r="K636" s="1376" t="str">
        <f t="shared" si="58"/>
        <v/>
      </c>
      <c r="L636" s="1089" t="s">
        <v>1488</v>
      </c>
      <c r="M636" s="1376">
        <v>613</v>
      </c>
      <c r="N636" s="1376"/>
      <c r="R636" s="1376" t="s">
        <v>898</v>
      </c>
    </row>
    <row r="637" spans="1:18" s="1370" customFormat="1" x14ac:dyDescent="0.25">
      <c r="A637" s="1118" t="s">
        <v>1610</v>
      </c>
      <c r="B637" s="1089" t="str">
        <f ca="1">_xlfn.CONCAT(IFERROR(SUBSTITUTE(ADDRESS(1,MATCH(A637,INDIRECT("'"&amp;E637&amp;"'"&amp;"!A" &amp; $O$608 + 12 &amp; ":Z" &amp; $O$608+12),0),4),1,""),""),$O$608+12)</f>
        <v>P71</v>
      </c>
      <c r="C637" s="1089" t="str">
        <f ca="1">_xlfn.CONCAT(IFERROR(SUBSTITUTE(ADDRESS(1,MATCH(A637,INDIRECT("'"&amp;E637&amp;"'"&amp;"!A" &amp; $O$608 + 12 &amp; ":Z" &amp; $O$608+12),0),4),1,""),""),$O$608+13)</f>
        <v>P72</v>
      </c>
      <c r="D637" s="1089" t="s">
        <v>1448</v>
      </c>
      <c r="E637" s="1089" t="s">
        <v>1618</v>
      </c>
      <c r="I637" s="1026" t="str">
        <f t="shared" si="57"/>
        <v>Weekly Threshold Flag</v>
      </c>
      <c r="J637" s="1376" t="str">
        <f t="shared" si="56"/>
        <v>614</v>
      </c>
      <c r="K637" s="1376" t="str">
        <f t="shared" si="58"/>
        <v>Incentives Worksheet</v>
      </c>
      <c r="L637" s="1089" t="s">
        <v>1610</v>
      </c>
      <c r="M637" s="1376">
        <v>614</v>
      </c>
      <c r="N637" s="1376"/>
      <c r="R637" s="694" t="s">
        <v>898</v>
      </c>
    </row>
    <row r="638" spans="1:18" s="1370" customFormat="1" x14ac:dyDescent="0.25">
      <c r="A638" s="1121" t="s">
        <v>1593</v>
      </c>
      <c r="B638" s="1089" t="str">
        <f ca="1">IFERROR(_xlfn.CONCAT("C",MATCH(A638,INDIRECT("'"&amp;E638&amp;"'!C"&amp;$O$639&amp;":C"&amp;$O$641),0)+$O$639-1),"")</f>
        <v>C79</v>
      </c>
      <c r="C638" s="1089" t="str">
        <f ca="1">IFERROR(_xlfn.CONCAT("D",MATCH(A638,INDIRECT("'"&amp;E638&amp;"'!C"&amp;$O$639&amp;":C"&amp;$O$641),0)+$O$639-1),"")</f>
        <v>D79</v>
      </c>
      <c r="D638" s="1089" t="s">
        <v>1448</v>
      </c>
      <c r="E638" s="1089" t="s">
        <v>1618</v>
      </c>
      <c r="I638" s="1026" t="str">
        <f t="shared" si="57"/>
        <v/>
      </c>
      <c r="J638" s="1376"/>
      <c r="K638" s="1376" t="str">
        <f t="shared" si="58"/>
        <v/>
      </c>
      <c r="L638" s="1089" t="s">
        <v>1593</v>
      </c>
      <c r="M638" s="1376">
        <v>621</v>
      </c>
      <c r="N638" s="1376"/>
      <c r="O638" s="1370" t="s">
        <v>742</v>
      </c>
      <c r="R638" s="694" t="s">
        <v>898</v>
      </c>
    </row>
    <row r="639" spans="1:18" s="1370" customFormat="1" x14ac:dyDescent="0.25">
      <c r="A639" s="1121" t="s">
        <v>1809</v>
      </c>
      <c r="B639" s="1089" t="str">
        <f ca="1">_xlfn.CONCAT(IFERROR(SUBSTITUTE(ADDRESS(1,MATCH(A639,INDIRECT("'"&amp;E639&amp;"'"&amp;"!A" &amp; $O$639 + 12 &amp; ":Z" &amp; $O$639 + 12),0),4),1,""),""),$O$639 + 12)</f>
        <v>T87</v>
      </c>
      <c r="C639" s="1089" t="str">
        <f ca="1">_xlfn.CONCAT(IFERROR(SUBSTITUTE(ADDRESS(1,MATCH(A639,INDIRECT("'"&amp;E639&amp;"'"&amp;"!A" &amp; $O$639 + 12 &amp; ":Z" &amp; $O$639 + 12),0),4),1,""),""),$O$639 + 13)</f>
        <v>T88</v>
      </c>
      <c r="D639" s="1089" t="s">
        <v>1448</v>
      </c>
      <c r="E639" s="1089" t="s">
        <v>1618</v>
      </c>
      <c r="I639" s="1026" t="str">
        <f t="shared" si="57"/>
        <v/>
      </c>
      <c r="J639" s="1376"/>
      <c r="K639" s="1376" t="str">
        <f t="shared" si="58"/>
        <v/>
      </c>
      <c r="L639" s="1089" t="s">
        <v>1809</v>
      </c>
      <c r="M639" s="1376">
        <v>622</v>
      </c>
      <c r="N639" s="1376"/>
      <c r="O639" s="1370">
        <f>'Configurable Tab'!H8</f>
        <v>75</v>
      </c>
      <c r="Q639" s="1370" t="s">
        <v>653</v>
      </c>
      <c r="R639" s="694" t="s">
        <v>898</v>
      </c>
    </row>
    <row r="640" spans="1:18" s="1370" customFormat="1" x14ac:dyDescent="0.25">
      <c r="A640" s="1121" t="s">
        <v>1482</v>
      </c>
      <c r="B640" s="1089" t="str">
        <f ca="1">IFERROR(_xlfn.CONCAT("C",MATCH(A640,INDIRECT("'"&amp;E640&amp;"'!C"&amp;$O$639&amp;":C"&amp;$O$641),0)+$O$639-1),"")</f>
        <v>C77</v>
      </c>
      <c r="C640" s="1089" t="str">
        <f ca="1">IFERROR(_xlfn.CONCAT("D",MATCH(A640,INDIRECT("'"&amp;E640&amp;"'!C"&amp;$O$639&amp;":C"&amp;$O$641),0)+$O$639-1),"")</f>
        <v>D77</v>
      </c>
      <c r="D640" s="1089" t="s">
        <v>1448</v>
      </c>
      <c r="E640" s="1089" t="s">
        <v>1618</v>
      </c>
      <c r="I640" s="1026" t="str">
        <f t="shared" si="57"/>
        <v/>
      </c>
      <c r="J640" s="1376"/>
      <c r="K640" s="1376" t="str">
        <f t="shared" si="58"/>
        <v/>
      </c>
      <c r="L640" s="1089" t="s">
        <v>1482</v>
      </c>
      <c r="M640" s="1376">
        <v>623</v>
      </c>
      <c r="N640" s="1376"/>
      <c r="O640" s="1370" t="s">
        <v>743</v>
      </c>
      <c r="R640" s="694" t="s">
        <v>898</v>
      </c>
    </row>
    <row r="641" spans="1:18" s="1370" customFormat="1" x14ac:dyDescent="0.25">
      <c r="A641" s="1121" t="s">
        <v>1479</v>
      </c>
      <c r="B641" s="1089" t="str">
        <f t="shared" ref="B641:B647" ca="1" si="64">_xlfn.CONCAT(IFERROR(SUBSTITUTE(ADDRESS(1,MATCH(A641,INDIRECT("'"&amp;E641&amp;"'"&amp;"!A" &amp; $O$639 + 2 &amp; ":Z" &amp; $O$639 + 2),0),4),1,""),""),$O$639 + 2)</f>
        <v>H77</v>
      </c>
      <c r="C641" s="1089" t="str">
        <f t="shared" ref="C641:C647" ca="1" si="65">_xlfn.CONCAT(IFERROR(SUBSTITUTE(ADDRESS(1,MATCH(A641,INDIRECT("'"&amp;E641&amp;"'"&amp;"!A" &amp; $O$639 + 2 &amp; ":Z" &amp; $O$639 + 2),0),4),1,""),""),$O$639 + 3)</f>
        <v>H78</v>
      </c>
      <c r="D641" s="1089" t="s">
        <v>1448</v>
      </c>
      <c r="E641" s="1089" t="s">
        <v>1618</v>
      </c>
      <c r="I641" s="1026" t="str">
        <f t="shared" si="57"/>
        <v/>
      </c>
      <c r="J641" s="1376"/>
      <c r="K641" s="1376" t="str">
        <f t="shared" si="58"/>
        <v/>
      </c>
      <c r="L641" s="1089" t="s">
        <v>1479</v>
      </c>
      <c r="M641" s="1376">
        <v>624</v>
      </c>
      <c r="N641" s="1376"/>
      <c r="O641" s="1370">
        <f>'Configurable Tab'!I8</f>
        <v>90</v>
      </c>
      <c r="R641" s="694" t="s">
        <v>898</v>
      </c>
    </row>
    <row r="642" spans="1:18" s="1370" customFormat="1" x14ac:dyDescent="0.25">
      <c r="A642" s="1121" t="s">
        <v>1480</v>
      </c>
      <c r="B642" s="1089" t="str">
        <f t="shared" ca="1" si="64"/>
        <v>J77</v>
      </c>
      <c r="C642" s="1089" t="str">
        <f t="shared" ca="1" si="65"/>
        <v>J78</v>
      </c>
      <c r="D642" s="1089" t="s">
        <v>1448</v>
      </c>
      <c r="E642" s="1089" t="s">
        <v>1618</v>
      </c>
      <c r="I642" s="1026" t="str">
        <f t="shared" si="57"/>
        <v/>
      </c>
      <c r="J642" s="1376"/>
      <c r="K642" s="1376" t="str">
        <f t="shared" si="58"/>
        <v/>
      </c>
      <c r="L642" s="1089" t="s">
        <v>1480</v>
      </c>
      <c r="M642" s="1376">
        <v>625</v>
      </c>
      <c r="N642" s="1376"/>
      <c r="O642" s="1370" t="s">
        <v>1741</v>
      </c>
      <c r="R642" s="694" t="s">
        <v>898</v>
      </c>
    </row>
    <row r="643" spans="1:18" s="1370" customFormat="1" x14ac:dyDescent="0.25">
      <c r="A643" s="1121" t="s">
        <v>1496</v>
      </c>
      <c r="B643" s="1089" t="str">
        <f t="shared" ca="1" si="64"/>
        <v>L77</v>
      </c>
      <c r="C643" s="1089" t="str">
        <f t="shared" ca="1" si="65"/>
        <v>L78</v>
      </c>
      <c r="D643" s="1089" t="s">
        <v>1448</v>
      </c>
      <c r="E643" s="1089" t="s">
        <v>1618</v>
      </c>
      <c r="I643" s="1026" t="str">
        <f t="shared" si="57"/>
        <v/>
      </c>
      <c r="J643" s="1376"/>
      <c r="K643" s="1376" t="str">
        <f t="shared" si="58"/>
        <v/>
      </c>
      <c r="L643" s="1089" t="s">
        <v>1496</v>
      </c>
      <c r="M643" s="1376">
        <v>626</v>
      </c>
      <c r="N643" s="1376"/>
      <c r="R643" s="694" t="s">
        <v>898</v>
      </c>
    </row>
    <row r="644" spans="1:18" s="1370" customFormat="1" x14ac:dyDescent="0.25">
      <c r="A644" s="1121" t="s">
        <v>1481</v>
      </c>
      <c r="B644" s="1089" t="str">
        <f t="shared" ca="1" si="64"/>
        <v>N77</v>
      </c>
      <c r="C644" s="1089" t="str">
        <f t="shared" ca="1" si="65"/>
        <v>N78</v>
      </c>
      <c r="D644" s="1089" t="s">
        <v>1448</v>
      </c>
      <c r="E644" s="1089" t="s">
        <v>1618</v>
      </c>
      <c r="I644" s="1026" t="str">
        <f t="shared" ref="I644:I707" si="66">IF(J644&lt;&gt;"",A644,"")</f>
        <v/>
      </c>
      <c r="J644" s="1376"/>
      <c r="K644" s="1376" t="str">
        <f t="shared" ref="K644:K707" si="67">IF(J644&lt;&gt;"",E644,"")</f>
        <v/>
      </c>
      <c r="L644" s="1089" t="s">
        <v>1481</v>
      </c>
      <c r="M644" s="1376">
        <v>627</v>
      </c>
      <c r="N644" s="1376"/>
      <c r="R644" s="694" t="s">
        <v>898</v>
      </c>
    </row>
    <row r="645" spans="1:18" s="1370" customFormat="1" x14ac:dyDescent="0.25">
      <c r="A645" s="1121" t="s">
        <v>1588</v>
      </c>
      <c r="B645" s="1089" t="str">
        <f t="shared" ca="1" si="64"/>
        <v>P77</v>
      </c>
      <c r="C645" s="1089" t="str">
        <f t="shared" ca="1" si="65"/>
        <v>P78</v>
      </c>
      <c r="D645" s="1089" t="s">
        <v>1448</v>
      </c>
      <c r="E645" s="1089" t="s">
        <v>1618</v>
      </c>
      <c r="I645" s="1026" t="str">
        <f t="shared" si="66"/>
        <v>Qualifying Cycle</v>
      </c>
      <c r="J645" s="1376" t="str">
        <f t="shared" ref="J645:J701" si="68">IF(M645&lt;&gt;"",Q$1&amp;M645,"")</f>
        <v>628</v>
      </c>
      <c r="K645" s="1376" t="str">
        <f t="shared" si="67"/>
        <v>Incentives Worksheet</v>
      </c>
      <c r="L645" s="1089" t="s">
        <v>1588</v>
      </c>
      <c r="M645" s="1376">
        <v>628</v>
      </c>
      <c r="N645" s="1376"/>
      <c r="R645" s="694" t="s">
        <v>898</v>
      </c>
    </row>
    <row r="646" spans="1:18" s="1370" customFormat="1" x14ac:dyDescent="0.25">
      <c r="A646" s="1121" t="s">
        <v>1589</v>
      </c>
      <c r="B646" s="1089" t="str">
        <f t="shared" ca="1" si="64"/>
        <v>R77</v>
      </c>
      <c r="C646" s="1089" t="str">
        <f t="shared" ca="1" si="65"/>
        <v>R78</v>
      </c>
      <c r="D646" s="1089" t="s">
        <v>1448</v>
      </c>
      <c r="E646" s="1089" t="s">
        <v>1618</v>
      </c>
      <c r="I646" s="1026" t="str">
        <f t="shared" si="66"/>
        <v>Incentive Calendar</v>
      </c>
      <c r="J646" s="1376" t="str">
        <f t="shared" si="68"/>
        <v>629</v>
      </c>
      <c r="K646" s="1376" t="str">
        <f t="shared" si="67"/>
        <v>Incentives Worksheet</v>
      </c>
      <c r="L646" s="1089" t="s">
        <v>1589</v>
      </c>
      <c r="M646" s="1376">
        <v>629</v>
      </c>
      <c r="N646" s="1376"/>
      <c r="R646" s="694" t="s">
        <v>898</v>
      </c>
    </row>
    <row r="647" spans="1:18" s="1370" customFormat="1" x14ac:dyDescent="0.25">
      <c r="A647" s="1121" t="s">
        <v>1590</v>
      </c>
      <c r="B647" s="1089" t="str">
        <f t="shared" ca="1" si="64"/>
        <v>T77</v>
      </c>
      <c r="C647" s="1089" t="str">
        <f t="shared" ca="1" si="65"/>
        <v>T78</v>
      </c>
      <c r="D647" s="1089" t="s">
        <v>1448</v>
      </c>
      <c r="E647" s="1089" t="s">
        <v>1618</v>
      </c>
      <c r="I647" s="1026" t="str">
        <f t="shared" si="66"/>
        <v>Post to GL Payment Method Flag</v>
      </c>
      <c r="J647" s="1376" t="str">
        <f t="shared" si="68"/>
        <v>630</v>
      </c>
      <c r="K647" s="1376" t="str">
        <f t="shared" si="67"/>
        <v>Incentives Worksheet</v>
      </c>
      <c r="L647" s="1089" t="s">
        <v>1590</v>
      </c>
      <c r="M647" s="1376">
        <v>630</v>
      </c>
      <c r="N647" s="1376"/>
      <c r="R647" s="694" t="s">
        <v>898</v>
      </c>
    </row>
    <row r="648" spans="1:18" s="1370" customFormat="1" x14ac:dyDescent="0.25">
      <c r="A648" s="1121" t="s">
        <v>1484</v>
      </c>
      <c r="B648" s="1089" t="str">
        <f ca="1">IFERROR(_xlfn.CONCAT("C",MATCH(A648,INDIRECT("'"&amp;E648&amp;"'!C"&amp;$O$639&amp;":C"&amp;$O$641),0)+$O$639-1),"")</f>
        <v>C81</v>
      </c>
      <c r="C648" s="1089" t="str">
        <f ca="1">IFERROR(_xlfn.CONCAT("D",MATCH(A648,INDIRECT("'"&amp;E648&amp;"'!C"&amp;$O$639&amp;":C"&amp;$O$641),0)+$O$639-1),"")</f>
        <v>D81</v>
      </c>
      <c r="D648" s="1089" t="s">
        <v>1448</v>
      </c>
      <c r="E648" s="1089" t="s">
        <v>1618</v>
      </c>
      <c r="I648" s="1026" t="str">
        <f t="shared" si="66"/>
        <v/>
      </c>
      <c r="J648" s="1376"/>
      <c r="K648" s="1376" t="str">
        <f t="shared" si="67"/>
        <v/>
      </c>
      <c r="L648" s="1089" t="s">
        <v>1484</v>
      </c>
      <c r="M648" s="1376">
        <v>631</v>
      </c>
      <c r="N648" s="1376"/>
      <c r="R648" s="694" t="s">
        <v>898</v>
      </c>
    </row>
    <row r="649" spans="1:18" s="1370" customFormat="1" x14ac:dyDescent="0.25">
      <c r="A649" s="1121" t="s">
        <v>1485</v>
      </c>
      <c r="B649" s="1089" t="str">
        <f ca="1">IFERROR(_xlfn.CONCAT("C",MATCH(A649,INDIRECT("'"&amp;E649&amp;"'!C"&amp;$O$639&amp;":C"&amp;$O$641),0)+$O$639-1),"")</f>
        <v>C83</v>
      </c>
      <c r="C649" s="1089" t="str">
        <f ca="1">IFERROR(_xlfn.CONCAT("D",MATCH(A649,INDIRECT("'"&amp;E649&amp;"'!C"&amp;$O$639&amp;":C"&amp;$O$641),0)+$O$639-1),"")</f>
        <v>D83</v>
      </c>
      <c r="D649" s="1089" t="s">
        <v>1448</v>
      </c>
      <c r="E649" s="1089" t="s">
        <v>1618</v>
      </c>
      <c r="I649" s="1026" t="str">
        <f t="shared" si="66"/>
        <v/>
      </c>
      <c r="J649" s="1376"/>
      <c r="K649" s="1376" t="str">
        <f t="shared" si="67"/>
        <v/>
      </c>
      <c r="L649" s="1089" t="s">
        <v>1485</v>
      </c>
      <c r="M649" s="1376">
        <v>632</v>
      </c>
      <c r="N649" s="1376"/>
      <c r="R649" s="694" t="s">
        <v>898</v>
      </c>
    </row>
    <row r="650" spans="1:18" s="1370" customFormat="1" ht="30" x14ac:dyDescent="0.25">
      <c r="A650" s="1121" t="s">
        <v>1597</v>
      </c>
      <c r="B650" s="1089" t="str">
        <f ca="1">IFERROR(_xlfn.CONCAT("C",MATCH(A650,INDIRECT("'"&amp;E650&amp;"'!C"&amp;$O$639&amp;":C"&amp;$O$641),0)+$O$639-1),"")</f>
        <v>C87</v>
      </c>
      <c r="C650" s="1089" t="str">
        <f ca="1">IFERROR(_xlfn.CONCAT("D",MATCH(A650,INDIRECT("'"&amp;E650&amp;"'!C"&amp;$O$639&amp;":C"&amp;$O$641),0)+$O$639-1),"")</f>
        <v>D87</v>
      </c>
      <c r="D650" s="1089" t="s">
        <v>1448</v>
      </c>
      <c r="E650" s="1089" t="s">
        <v>1618</v>
      </c>
      <c r="I650" s="1026" t="str">
        <f t="shared" si="66"/>
        <v>Incentive Dates Match Agreement Dates Flag</v>
      </c>
      <c r="J650" s="1376" t="str">
        <f t="shared" si="68"/>
        <v>633</v>
      </c>
      <c r="K650" s="1376" t="str">
        <f t="shared" si="67"/>
        <v>Incentives Worksheet</v>
      </c>
      <c r="L650" s="1089" t="s">
        <v>1597</v>
      </c>
      <c r="M650" s="1376">
        <v>633</v>
      </c>
      <c r="N650" s="1376"/>
      <c r="R650" s="694" t="s">
        <v>898</v>
      </c>
    </row>
    <row r="651" spans="1:18" s="1370" customFormat="1" x14ac:dyDescent="0.25">
      <c r="A651" s="1121" t="s">
        <v>1594</v>
      </c>
      <c r="B651" s="1089" t="str">
        <f ca="1">_xlfn.CONCAT(IFERROR(SUBSTITUTE(ADDRESS(1,MATCH(A651,INDIRECT("'"&amp;E651&amp;"'"&amp;"!A" &amp; $O$639 + 12 &amp; ":Z" &amp; $O$639 + 12),0),4),1,""),""),$O$639 + 12)</f>
        <v>H87</v>
      </c>
      <c r="C651" s="1089" t="str">
        <f ca="1">_xlfn.CONCAT(IFERROR(SUBSTITUTE(ADDRESS(1,MATCH(A651,INDIRECT("'"&amp;E651&amp;"'"&amp;"!A" &amp; $O$639 + 12 &amp; ":Z" &amp; $O$639 + 12),0),4),1,""),""),$O$639 + 13)</f>
        <v>H88</v>
      </c>
      <c r="D651" s="1089" t="s">
        <v>1448</v>
      </c>
      <c r="E651" s="1089" t="s">
        <v>1618</v>
      </c>
      <c r="I651" s="1026" t="str">
        <f t="shared" si="66"/>
        <v>Include All Customers Flag</v>
      </c>
      <c r="J651" s="1376" t="str">
        <f t="shared" si="68"/>
        <v>634</v>
      </c>
      <c r="K651" s="1376" t="str">
        <f t="shared" si="67"/>
        <v>Incentives Worksheet</v>
      </c>
      <c r="L651" s="1089" t="s">
        <v>1594</v>
      </c>
      <c r="M651" s="1376">
        <v>634</v>
      </c>
      <c r="N651" s="1376"/>
      <c r="R651" s="694" t="s">
        <v>898</v>
      </c>
    </row>
    <row r="652" spans="1:18" s="1370" customFormat="1" x14ac:dyDescent="0.25">
      <c r="A652" s="1121" t="s">
        <v>1608</v>
      </c>
      <c r="B652" s="1089" t="str">
        <f ca="1">_xlfn.CONCAT(IFERROR(SUBSTITUTE(ADDRESS(1,MATCH(A652,INDIRECT("'"&amp;E652&amp;"'"&amp;"!A" &amp; $O$639 + 12 &amp; ":Z" &amp; $O$639 + 12),0),4),1,""),""),$O$639 + 12)</f>
        <v>J87</v>
      </c>
      <c r="C652" s="1089" t="str">
        <f ca="1">_xlfn.CONCAT(IFERROR(SUBSTITUTE(ADDRESS(1,MATCH(A652,INDIRECT("'"&amp;E652&amp;"'"&amp;"!A" &amp; $O$639 + 12 &amp; ":Z" &amp; $O$639 + 12),0),4),1,""),""),$O$639 + 13)</f>
        <v>J88</v>
      </c>
      <c r="D652" s="1089" t="s">
        <v>1448</v>
      </c>
      <c r="E652" s="1089" t="s">
        <v>1618</v>
      </c>
      <c r="I652" s="1026" t="str">
        <f t="shared" si="66"/>
        <v>Customer Aggregation</v>
      </c>
      <c r="J652" s="1376" t="str">
        <f t="shared" si="68"/>
        <v>635</v>
      </c>
      <c r="K652" s="1376" t="str">
        <f t="shared" si="67"/>
        <v>Incentives Worksheet</v>
      </c>
      <c r="L652" s="1089" t="s">
        <v>1608</v>
      </c>
      <c r="M652" s="1376">
        <v>635</v>
      </c>
      <c r="N652" s="1376"/>
      <c r="R652" s="694" t="s">
        <v>898</v>
      </c>
    </row>
    <row r="653" spans="1:18" s="1370" customFormat="1" x14ac:dyDescent="0.25">
      <c r="A653" s="1121" t="s">
        <v>1486</v>
      </c>
      <c r="B653" s="1089" t="str">
        <f ca="1">_xlfn.IFNA(_xlfn.CONCAT(SUBSTITUTE(ADDRESS(1,MATCH(A653,INDIRECT("'"&amp;E653&amp;"'"&amp;"!A" &amp; $O$639 + 5 &amp; ":Z" &amp; $O$639 + 5),0),4),1,""), $O$639 + 6),"")</f>
        <v>H81</v>
      </c>
      <c r="C653" s="1089" t="str">
        <f t="shared" ref="C653:C667" ca="1" si="69">_xlfn.IFNA(SUBSTITUTE(ADDRESS(1,MATCH(A653,INDIRECT("'"&amp;E653&amp;"'"&amp;"!A" &amp; $O$639 + 5 &amp; ":Z" &amp; $O$639 + 5),0),4),1,""),"")</f>
        <v>H</v>
      </c>
      <c r="D653" s="1089" t="s">
        <v>1455</v>
      </c>
      <c r="E653" s="1089" t="s">
        <v>1618</v>
      </c>
      <c r="I653" s="1026" t="str">
        <f t="shared" si="66"/>
        <v/>
      </c>
      <c r="J653" s="1376"/>
      <c r="K653" s="1376" t="str">
        <f t="shared" si="67"/>
        <v/>
      </c>
      <c r="L653" s="1089" t="s">
        <v>1486</v>
      </c>
      <c r="M653" s="1376">
        <v>636</v>
      </c>
      <c r="N653" s="1376"/>
      <c r="R653" s="694" t="s">
        <v>898</v>
      </c>
    </row>
    <row r="654" spans="1:18" s="1370" customFormat="1" x14ac:dyDescent="0.25">
      <c r="A654" s="1121" t="s">
        <v>1487</v>
      </c>
      <c r="B654" s="1089" t="str">
        <f ca="1">_xlfn.IFNA(_xlfn.CONCAT(SUBSTITUTE(ADDRESS(1,MATCH(A654,INDIRECT("'"&amp;E654&amp;"'"&amp;"!A" &amp; $O$639 + 5 &amp; ":Z" &amp; $O$639 + 5),0),4),1,""), $O$639 + 6),"")</f>
        <v>J81</v>
      </c>
      <c r="C654" s="1089" t="str">
        <f t="shared" ca="1" si="69"/>
        <v>J</v>
      </c>
      <c r="D654" s="1089" t="s">
        <v>1455</v>
      </c>
      <c r="E654" s="1089" t="s">
        <v>1618</v>
      </c>
      <c r="I654" s="1026" t="str">
        <f t="shared" si="66"/>
        <v/>
      </c>
      <c r="J654" s="1376"/>
      <c r="K654" s="1376" t="str">
        <f t="shared" si="67"/>
        <v/>
      </c>
      <c r="L654" s="1089" t="s">
        <v>1487</v>
      </c>
      <c r="M654" s="1376">
        <v>637</v>
      </c>
      <c r="N654" s="1376"/>
      <c r="R654" s="694" t="s">
        <v>898</v>
      </c>
    </row>
    <row r="655" spans="1:18" s="1370" customFormat="1" x14ac:dyDescent="0.25">
      <c r="A655" s="1121" t="s">
        <v>1488</v>
      </c>
      <c r="B655" s="1089" t="str">
        <f ca="1">_xlfn.IFNA(_xlfn.CONCAT(SUBSTITUTE(ADDRESS(1,MATCH(A655,INDIRECT("'"&amp;E655&amp;"'"&amp;"!A" &amp; $O$639 + 5 &amp; ":Z" &amp; $O$639 + 5),0),4),1,""),$O$639 + 6),"")</f>
        <v>L81</v>
      </c>
      <c r="C655" s="1089" t="str">
        <f t="shared" ca="1" si="69"/>
        <v>L</v>
      </c>
      <c r="D655" s="1089" t="s">
        <v>1455</v>
      </c>
      <c r="E655" s="1089" t="s">
        <v>1618</v>
      </c>
      <c r="I655" s="1026" t="str">
        <f t="shared" si="66"/>
        <v/>
      </c>
      <c r="J655" s="1376"/>
      <c r="K655" s="1376" t="str">
        <f t="shared" si="67"/>
        <v/>
      </c>
      <c r="L655" s="1089" t="s">
        <v>1488</v>
      </c>
      <c r="M655" s="1376">
        <v>638</v>
      </c>
      <c r="N655" s="1376"/>
      <c r="R655" s="694" t="s">
        <v>898</v>
      </c>
    </row>
    <row r="656" spans="1:18" s="1370" customFormat="1" x14ac:dyDescent="0.25">
      <c r="A656" s="1121" t="s">
        <v>1486</v>
      </c>
      <c r="B656" s="1089" t="str">
        <f ca="1">_xlfn.IFNA(_xlfn.CONCAT(SUBSTITUTE(ADDRESS(1,MATCH(A656,INDIRECT("'"&amp;E656&amp;"'"&amp;"!A" &amp; $O$639 + 5 &amp; ":Z" &amp; $O$639 + 5),0),4),1,""),$O$639 + 7),"")</f>
        <v>H82</v>
      </c>
      <c r="C656" s="1089" t="str">
        <f t="shared" ca="1" si="69"/>
        <v>H</v>
      </c>
      <c r="D656" s="1089" t="s">
        <v>1455</v>
      </c>
      <c r="E656" s="1089" t="s">
        <v>1618</v>
      </c>
      <c r="I656" s="1026" t="str">
        <f t="shared" si="66"/>
        <v/>
      </c>
      <c r="J656" s="1376"/>
      <c r="K656" s="1376" t="str">
        <f t="shared" si="67"/>
        <v/>
      </c>
      <c r="L656" s="1089" t="s">
        <v>1486</v>
      </c>
      <c r="M656" s="1376">
        <v>639</v>
      </c>
      <c r="N656" s="1376"/>
      <c r="R656" s="694" t="s">
        <v>898</v>
      </c>
    </row>
    <row r="657" spans="1:18" s="1370" customFormat="1" x14ac:dyDescent="0.25">
      <c r="A657" s="1121" t="s">
        <v>1487</v>
      </c>
      <c r="B657" s="1089" t="str">
        <f ca="1">_xlfn.IFNA(_xlfn.CONCAT(SUBSTITUTE(ADDRESS(1,MATCH(A657,INDIRECT("'"&amp;E657&amp;"'"&amp;"!A" &amp; $O$639 + 5 &amp; ":Z" &amp; $O$639 + 5),0),4),1,""),$O$639 + 7),"")</f>
        <v>J82</v>
      </c>
      <c r="C657" s="1089" t="str">
        <f t="shared" ca="1" si="69"/>
        <v>J</v>
      </c>
      <c r="D657" s="1089" t="s">
        <v>1455</v>
      </c>
      <c r="E657" s="1089" t="s">
        <v>1618</v>
      </c>
      <c r="I657" s="1026" t="str">
        <f t="shared" si="66"/>
        <v/>
      </c>
      <c r="J657" s="1376"/>
      <c r="K657" s="1376" t="str">
        <f t="shared" si="67"/>
        <v/>
      </c>
      <c r="L657" s="1089" t="s">
        <v>1487</v>
      </c>
      <c r="M657" s="1376">
        <v>640</v>
      </c>
      <c r="N657" s="1376"/>
      <c r="R657" s="694" t="s">
        <v>898</v>
      </c>
    </row>
    <row r="658" spans="1:18" s="1370" customFormat="1" x14ac:dyDescent="0.25">
      <c r="A658" s="1121" t="s">
        <v>1488</v>
      </c>
      <c r="B658" s="1089" t="str">
        <f ca="1">_xlfn.IFNA(_xlfn.CONCAT(SUBSTITUTE(ADDRESS(1,MATCH(A658,INDIRECT("'"&amp;E658&amp;"'"&amp;"!A" &amp; $O$639 + 5 &amp; ":Z" &amp; $O$639 + 5),0),4),1,""),$O$639 + 7),"")</f>
        <v>L82</v>
      </c>
      <c r="C658" s="1089" t="str">
        <f t="shared" ca="1" si="69"/>
        <v>L</v>
      </c>
      <c r="D658" s="1089" t="s">
        <v>1455</v>
      </c>
      <c r="E658" s="1089" t="s">
        <v>1618</v>
      </c>
      <c r="I658" s="1026" t="str">
        <f t="shared" si="66"/>
        <v/>
      </c>
      <c r="J658" s="1376"/>
      <c r="K658" s="1376" t="str">
        <f t="shared" si="67"/>
        <v/>
      </c>
      <c r="L658" s="1089" t="s">
        <v>1488</v>
      </c>
      <c r="M658" s="1376">
        <v>641</v>
      </c>
      <c r="N658" s="1376"/>
      <c r="R658" s="694" t="s">
        <v>898</v>
      </c>
    </row>
    <row r="659" spans="1:18" s="1370" customFormat="1" x14ac:dyDescent="0.25">
      <c r="A659" s="1121" t="s">
        <v>1486</v>
      </c>
      <c r="B659" s="1089" t="str">
        <f ca="1">_xlfn.IFNA(_xlfn.CONCAT(SUBSTITUTE(ADDRESS(1,MATCH(A659,INDIRECT("'"&amp;E659&amp;"'"&amp;"!A" &amp; $O$639 + 5 &amp; ":Z" &amp; $O$639 + 5),0),4),1,""),$O$639 + 8),"")</f>
        <v>H83</v>
      </c>
      <c r="C659" s="1089" t="str">
        <f t="shared" ca="1" si="69"/>
        <v>H</v>
      </c>
      <c r="D659" s="1089" t="s">
        <v>1455</v>
      </c>
      <c r="E659" s="1089" t="s">
        <v>1618</v>
      </c>
      <c r="I659" s="1026" t="str">
        <f t="shared" si="66"/>
        <v/>
      </c>
      <c r="J659" s="1376"/>
      <c r="K659" s="1376" t="str">
        <f t="shared" si="67"/>
        <v/>
      </c>
      <c r="L659" s="1089" t="s">
        <v>1486</v>
      </c>
      <c r="M659" s="1376">
        <v>642</v>
      </c>
      <c r="N659" s="1376"/>
      <c r="R659" s="694" t="s">
        <v>898</v>
      </c>
    </row>
    <row r="660" spans="1:18" s="1370" customFormat="1" x14ac:dyDescent="0.25">
      <c r="A660" s="1121" t="s">
        <v>1487</v>
      </c>
      <c r="B660" s="1089" t="str">
        <f ca="1">_xlfn.IFNA(_xlfn.CONCAT(SUBSTITUTE(ADDRESS(1,MATCH(A660,INDIRECT("'"&amp;E660&amp;"'"&amp;"!A" &amp; $O$639 + 5 &amp; ":Z" &amp; $O$639 + 5),0),4),1,""),$O$639 + 8),"")</f>
        <v>J83</v>
      </c>
      <c r="C660" s="1089" t="str">
        <f t="shared" ca="1" si="69"/>
        <v>J</v>
      </c>
      <c r="D660" s="1089" t="s">
        <v>1455</v>
      </c>
      <c r="E660" s="1089" t="s">
        <v>1618</v>
      </c>
      <c r="I660" s="1026" t="str">
        <f t="shared" si="66"/>
        <v/>
      </c>
      <c r="J660" s="1376"/>
      <c r="K660" s="1376" t="str">
        <f t="shared" si="67"/>
        <v/>
      </c>
      <c r="L660" s="1089" t="s">
        <v>1487</v>
      </c>
      <c r="M660" s="1376">
        <v>643</v>
      </c>
      <c r="N660" s="1376"/>
      <c r="R660" s="694" t="s">
        <v>898</v>
      </c>
    </row>
    <row r="661" spans="1:18" s="1370" customFormat="1" x14ac:dyDescent="0.25">
      <c r="A661" s="1121" t="s">
        <v>1488</v>
      </c>
      <c r="B661" s="1089" t="str">
        <f ca="1">_xlfn.IFNA(_xlfn.CONCAT(SUBSTITUTE(ADDRESS(1,MATCH(A661,INDIRECT("'"&amp;E661&amp;"'"&amp;"!A" &amp; $O$639 + 5 &amp; ":Z" &amp; $O$639 + 5),0),4),1,""),$O$639 + 8),"")</f>
        <v>L83</v>
      </c>
      <c r="C661" s="1089" t="str">
        <f t="shared" ca="1" si="69"/>
        <v>L</v>
      </c>
      <c r="D661" s="1089" t="s">
        <v>1455</v>
      </c>
      <c r="E661" s="1089" t="s">
        <v>1618</v>
      </c>
      <c r="I661" s="1026" t="str">
        <f t="shared" si="66"/>
        <v/>
      </c>
      <c r="J661" s="1376"/>
      <c r="K661" s="1376" t="str">
        <f t="shared" si="67"/>
        <v/>
      </c>
      <c r="L661" s="1089" t="s">
        <v>1488</v>
      </c>
      <c r="M661" s="1376">
        <v>644</v>
      </c>
      <c r="N661" s="1376"/>
      <c r="R661" s="694" t="s">
        <v>898</v>
      </c>
    </row>
    <row r="662" spans="1:18" s="1370" customFormat="1" x14ac:dyDescent="0.25">
      <c r="A662" s="1121" t="s">
        <v>1486</v>
      </c>
      <c r="B662" s="1089" t="str">
        <f ca="1">_xlfn.IFNA(_xlfn.CONCAT(SUBSTITUTE(ADDRESS(1,MATCH(A662,INDIRECT("'"&amp;E662&amp;"'"&amp;"!A" &amp; $O$639 + 5 &amp; ":Z" &amp; $O$639 + 5),0),4),1,""),$O$639 + 9),"")</f>
        <v>H84</v>
      </c>
      <c r="C662" s="1089" t="str">
        <f t="shared" ca="1" si="69"/>
        <v>H</v>
      </c>
      <c r="D662" s="1089" t="s">
        <v>1455</v>
      </c>
      <c r="E662" s="1089" t="s">
        <v>1618</v>
      </c>
      <c r="I662" s="1026" t="str">
        <f t="shared" si="66"/>
        <v/>
      </c>
      <c r="J662" s="1376"/>
      <c r="K662" s="1376" t="str">
        <f t="shared" si="67"/>
        <v/>
      </c>
      <c r="L662" s="1089" t="s">
        <v>1486</v>
      </c>
      <c r="M662" s="1376">
        <v>645</v>
      </c>
      <c r="N662" s="1376"/>
      <c r="R662" s="694" t="s">
        <v>898</v>
      </c>
    </row>
    <row r="663" spans="1:18" s="1370" customFormat="1" x14ac:dyDescent="0.25">
      <c r="A663" s="1121" t="s">
        <v>1487</v>
      </c>
      <c r="B663" s="1089" t="str">
        <f ca="1">_xlfn.IFNA(_xlfn.CONCAT(SUBSTITUTE(ADDRESS(1,MATCH(A663,INDIRECT("'"&amp;E663&amp;"'"&amp;"!A" &amp; $O$639 + 5 &amp; ":Z" &amp; $O$639 + 5),0),4),1,""),$O$639 + 9),"")</f>
        <v>J84</v>
      </c>
      <c r="C663" s="1089" t="str">
        <f t="shared" ca="1" si="69"/>
        <v>J</v>
      </c>
      <c r="D663" s="1089" t="s">
        <v>1455</v>
      </c>
      <c r="E663" s="1089" t="s">
        <v>1618</v>
      </c>
      <c r="I663" s="1026" t="str">
        <f t="shared" si="66"/>
        <v/>
      </c>
      <c r="J663" s="1376"/>
      <c r="K663" s="1376" t="str">
        <f t="shared" si="67"/>
        <v/>
      </c>
      <c r="L663" s="1089" t="s">
        <v>1487</v>
      </c>
      <c r="M663" s="1376">
        <v>646</v>
      </c>
      <c r="N663" s="1376"/>
      <c r="R663" s="694" t="s">
        <v>898</v>
      </c>
    </row>
    <row r="664" spans="1:18" s="1370" customFormat="1" x14ac:dyDescent="0.25">
      <c r="A664" s="1121" t="s">
        <v>1488</v>
      </c>
      <c r="B664" s="1089" t="str">
        <f ca="1">_xlfn.IFNA(_xlfn.CONCAT(SUBSTITUTE(ADDRESS(1,MATCH(A664,INDIRECT("'"&amp;E664&amp;"'"&amp;"!A" &amp; $O$639 + 5 &amp; ":Z" &amp; $O$639 + 5),0),4),1,""),$O$639 + 9),"")</f>
        <v>L84</v>
      </c>
      <c r="C664" s="1089" t="str">
        <f t="shared" ca="1" si="69"/>
        <v>L</v>
      </c>
      <c r="D664" s="1089" t="s">
        <v>1455</v>
      </c>
      <c r="E664" s="1089" t="s">
        <v>1618</v>
      </c>
      <c r="I664" s="1026" t="str">
        <f t="shared" si="66"/>
        <v/>
      </c>
      <c r="J664" s="1376"/>
      <c r="K664" s="1376" t="str">
        <f t="shared" si="67"/>
        <v/>
      </c>
      <c r="L664" s="1089" t="s">
        <v>1488</v>
      </c>
      <c r="M664" s="1376">
        <v>647</v>
      </c>
      <c r="N664" s="1376"/>
      <c r="R664" s="694" t="s">
        <v>898</v>
      </c>
    </row>
    <row r="665" spans="1:18" s="1370" customFormat="1" x14ac:dyDescent="0.25">
      <c r="A665" s="1121" t="s">
        <v>1486</v>
      </c>
      <c r="B665" s="1089" t="str">
        <f ca="1">_xlfn.IFNA(_xlfn.CONCAT(SUBSTITUTE(ADDRESS(1,MATCH(A665,INDIRECT("'"&amp;E665&amp;"'"&amp;"!A" &amp; $O$639 + 5 &amp; ":Z" &amp; $O$639 + 5),0),4),1,""),$O$639 + 10),"")</f>
        <v>H85</v>
      </c>
      <c r="C665" s="1089" t="str">
        <f t="shared" ca="1" si="69"/>
        <v>H</v>
      </c>
      <c r="D665" s="1089" t="s">
        <v>1455</v>
      </c>
      <c r="E665" s="1089" t="s">
        <v>1618</v>
      </c>
      <c r="I665" s="1026" t="str">
        <f t="shared" si="66"/>
        <v/>
      </c>
      <c r="J665" s="1376"/>
      <c r="K665" s="1376" t="str">
        <f t="shared" si="67"/>
        <v/>
      </c>
      <c r="L665" s="1089" t="s">
        <v>1486</v>
      </c>
      <c r="M665" s="1376">
        <v>648</v>
      </c>
      <c r="N665" s="1376"/>
      <c r="R665" s="694" t="s">
        <v>898</v>
      </c>
    </row>
    <row r="666" spans="1:18" s="1370" customFormat="1" x14ac:dyDescent="0.25">
      <c r="A666" s="1121" t="s">
        <v>1487</v>
      </c>
      <c r="B666" s="1089" t="str">
        <f ca="1">_xlfn.IFNA(_xlfn.CONCAT(SUBSTITUTE(ADDRESS(1,MATCH(A666,INDIRECT("'"&amp;E666&amp;"'"&amp;"!A" &amp; $O$639 + 5 &amp; ":Z" &amp; $O$639 + 5),0),4),1,""),$O$639 + 10),"")</f>
        <v>J85</v>
      </c>
      <c r="C666" s="1089" t="str">
        <f t="shared" ca="1" si="69"/>
        <v>J</v>
      </c>
      <c r="D666" s="1089" t="s">
        <v>1455</v>
      </c>
      <c r="E666" s="1089" t="s">
        <v>1618</v>
      </c>
      <c r="I666" s="1026" t="str">
        <f t="shared" si="66"/>
        <v/>
      </c>
      <c r="J666" s="1376"/>
      <c r="K666" s="1376" t="str">
        <f t="shared" si="67"/>
        <v/>
      </c>
      <c r="L666" s="1089" t="s">
        <v>1487</v>
      </c>
      <c r="M666" s="1376">
        <v>649</v>
      </c>
      <c r="N666" s="1376"/>
      <c r="R666" s="694" t="s">
        <v>898</v>
      </c>
    </row>
    <row r="667" spans="1:18" s="1370" customFormat="1" x14ac:dyDescent="0.25">
      <c r="A667" s="1121" t="s">
        <v>1488</v>
      </c>
      <c r="B667" s="1089" t="str">
        <f ca="1">_xlfn.IFNA(_xlfn.CONCAT(SUBSTITUTE(ADDRESS(1,MATCH(A667,INDIRECT("'"&amp;E667&amp;"'"&amp;"!A" &amp; $O$639 + 5 &amp; ":Z" &amp; $O$639 + 5),0),4),1,""),$O$639 + 10),"")</f>
        <v>L85</v>
      </c>
      <c r="C667" s="1089" t="str">
        <f t="shared" ca="1" si="69"/>
        <v>L</v>
      </c>
      <c r="D667" s="1089" t="s">
        <v>1455</v>
      </c>
      <c r="E667" s="1089" t="s">
        <v>1618</v>
      </c>
      <c r="I667" s="1026" t="str">
        <f t="shared" si="66"/>
        <v/>
      </c>
      <c r="J667" s="1376"/>
      <c r="K667" s="1376" t="str">
        <f t="shared" si="67"/>
        <v/>
      </c>
      <c r="L667" s="1089" t="s">
        <v>1488</v>
      </c>
      <c r="M667" s="1376">
        <v>650</v>
      </c>
      <c r="N667" s="1376"/>
      <c r="R667" s="694" t="s">
        <v>898</v>
      </c>
    </row>
    <row r="668" spans="1:18" s="1370" customFormat="1" x14ac:dyDescent="0.25">
      <c r="A668" s="1121" t="s">
        <v>1610</v>
      </c>
      <c r="B668" s="1089" t="str">
        <f ca="1">_xlfn.CONCAT(IFERROR(SUBSTITUTE(ADDRESS(1,MATCH(A668,INDIRECT("'"&amp;E668&amp;"'"&amp;"!A" &amp; $O$639 + 12 &amp; ":Z" &amp; $O$639 + 12),0),4),1,""),""),$O$639 + 12)</f>
        <v>P87</v>
      </c>
      <c r="C668" s="1089" t="str">
        <f ca="1">_xlfn.CONCAT(IFERROR(SUBSTITUTE(ADDRESS(1,MATCH(A668,INDIRECT("'"&amp;E668&amp;"'"&amp;"!A" &amp; $O$639 + 12 &amp; ":Z" &amp; $O$639 + 12),0),4),1,""),""),$O$639 + 13)</f>
        <v>P88</v>
      </c>
      <c r="D668" s="1089" t="s">
        <v>1448</v>
      </c>
      <c r="E668" s="1089" t="s">
        <v>1618</v>
      </c>
      <c r="I668" s="1026" t="str">
        <f t="shared" si="66"/>
        <v>Weekly Threshold Flag</v>
      </c>
      <c r="J668" s="1376" t="str">
        <f t="shared" si="68"/>
        <v>651</v>
      </c>
      <c r="K668" s="1376" t="str">
        <f t="shared" si="67"/>
        <v>Incentives Worksheet</v>
      </c>
      <c r="L668" s="1089" t="s">
        <v>1610</v>
      </c>
      <c r="M668" s="1376">
        <v>651</v>
      </c>
      <c r="N668" s="1376"/>
      <c r="R668" s="694" t="s">
        <v>898</v>
      </c>
    </row>
    <row r="669" spans="1:18" s="1370" customFormat="1" x14ac:dyDescent="0.25">
      <c r="A669" s="1118" t="s">
        <v>1593</v>
      </c>
      <c r="B669" s="1089" t="str">
        <f ca="1">IFERROR(_xlfn.CONCAT("C",MATCH(A669,INDIRECT("'"&amp;E669&amp;"'!C"&amp;$O$670&amp;":C"&amp;$O$672),0)+$O$670-1),"")</f>
        <v>C95</v>
      </c>
      <c r="C669" s="1089" t="str">
        <f ca="1">IFERROR(_xlfn.CONCAT("D",MATCH(A669,INDIRECT("'"&amp;E669&amp;"'!C"&amp;$O$670&amp;":C"&amp;$O$672),0)+$O$670-1),"")</f>
        <v>D95</v>
      </c>
      <c r="D669" s="1089" t="s">
        <v>1448</v>
      </c>
      <c r="E669" s="1089" t="s">
        <v>1618</v>
      </c>
      <c r="I669" s="1026" t="str">
        <f t="shared" si="66"/>
        <v/>
      </c>
      <c r="J669" s="1376"/>
      <c r="K669" s="1376" t="str">
        <f t="shared" si="67"/>
        <v/>
      </c>
      <c r="L669" s="1089" t="s">
        <v>1593</v>
      </c>
      <c r="M669" s="1376">
        <v>652</v>
      </c>
      <c r="N669" s="1376"/>
      <c r="O669" s="1370" t="s">
        <v>742</v>
      </c>
      <c r="R669" s="1376" t="s">
        <v>1627</v>
      </c>
    </row>
    <row r="670" spans="1:18" s="1370" customFormat="1" x14ac:dyDescent="0.25">
      <c r="A670" s="1118" t="s">
        <v>1809</v>
      </c>
      <c r="B670" s="1089" t="str">
        <f ca="1">_xlfn.CONCAT(IFERROR(SUBSTITUTE(ADDRESS(1,MATCH(A670,INDIRECT("'"&amp;E670&amp;"'"&amp;"!A" &amp; $O$670 + 11 &amp; ":Z" &amp; $O$670 + 11),0),4),1,""),""),$O$670 + 11)</f>
        <v>T102</v>
      </c>
      <c r="C670" s="1089" t="str">
        <f ca="1">_xlfn.CONCAT(IFERROR(SUBSTITUTE(ADDRESS(1,MATCH(A670,INDIRECT("'"&amp;E670&amp;"'"&amp;"!A" &amp; $O$670 + 11 &amp; ":Z" &amp; $O$670 + 11),0),4),1,""),""),$O$670 + 12)</f>
        <v>T103</v>
      </c>
      <c r="D670" s="1089" t="s">
        <v>1448</v>
      </c>
      <c r="E670" s="1089" t="s">
        <v>1618</v>
      </c>
      <c r="I670" s="1026" t="str">
        <f t="shared" si="66"/>
        <v/>
      </c>
      <c r="J670" s="1376"/>
      <c r="K670" s="1376" t="str">
        <f t="shared" si="67"/>
        <v/>
      </c>
      <c r="L670" s="1089" t="s">
        <v>1809</v>
      </c>
      <c r="M670" s="1376">
        <v>653</v>
      </c>
      <c r="N670" s="1376"/>
      <c r="O670" s="1370">
        <f>'Configurable Tab'!H9</f>
        <v>91</v>
      </c>
      <c r="Q670" s="1370" t="s">
        <v>653</v>
      </c>
      <c r="R670" s="1376" t="s">
        <v>1627</v>
      </c>
    </row>
    <row r="671" spans="1:18" s="1370" customFormat="1" x14ac:dyDescent="0.25">
      <c r="A671" s="1118" t="s">
        <v>1482</v>
      </c>
      <c r="B671" s="1089" t="str">
        <f ca="1">IFERROR(_xlfn.CONCAT("C",MATCH(A671,INDIRECT("'"&amp;E671&amp;"'!C"&amp;$O$670&amp;":C"&amp;$O$672),0)+$O$670-1),"")</f>
        <v>C93</v>
      </c>
      <c r="C671" s="1089" t="str">
        <f ca="1">IFERROR(_xlfn.CONCAT("D",MATCH(A671,INDIRECT("'"&amp;E671&amp;"'!C"&amp;$O$670&amp;":C"&amp;$O$672),0)+$O$670-1),"")</f>
        <v>D93</v>
      </c>
      <c r="D671" s="1089" t="s">
        <v>1448</v>
      </c>
      <c r="E671" s="1089" t="s">
        <v>1618</v>
      </c>
      <c r="I671" s="1026" t="str">
        <f t="shared" si="66"/>
        <v/>
      </c>
      <c r="J671" s="1376"/>
      <c r="K671" s="1376" t="str">
        <f t="shared" si="67"/>
        <v/>
      </c>
      <c r="L671" s="1089" t="s">
        <v>1482</v>
      </c>
      <c r="M671" s="1376">
        <v>654</v>
      </c>
      <c r="N671" s="1376"/>
      <c r="O671" s="1370" t="s">
        <v>743</v>
      </c>
      <c r="R671" s="1376" t="s">
        <v>1627</v>
      </c>
    </row>
    <row r="672" spans="1:18" s="1370" customFormat="1" x14ac:dyDescent="0.25">
      <c r="A672" s="1118" t="s">
        <v>1479</v>
      </c>
      <c r="B672" s="1089" t="str">
        <f t="shared" ref="B672:B678" ca="1" si="70">_xlfn.CONCAT(IFERROR(SUBSTITUTE(ADDRESS(1,MATCH(A672,INDIRECT("'"&amp;E672&amp;"'"&amp;"!A" &amp; $O$670 + 2 &amp; ":Z" &amp; $O$670 + 2),0),4),1,""),""),$O$670 + 2)</f>
        <v>H93</v>
      </c>
      <c r="C672" s="1089" t="str">
        <f t="shared" ref="C672:C678" ca="1" si="71">_xlfn.CONCAT(IFERROR(SUBSTITUTE(ADDRESS(1,MATCH(A672,INDIRECT("'"&amp;E672&amp;"'"&amp;"!A" &amp; $O$670 + 2 &amp; ":Z" &amp; $O$670 + 2),0),4),1,""),""),$O$670 + 3)</f>
        <v>H94</v>
      </c>
      <c r="D672" s="1089" t="s">
        <v>1448</v>
      </c>
      <c r="E672" s="1089" t="s">
        <v>1618</v>
      </c>
      <c r="I672" s="1026" t="str">
        <f t="shared" si="66"/>
        <v/>
      </c>
      <c r="J672" s="1376"/>
      <c r="K672" s="1376" t="str">
        <f t="shared" si="67"/>
        <v/>
      </c>
      <c r="L672" s="1089" t="s">
        <v>1479</v>
      </c>
      <c r="M672" s="1376">
        <v>655</v>
      </c>
      <c r="N672" s="1376"/>
      <c r="O672" s="1370">
        <f>'Configurable Tab'!I9</f>
        <v>104</v>
      </c>
      <c r="R672" s="1376" t="s">
        <v>1627</v>
      </c>
    </row>
    <row r="673" spans="1:18" s="1370" customFormat="1" x14ac:dyDescent="0.25">
      <c r="A673" s="1118" t="s">
        <v>1480</v>
      </c>
      <c r="B673" s="1089" t="str">
        <f t="shared" ca="1" si="70"/>
        <v>J93</v>
      </c>
      <c r="C673" s="1089" t="str">
        <f t="shared" ca="1" si="71"/>
        <v>J94</v>
      </c>
      <c r="D673" s="1089" t="s">
        <v>1448</v>
      </c>
      <c r="E673" s="1089" t="s">
        <v>1618</v>
      </c>
      <c r="I673" s="1026" t="str">
        <f t="shared" si="66"/>
        <v/>
      </c>
      <c r="J673" s="1376"/>
      <c r="K673" s="1376" t="str">
        <f t="shared" si="67"/>
        <v/>
      </c>
      <c r="L673" s="1089" t="s">
        <v>1480</v>
      </c>
      <c r="M673" s="1376">
        <v>656</v>
      </c>
      <c r="N673" s="1376"/>
      <c r="O673" s="1370" t="s">
        <v>1742</v>
      </c>
      <c r="R673" s="1376" t="s">
        <v>1627</v>
      </c>
    </row>
    <row r="674" spans="1:18" s="1370" customFormat="1" x14ac:dyDescent="0.25">
      <c r="A674" s="1118" t="s">
        <v>1496</v>
      </c>
      <c r="B674" s="1089" t="str">
        <f t="shared" ca="1" si="70"/>
        <v>L93</v>
      </c>
      <c r="C674" s="1089" t="str">
        <f t="shared" ca="1" si="71"/>
        <v>L94</v>
      </c>
      <c r="D674" s="1089" t="s">
        <v>1448</v>
      </c>
      <c r="E674" s="1089" t="s">
        <v>1618</v>
      </c>
      <c r="I674" s="1026" t="str">
        <f t="shared" si="66"/>
        <v/>
      </c>
      <c r="J674" s="1376"/>
      <c r="K674" s="1376" t="str">
        <f t="shared" si="67"/>
        <v/>
      </c>
      <c r="L674" s="1089" t="s">
        <v>1496</v>
      </c>
      <c r="M674" s="1376">
        <v>657</v>
      </c>
      <c r="N674" s="1376"/>
      <c r="R674" s="1376" t="s">
        <v>1627</v>
      </c>
    </row>
    <row r="675" spans="1:18" s="1370" customFormat="1" x14ac:dyDescent="0.25">
      <c r="A675" s="1118" t="s">
        <v>1481</v>
      </c>
      <c r="B675" s="1089" t="str">
        <f t="shared" ca="1" si="70"/>
        <v>N93</v>
      </c>
      <c r="C675" s="1089" t="str">
        <f t="shared" ca="1" si="71"/>
        <v>N94</v>
      </c>
      <c r="D675" s="1089" t="s">
        <v>1448</v>
      </c>
      <c r="E675" s="1089" t="s">
        <v>1618</v>
      </c>
      <c r="I675" s="1026" t="str">
        <f t="shared" si="66"/>
        <v/>
      </c>
      <c r="J675" s="1376"/>
      <c r="K675" s="1376" t="str">
        <f t="shared" si="67"/>
        <v/>
      </c>
      <c r="L675" s="1089" t="s">
        <v>1481</v>
      </c>
      <c r="M675" s="1376">
        <v>658</v>
      </c>
      <c r="N675" s="1376"/>
      <c r="R675" s="1376" t="s">
        <v>1627</v>
      </c>
    </row>
    <row r="676" spans="1:18" s="1370" customFormat="1" x14ac:dyDescent="0.25">
      <c r="A676" s="1118" t="s">
        <v>1588</v>
      </c>
      <c r="B676" s="1089" t="str">
        <f t="shared" ca="1" si="70"/>
        <v>P93</v>
      </c>
      <c r="C676" s="1089" t="str">
        <f t="shared" ca="1" si="71"/>
        <v>P94</v>
      </c>
      <c r="D676" s="1089" t="s">
        <v>1448</v>
      </c>
      <c r="E676" s="1089" t="s">
        <v>1618</v>
      </c>
      <c r="I676" s="1026" t="str">
        <f t="shared" si="66"/>
        <v>Qualifying Cycle</v>
      </c>
      <c r="J676" s="1376" t="str">
        <f t="shared" si="68"/>
        <v>659</v>
      </c>
      <c r="K676" s="1376" t="str">
        <f t="shared" si="67"/>
        <v>Incentives Worksheet</v>
      </c>
      <c r="L676" s="1089" t="s">
        <v>1588</v>
      </c>
      <c r="M676" s="1376">
        <v>659</v>
      </c>
      <c r="N676" s="1376"/>
      <c r="R676" s="1376" t="s">
        <v>1627</v>
      </c>
    </row>
    <row r="677" spans="1:18" s="1370" customFormat="1" x14ac:dyDescent="0.25">
      <c r="A677" s="1118" t="s">
        <v>1589</v>
      </c>
      <c r="B677" s="1089" t="str">
        <f t="shared" ca="1" si="70"/>
        <v>R93</v>
      </c>
      <c r="C677" s="1089" t="str">
        <f t="shared" ca="1" si="71"/>
        <v>R94</v>
      </c>
      <c r="D677" s="1089" t="s">
        <v>1448</v>
      </c>
      <c r="E677" s="1089" t="s">
        <v>1618</v>
      </c>
      <c r="I677" s="1026" t="str">
        <f t="shared" si="66"/>
        <v>Incentive Calendar</v>
      </c>
      <c r="J677" s="1376" t="str">
        <f t="shared" si="68"/>
        <v>660</v>
      </c>
      <c r="K677" s="1376" t="str">
        <f t="shared" si="67"/>
        <v>Incentives Worksheet</v>
      </c>
      <c r="L677" s="1089" t="s">
        <v>1589</v>
      </c>
      <c r="M677" s="1376">
        <v>660</v>
      </c>
      <c r="N677" s="1376"/>
      <c r="R677" s="1376" t="s">
        <v>1627</v>
      </c>
    </row>
    <row r="678" spans="1:18" s="1370" customFormat="1" x14ac:dyDescent="0.25">
      <c r="A678" s="1118" t="s">
        <v>1590</v>
      </c>
      <c r="B678" s="1089" t="str">
        <f t="shared" ca="1" si="70"/>
        <v>T93</v>
      </c>
      <c r="C678" s="1089" t="str">
        <f t="shared" ca="1" si="71"/>
        <v>T94</v>
      </c>
      <c r="D678" s="1089" t="s">
        <v>1448</v>
      </c>
      <c r="E678" s="1089" t="s">
        <v>1618</v>
      </c>
      <c r="I678" s="1026" t="str">
        <f t="shared" si="66"/>
        <v>Post to GL Payment Method Flag</v>
      </c>
      <c r="J678" s="1376" t="str">
        <f t="shared" si="68"/>
        <v>661</v>
      </c>
      <c r="K678" s="1376" t="str">
        <f t="shared" si="67"/>
        <v>Incentives Worksheet</v>
      </c>
      <c r="L678" s="1089" t="s">
        <v>1590</v>
      </c>
      <c r="M678" s="1376">
        <v>661</v>
      </c>
      <c r="N678" s="1376"/>
      <c r="R678" s="1376" t="s">
        <v>1627</v>
      </c>
    </row>
    <row r="679" spans="1:18" s="1370" customFormat="1" x14ac:dyDescent="0.25">
      <c r="A679" s="1118" t="s">
        <v>1484</v>
      </c>
      <c r="B679" s="1089" t="str">
        <f ca="1">IFERROR(_xlfn.CONCAT("C",MATCH(A679,INDIRECT("'"&amp;E679&amp;"'!C"&amp;$O$670&amp;":C"&amp;$O$672),0)+$O$670-1),"")</f>
        <v>C97</v>
      </c>
      <c r="C679" s="1089" t="str">
        <f ca="1">IFERROR(_xlfn.CONCAT("D",MATCH(A679,INDIRECT("'"&amp;E679&amp;"'!C"&amp;$O$670&amp;":C"&amp;$O$672),0)+$O$670-1),"")</f>
        <v>D97</v>
      </c>
      <c r="D679" s="1089" t="s">
        <v>1448</v>
      </c>
      <c r="E679" s="1089" t="s">
        <v>1618</v>
      </c>
      <c r="I679" s="1026" t="str">
        <f t="shared" si="66"/>
        <v/>
      </c>
      <c r="J679" s="1376"/>
      <c r="K679" s="1376" t="str">
        <f t="shared" si="67"/>
        <v/>
      </c>
      <c r="L679" s="1089" t="s">
        <v>1484</v>
      </c>
      <c r="M679" s="1376">
        <v>662</v>
      </c>
      <c r="N679" s="1376"/>
      <c r="R679" s="1376" t="s">
        <v>1627</v>
      </c>
    </row>
    <row r="680" spans="1:18" s="1370" customFormat="1" x14ac:dyDescent="0.25">
      <c r="A680" s="1118" t="s">
        <v>1485</v>
      </c>
      <c r="B680" s="1089" t="str">
        <f ca="1">IFERROR(_xlfn.CONCAT("C",MATCH(A680,INDIRECT("'"&amp;E680&amp;"'!C"&amp;$O$670&amp;":C"&amp;$O$672),0)+$O$670-1),"")</f>
        <v>C99</v>
      </c>
      <c r="C680" s="1089" t="str">
        <f ca="1">IFERROR(_xlfn.CONCAT("D",MATCH(A680,INDIRECT("'"&amp;E680&amp;"'!C"&amp;$O$670&amp;":C"&amp;$O$672),0)+$O$670-1),"")</f>
        <v>D99</v>
      </c>
      <c r="D680" s="1089" t="s">
        <v>1448</v>
      </c>
      <c r="E680" s="1089" t="s">
        <v>1618</v>
      </c>
      <c r="I680" s="1026" t="str">
        <f t="shared" si="66"/>
        <v/>
      </c>
      <c r="J680" s="1376"/>
      <c r="K680" s="1376" t="str">
        <f t="shared" si="67"/>
        <v/>
      </c>
      <c r="L680" s="1089" t="s">
        <v>1485</v>
      </c>
      <c r="M680" s="1376">
        <v>663</v>
      </c>
      <c r="N680" s="1376"/>
      <c r="R680" s="1376" t="s">
        <v>1627</v>
      </c>
    </row>
    <row r="681" spans="1:18" s="1370" customFormat="1" ht="30" x14ac:dyDescent="0.25">
      <c r="A681" s="1118" t="s">
        <v>1597</v>
      </c>
      <c r="B681" s="1089" t="str">
        <f ca="1">IFERROR(_xlfn.CONCAT("C",MATCH(A681,INDIRECT("'"&amp;E681&amp;"'!C"&amp;$O$670&amp;":C"&amp;$O$672),0)+$O$670-1),"")</f>
        <v>C101</v>
      </c>
      <c r="C681" s="1089" t="str">
        <f ca="1">IFERROR(_xlfn.CONCAT("D",MATCH(A681,INDIRECT("'"&amp;E681&amp;"'!C"&amp;$O$670&amp;":C"&amp;$O$672),0)+$O$670-1),"")</f>
        <v>D101</v>
      </c>
      <c r="D681" s="1089" t="s">
        <v>1448</v>
      </c>
      <c r="E681" s="1089" t="s">
        <v>1618</v>
      </c>
      <c r="I681" s="1026" t="str">
        <f t="shared" si="66"/>
        <v>Incentive Dates Match Agreement Dates Flag</v>
      </c>
      <c r="J681" s="1376" t="str">
        <f t="shared" si="68"/>
        <v>664</v>
      </c>
      <c r="K681" s="1376" t="str">
        <f t="shared" si="67"/>
        <v>Incentives Worksheet</v>
      </c>
      <c r="L681" s="1089" t="s">
        <v>1597</v>
      </c>
      <c r="M681" s="1376">
        <v>664</v>
      </c>
      <c r="N681" s="1376"/>
      <c r="R681" s="1376" t="s">
        <v>1627</v>
      </c>
    </row>
    <row r="682" spans="1:18" s="1370" customFormat="1" x14ac:dyDescent="0.25">
      <c r="A682" s="1118" t="s">
        <v>1594</v>
      </c>
      <c r="B682" s="1089" t="str">
        <f ca="1">_xlfn.CONCAT(IFERROR(SUBSTITUTE(ADDRESS(1,MATCH(A682,INDIRECT("'"&amp;E682&amp;"'"&amp;"!A" &amp; $O$670 + 8 &amp; ":Z" &amp; $O$670 + 8),0),4),1,""),""),$O$670 + 8)</f>
        <v>H99</v>
      </c>
      <c r="C682" s="1089" t="str">
        <f ca="1">_xlfn.CONCAT(IFERROR(SUBSTITUTE(ADDRESS(1,MATCH(A682,INDIRECT("'"&amp;E682&amp;"'"&amp;"!A" &amp; $O$670 + 8 &amp; ":Z" &amp; $O$670 + 8),0),4),1,""),""),$O$670 + 9)</f>
        <v>H100</v>
      </c>
      <c r="D682" s="1089" t="s">
        <v>1448</v>
      </c>
      <c r="E682" s="1089" t="s">
        <v>1618</v>
      </c>
      <c r="I682" s="1026" t="str">
        <f t="shared" si="66"/>
        <v>Include All Customers Flag</v>
      </c>
      <c r="J682" s="1376" t="str">
        <f t="shared" si="68"/>
        <v>665</v>
      </c>
      <c r="K682" s="1376" t="str">
        <f t="shared" si="67"/>
        <v>Incentives Worksheet</v>
      </c>
      <c r="L682" s="1089" t="s">
        <v>1594</v>
      </c>
      <c r="M682" s="1376">
        <v>665</v>
      </c>
      <c r="N682" s="1376"/>
      <c r="R682" s="1376" t="s">
        <v>1627</v>
      </c>
    </row>
    <row r="683" spans="1:18" s="1370" customFormat="1" x14ac:dyDescent="0.25">
      <c r="A683" s="1118" t="s">
        <v>1608</v>
      </c>
      <c r="B683" s="1089" t="str">
        <f ca="1">_xlfn.CONCAT(IFERROR(SUBSTITUTE(ADDRESS(1,MATCH(A683,INDIRECT("'"&amp;E683&amp;"'"&amp;"!A" &amp; $O$670 + 8 &amp; ":Z" &amp; $O$670 + 8),0),4),1,""),""),$O$670 + 8)</f>
        <v>J99</v>
      </c>
      <c r="C683" s="1089" t="str">
        <f ca="1">_xlfn.CONCAT(IFERROR(SUBSTITUTE(ADDRESS(1,MATCH(A683,INDIRECT("'"&amp;E683&amp;"'"&amp;"!A" &amp; $O$670 + 8 &amp; ":Z" &amp; $O$670 + 8),0),4),1,""),""),$O$670 + 9)</f>
        <v>J100</v>
      </c>
      <c r="D683" s="1089" t="s">
        <v>1448</v>
      </c>
      <c r="E683" s="1089" t="s">
        <v>1618</v>
      </c>
      <c r="I683" s="1026" t="str">
        <f t="shared" si="66"/>
        <v>Customer Aggregation</v>
      </c>
      <c r="J683" s="1376" t="str">
        <f t="shared" si="68"/>
        <v>666</v>
      </c>
      <c r="K683" s="1376" t="str">
        <f t="shared" si="67"/>
        <v>Incentives Worksheet</v>
      </c>
      <c r="L683" s="1089" t="s">
        <v>1608</v>
      </c>
      <c r="M683" s="1376">
        <v>666</v>
      </c>
      <c r="N683" s="1376"/>
      <c r="R683" s="1376" t="s">
        <v>1627</v>
      </c>
    </row>
    <row r="684" spans="1:18" s="1370" customFormat="1" x14ac:dyDescent="0.25">
      <c r="A684" s="1118" t="s">
        <v>1486</v>
      </c>
      <c r="B684" s="1089" t="str">
        <f ca="1">_xlfn.CONCAT(IFERROR(SUBSTITUTE(ADDRESS(1,MATCH(A684,INDIRECT("'"&amp;E684&amp;"'"&amp;"!A" &amp; $O$670 + 5 &amp; ":Z" &amp; $O$670 + 5),0),4),1,""),""),$O$670 + 5)</f>
        <v>H96</v>
      </c>
      <c r="C684" s="1089" t="str">
        <f ca="1">_xlfn.CONCAT(IFERROR(SUBSTITUTE(ADDRESS(1,MATCH(A684,INDIRECT("'"&amp;E684&amp;"'"&amp;"!A" &amp; $O$670 + 5 &amp; ":Z" &amp; $O$670 + 5),0),4),1,""),""),$O$670 + 6)</f>
        <v>H97</v>
      </c>
      <c r="D684" s="1089" t="s">
        <v>1448</v>
      </c>
      <c r="E684" s="1089" t="s">
        <v>1618</v>
      </c>
      <c r="I684" s="1026" t="str">
        <f t="shared" si="66"/>
        <v/>
      </c>
      <c r="J684" s="1376"/>
      <c r="K684" s="1376" t="str">
        <f t="shared" si="67"/>
        <v/>
      </c>
      <c r="L684" s="1089" t="s">
        <v>1486</v>
      </c>
      <c r="M684" s="1376">
        <v>667</v>
      </c>
      <c r="N684" s="1376"/>
      <c r="R684" s="1376" t="s">
        <v>1627</v>
      </c>
    </row>
    <row r="685" spans="1:18" s="1370" customFormat="1" x14ac:dyDescent="0.25">
      <c r="A685" s="1118" t="s">
        <v>1487</v>
      </c>
      <c r="B685" s="1089" t="str">
        <f ca="1">_xlfn.CONCAT(IFERROR(SUBSTITUTE(ADDRESS(1,MATCH(A685,INDIRECT("'"&amp;E685&amp;"'"&amp;"!A" &amp; $O$670 + 5 &amp; ":Z" &amp; $O$670 + 5),0),4),1,""),""),$O$670 + 5)</f>
        <v>J96</v>
      </c>
      <c r="C685" s="1089" t="str">
        <f ca="1">_xlfn.CONCAT(IFERROR(SUBSTITUTE(ADDRESS(1,MATCH(A685,INDIRECT("'"&amp;E685&amp;"'"&amp;"!A" &amp; $O$670 + 5 &amp; ":Z" &amp; $O$670 + 5),0),4),1,""),""),$O$670 + 6)</f>
        <v>J97</v>
      </c>
      <c r="D685" s="1089" t="s">
        <v>1448</v>
      </c>
      <c r="E685" s="1089" t="s">
        <v>1618</v>
      </c>
      <c r="I685" s="1026" t="str">
        <f t="shared" si="66"/>
        <v/>
      </c>
      <c r="J685" s="1376"/>
      <c r="K685" s="1376" t="str">
        <f t="shared" si="67"/>
        <v/>
      </c>
      <c r="L685" s="1089" t="s">
        <v>1487</v>
      </c>
      <c r="M685" s="1376">
        <v>668</v>
      </c>
      <c r="N685" s="1376"/>
      <c r="R685" s="1376" t="s">
        <v>1627</v>
      </c>
    </row>
    <row r="686" spans="1:18" s="1370" customFormat="1" x14ac:dyDescent="0.25">
      <c r="A686" s="1118" t="s">
        <v>1488</v>
      </c>
      <c r="B686" s="1089" t="str">
        <f ca="1">_xlfn.CONCAT(IFERROR(SUBSTITUTE(ADDRESS(1,MATCH(A686,INDIRECT("'"&amp;E686&amp;"'"&amp;"!A" &amp; $O$670 + 5 &amp; ":Z" &amp; $O$670 + 5),0),4),1,""),""),$O$670 + 5)</f>
        <v>L96</v>
      </c>
      <c r="C686" s="1089" t="str">
        <f ca="1">_xlfn.CONCAT(IFERROR(SUBSTITUTE(ADDRESS(1,MATCH(A686,INDIRECT("'"&amp;E686&amp;"'"&amp;"!A" &amp; $O$670 + 5 &amp; ":Z" &amp; $O$670 + 5),0),4),1,""),""),$O$670 + 6)</f>
        <v>L97</v>
      </c>
      <c r="D686" s="1089" t="s">
        <v>1448</v>
      </c>
      <c r="E686" s="1089" t="s">
        <v>1618</v>
      </c>
      <c r="I686" s="1026" t="str">
        <f t="shared" si="66"/>
        <v/>
      </c>
      <c r="J686" s="1376"/>
      <c r="K686" s="1376" t="str">
        <f t="shared" si="67"/>
        <v/>
      </c>
      <c r="L686" s="1089" t="s">
        <v>1488</v>
      </c>
      <c r="M686" s="1376">
        <v>669</v>
      </c>
      <c r="N686" s="1376"/>
      <c r="R686" s="1376" t="s">
        <v>1627</v>
      </c>
    </row>
    <row r="687" spans="1:18" s="1370" customFormat="1" x14ac:dyDescent="0.25">
      <c r="A687" s="1121" t="s">
        <v>1593</v>
      </c>
      <c r="B687" s="1089" t="str">
        <f ca="1">IFERROR(_xlfn.CONCAT("C",MATCH(A687,INDIRECT("'"&amp;E687&amp;"'!C"&amp;$O$688&amp;":C"&amp;$O$690),0)+$O$688-1),"")</f>
        <v>C109</v>
      </c>
      <c r="C687" s="1089" t="str">
        <f ca="1">IFERROR(_xlfn.CONCAT("D",MATCH(A687,INDIRECT("'"&amp;E687&amp;"'!C"&amp;$O$688&amp;":C"&amp;$O$690),0)+$O$688-1),"")</f>
        <v>D109</v>
      </c>
      <c r="D687" s="1089" t="s">
        <v>1448</v>
      </c>
      <c r="E687" s="1089" t="s">
        <v>1618</v>
      </c>
      <c r="I687" s="1026" t="str">
        <f t="shared" si="66"/>
        <v/>
      </c>
      <c r="J687" s="1376"/>
      <c r="K687" s="1376" t="str">
        <f t="shared" si="67"/>
        <v/>
      </c>
      <c r="L687" s="1089" t="s">
        <v>1593</v>
      </c>
      <c r="M687" s="1376">
        <v>670</v>
      </c>
      <c r="N687" s="1376"/>
      <c r="O687" s="1370" t="s">
        <v>742</v>
      </c>
      <c r="R687" s="1376" t="s">
        <v>1627</v>
      </c>
    </row>
    <row r="688" spans="1:18" s="1370" customFormat="1" x14ac:dyDescent="0.25">
      <c r="A688" s="1121" t="s">
        <v>1809</v>
      </c>
      <c r="B688" s="1089" t="str">
        <f ca="1">_xlfn.CONCAT(IFERROR(SUBSTITUTE(ADDRESS(1,MATCH(A688,INDIRECT("'"&amp;E688&amp;"'"&amp;"!A" &amp; $O$688 + 11 &amp; ":Z" &amp; $O$688 + 11),0),4),1,""),""),$O$688 + 11)</f>
        <v>T116</v>
      </c>
      <c r="C688" s="1089" t="str">
        <f ca="1">_xlfn.CONCAT(IFERROR(SUBSTITUTE(ADDRESS(1,MATCH(A688,INDIRECT("'"&amp;E688&amp;"'"&amp;"!A" &amp; $O$688 + 11 &amp; ":Z" &amp; $O$688 + 11),0),4),1,""),""),$O$688 + 12)</f>
        <v>T117</v>
      </c>
      <c r="D688" s="1089" t="s">
        <v>1448</v>
      </c>
      <c r="E688" s="1089" t="s">
        <v>1618</v>
      </c>
      <c r="I688" s="1026" t="str">
        <f t="shared" si="66"/>
        <v/>
      </c>
      <c r="J688" s="1376"/>
      <c r="K688" s="1376" t="str">
        <f t="shared" si="67"/>
        <v/>
      </c>
      <c r="L688" s="1089" t="s">
        <v>1809</v>
      </c>
      <c r="M688" s="1376">
        <v>671</v>
      </c>
      <c r="N688" s="1376"/>
      <c r="O688" s="1370">
        <f>'Configurable Tab'!H10</f>
        <v>105</v>
      </c>
      <c r="Q688" s="1370" t="s">
        <v>653</v>
      </c>
      <c r="R688" s="1376" t="s">
        <v>1627</v>
      </c>
    </row>
    <row r="689" spans="1:18" s="1370" customFormat="1" x14ac:dyDescent="0.25">
      <c r="A689" s="1121" t="s">
        <v>1482</v>
      </c>
      <c r="B689" s="1089" t="str">
        <f ca="1">IFERROR(_xlfn.CONCAT("C",MATCH(A689,INDIRECT("'"&amp;E689&amp;"'!C"&amp;$O$688&amp;":C"&amp;$O$690),0)+$O$688-1),"")</f>
        <v>C107</v>
      </c>
      <c r="C689" s="1089" t="str">
        <f ca="1">IFERROR(_xlfn.CONCAT("D",MATCH(A689,INDIRECT("'"&amp;E689&amp;"'!C"&amp;$O$688&amp;":C"&amp;$O$690),0)+$O$688-1),"")</f>
        <v>D107</v>
      </c>
      <c r="D689" s="1089" t="s">
        <v>1448</v>
      </c>
      <c r="E689" s="1089" t="s">
        <v>1618</v>
      </c>
      <c r="I689" s="1026" t="str">
        <f t="shared" si="66"/>
        <v/>
      </c>
      <c r="J689" s="1376"/>
      <c r="K689" s="1376" t="str">
        <f t="shared" si="67"/>
        <v/>
      </c>
      <c r="L689" s="1089" t="s">
        <v>1482</v>
      </c>
      <c r="M689" s="1376">
        <v>672</v>
      </c>
      <c r="N689" s="1376"/>
      <c r="O689" s="1370" t="s">
        <v>743</v>
      </c>
      <c r="R689" s="1376" t="s">
        <v>1627</v>
      </c>
    </row>
    <row r="690" spans="1:18" s="1370" customFormat="1" x14ac:dyDescent="0.25">
      <c r="A690" s="1121" t="s">
        <v>1479</v>
      </c>
      <c r="B690" s="1089" t="str">
        <f t="shared" ref="B690:B696" ca="1" si="72">_xlfn.CONCAT(IFERROR(SUBSTITUTE(ADDRESS(1,MATCH(A690,INDIRECT("'"&amp;E690&amp;"'"&amp;"!A" &amp; $O$688 + 2 &amp; ":Z" &amp; $O$688 + 2),0),4),1,""),""),$O$688 + 2)</f>
        <v>H107</v>
      </c>
      <c r="C690" s="1089" t="str">
        <f t="shared" ref="C690:C696" ca="1" si="73">_xlfn.CONCAT(IFERROR(SUBSTITUTE(ADDRESS(1,MATCH(A690,INDIRECT("'"&amp;E690&amp;"'"&amp;"!A" &amp; $O$688 + 2 &amp; ":Z" &amp; $O$688 + 2),0),4),1,""),""),$O$688 + 3)</f>
        <v>H108</v>
      </c>
      <c r="D690" s="1089" t="s">
        <v>1448</v>
      </c>
      <c r="E690" s="1089" t="s">
        <v>1618</v>
      </c>
      <c r="I690" s="1026" t="str">
        <f t="shared" si="66"/>
        <v/>
      </c>
      <c r="J690" s="1376"/>
      <c r="K690" s="1376" t="str">
        <f t="shared" si="67"/>
        <v/>
      </c>
      <c r="L690" s="1089" t="s">
        <v>1479</v>
      </c>
      <c r="M690" s="1376">
        <v>673</v>
      </c>
      <c r="N690" s="1376"/>
      <c r="O690" s="1370">
        <f>'Configurable Tab'!I10</f>
        <v>118</v>
      </c>
      <c r="R690" s="1376" t="s">
        <v>1627</v>
      </c>
    </row>
    <row r="691" spans="1:18" s="1370" customFormat="1" x14ac:dyDescent="0.25">
      <c r="A691" s="1121" t="s">
        <v>1480</v>
      </c>
      <c r="B691" s="1089" t="str">
        <f t="shared" ca="1" si="72"/>
        <v>J107</v>
      </c>
      <c r="C691" s="1089" t="str">
        <f t="shared" ca="1" si="73"/>
        <v>J108</v>
      </c>
      <c r="D691" s="1089" t="s">
        <v>1448</v>
      </c>
      <c r="E691" s="1089" t="s">
        <v>1618</v>
      </c>
      <c r="I691" s="1026" t="str">
        <f t="shared" si="66"/>
        <v/>
      </c>
      <c r="J691" s="1376"/>
      <c r="K691" s="1376" t="str">
        <f t="shared" si="67"/>
        <v/>
      </c>
      <c r="L691" s="1089" t="s">
        <v>1480</v>
      </c>
      <c r="M691" s="1376">
        <v>674</v>
      </c>
      <c r="N691" s="1376"/>
      <c r="O691" s="1370" t="s">
        <v>1743</v>
      </c>
      <c r="R691" s="1376" t="s">
        <v>1627</v>
      </c>
    </row>
    <row r="692" spans="1:18" s="1370" customFormat="1" x14ac:dyDescent="0.25">
      <c r="A692" s="1121" t="s">
        <v>1496</v>
      </c>
      <c r="B692" s="1089" t="str">
        <f t="shared" ca="1" si="72"/>
        <v>L107</v>
      </c>
      <c r="C692" s="1089" t="str">
        <f t="shared" ca="1" si="73"/>
        <v>L108</v>
      </c>
      <c r="D692" s="1089" t="s">
        <v>1448</v>
      </c>
      <c r="E692" s="1089" t="s">
        <v>1618</v>
      </c>
      <c r="I692" s="1026" t="str">
        <f t="shared" si="66"/>
        <v/>
      </c>
      <c r="J692" s="1376"/>
      <c r="K692" s="1376" t="str">
        <f t="shared" si="67"/>
        <v/>
      </c>
      <c r="L692" s="1089" t="s">
        <v>1496</v>
      </c>
      <c r="M692" s="1376">
        <v>675</v>
      </c>
      <c r="N692" s="1376"/>
      <c r="R692" s="1376" t="s">
        <v>1627</v>
      </c>
    </row>
    <row r="693" spans="1:18" s="1370" customFormat="1" x14ac:dyDescent="0.25">
      <c r="A693" s="1121" t="s">
        <v>1481</v>
      </c>
      <c r="B693" s="1089" t="str">
        <f t="shared" ca="1" si="72"/>
        <v>N107</v>
      </c>
      <c r="C693" s="1089" t="str">
        <f t="shared" ca="1" si="73"/>
        <v>N108</v>
      </c>
      <c r="D693" s="1089" t="s">
        <v>1448</v>
      </c>
      <c r="E693" s="1089" t="s">
        <v>1618</v>
      </c>
      <c r="I693" s="1026" t="str">
        <f t="shared" si="66"/>
        <v/>
      </c>
      <c r="J693" s="1376"/>
      <c r="K693" s="1376" t="str">
        <f t="shared" si="67"/>
        <v/>
      </c>
      <c r="L693" s="1089" t="s">
        <v>1481</v>
      </c>
      <c r="M693" s="1376">
        <v>676</v>
      </c>
      <c r="N693" s="1376"/>
      <c r="R693" s="1376" t="s">
        <v>1627</v>
      </c>
    </row>
    <row r="694" spans="1:18" s="1370" customFormat="1" x14ac:dyDescent="0.25">
      <c r="A694" s="1121" t="s">
        <v>1588</v>
      </c>
      <c r="B694" s="1089" t="str">
        <f t="shared" ca="1" si="72"/>
        <v>P107</v>
      </c>
      <c r="C694" s="1089" t="str">
        <f t="shared" ca="1" si="73"/>
        <v>P108</v>
      </c>
      <c r="D694" s="1089" t="s">
        <v>1448</v>
      </c>
      <c r="E694" s="1089" t="s">
        <v>1618</v>
      </c>
      <c r="I694" s="1026" t="str">
        <f t="shared" si="66"/>
        <v>Qualifying Cycle</v>
      </c>
      <c r="J694" s="1376" t="str">
        <f t="shared" si="68"/>
        <v>677</v>
      </c>
      <c r="K694" s="1376" t="str">
        <f t="shared" si="67"/>
        <v>Incentives Worksheet</v>
      </c>
      <c r="L694" s="1089" t="s">
        <v>1588</v>
      </c>
      <c r="M694" s="1376">
        <v>677</v>
      </c>
      <c r="N694" s="1376"/>
      <c r="R694" s="1376" t="s">
        <v>1627</v>
      </c>
    </row>
    <row r="695" spans="1:18" s="1370" customFormat="1" x14ac:dyDescent="0.25">
      <c r="A695" s="1121" t="s">
        <v>1589</v>
      </c>
      <c r="B695" s="1089" t="str">
        <f t="shared" ca="1" si="72"/>
        <v>R107</v>
      </c>
      <c r="C695" s="1089" t="str">
        <f t="shared" ca="1" si="73"/>
        <v>R108</v>
      </c>
      <c r="D695" s="1089" t="s">
        <v>1448</v>
      </c>
      <c r="E695" s="1089" t="s">
        <v>1618</v>
      </c>
      <c r="I695" s="1026" t="str">
        <f t="shared" si="66"/>
        <v>Incentive Calendar</v>
      </c>
      <c r="J695" s="1376" t="str">
        <f t="shared" si="68"/>
        <v>678</v>
      </c>
      <c r="K695" s="1376" t="str">
        <f t="shared" si="67"/>
        <v>Incentives Worksheet</v>
      </c>
      <c r="L695" s="1089" t="s">
        <v>1589</v>
      </c>
      <c r="M695" s="1376">
        <v>678</v>
      </c>
      <c r="N695" s="1376"/>
      <c r="R695" s="1376" t="s">
        <v>1627</v>
      </c>
    </row>
    <row r="696" spans="1:18" s="1370" customFormat="1" x14ac:dyDescent="0.25">
      <c r="A696" s="1121" t="s">
        <v>1590</v>
      </c>
      <c r="B696" s="1089" t="str">
        <f t="shared" ca="1" si="72"/>
        <v>T107</v>
      </c>
      <c r="C696" s="1089" t="str">
        <f t="shared" ca="1" si="73"/>
        <v>T108</v>
      </c>
      <c r="D696" s="1089" t="s">
        <v>1448</v>
      </c>
      <c r="E696" s="1089" t="s">
        <v>1618</v>
      </c>
      <c r="I696" s="1026" t="str">
        <f t="shared" si="66"/>
        <v>Post to GL Payment Method Flag</v>
      </c>
      <c r="J696" s="1376" t="str">
        <f t="shared" si="68"/>
        <v>679</v>
      </c>
      <c r="K696" s="1376" t="str">
        <f t="shared" si="67"/>
        <v>Incentives Worksheet</v>
      </c>
      <c r="L696" s="1089" t="s">
        <v>1590</v>
      </c>
      <c r="M696" s="1376">
        <v>679</v>
      </c>
      <c r="N696" s="1376"/>
      <c r="R696" s="1376" t="s">
        <v>1627</v>
      </c>
    </row>
    <row r="697" spans="1:18" s="1370" customFormat="1" x14ac:dyDescent="0.25">
      <c r="A697" s="1121" t="s">
        <v>1484</v>
      </c>
      <c r="B697" s="1089" t="str">
        <f ca="1">IFERROR(_xlfn.CONCAT("C",MATCH(A697,INDIRECT("'"&amp;E697&amp;"'!C"&amp;$O$688&amp;":C"&amp;$O$690),0)+$O$688-1),"")</f>
        <v>C111</v>
      </c>
      <c r="C697" s="1089" t="str">
        <f ca="1">IFERROR(_xlfn.CONCAT("D",MATCH(A697,INDIRECT("'"&amp;E697&amp;"'!C"&amp;$O$688&amp;":C"&amp;$O$690),0)+$O$688-1),"")</f>
        <v>D111</v>
      </c>
      <c r="D697" s="1089" t="s">
        <v>1448</v>
      </c>
      <c r="E697" s="1089" t="s">
        <v>1618</v>
      </c>
      <c r="I697" s="1026" t="str">
        <f t="shared" si="66"/>
        <v/>
      </c>
      <c r="J697" s="1376"/>
      <c r="K697" s="1376" t="str">
        <f t="shared" si="67"/>
        <v/>
      </c>
      <c r="L697" s="1089" t="s">
        <v>1484</v>
      </c>
      <c r="M697" s="1376">
        <v>680</v>
      </c>
      <c r="N697" s="1376"/>
      <c r="R697" s="1376" t="s">
        <v>1627</v>
      </c>
    </row>
    <row r="698" spans="1:18" s="1370" customFormat="1" x14ac:dyDescent="0.25">
      <c r="A698" s="1121" t="s">
        <v>1485</v>
      </c>
      <c r="B698" s="1089" t="str">
        <f ca="1">IFERROR(_xlfn.CONCAT("C",MATCH(A698,INDIRECT("'"&amp;E698&amp;"'!C"&amp;$O$688&amp;":C"&amp;$O$690),0)+$O$688-1),"")</f>
        <v>C113</v>
      </c>
      <c r="C698" s="1089" t="str">
        <f ca="1">IFERROR(_xlfn.CONCAT("D",MATCH(A698,INDIRECT("'"&amp;E698&amp;"'!C"&amp;$O$688&amp;":C"&amp;$O$690),0)+$O$688-1),"")</f>
        <v>D113</v>
      </c>
      <c r="D698" s="1089" t="s">
        <v>1448</v>
      </c>
      <c r="E698" s="1089" t="s">
        <v>1618</v>
      </c>
      <c r="I698" s="1026" t="str">
        <f t="shared" si="66"/>
        <v/>
      </c>
      <c r="J698" s="1376"/>
      <c r="K698" s="1376" t="str">
        <f t="shared" si="67"/>
        <v/>
      </c>
      <c r="L698" s="1089" t="s">
        <v>1485</v>
      </c>
      <c r="M698" s="1376">
        <v>681</v>
      </c>
      <c r="N698" s="1376"/>
      <c r="R698" s="1376" t="s">
        <v>1627</v>
      </c>
    </row>
    <row r="699" spans="1:18" s="1370" customFormat="1" ht="30" x14ac:dyDescent="0.25">
      <c r="A699" s="1121" t="s">
        <v>1597</v>
      </c>
      <c r="B699" s="1089" t="str">
        <f ca="1">IFERROR(_xlfn.CONCAT("C",MATCH(A699,INDIRECT("'"&amp;E699&amp;"'!C"&amp;$O$688&amp;":C"&amp;$O$690),0)+$O$688-1),"")</f>
        <v>C115</v>
      </c>
      <c r="C699" s="1089" t="str">
        <f ca="1">IFERROR(_xlfn.CONCAT("D",MATCH(A699,INDIRECT("'"&amp;E699&amp;"'!C"&amp;$O$688&amp;":C"&amp;$O$690),0)+$O$688-1),"")</f>
        <v>D115</v>
      </c>
      <c r="D699" s="1089" t="s">
        <v>1448</v>
      </c>
      <c r="E699" s="1089" t="s">
        <v>1618</v>
      </c>
      <c r="I699" s="1026" t="str">
        <f t="shared" si="66"/>
        <v>Incentive Dates Match Agreement Dates Flag</v>
      </c>
      <c r="J699" s="1376" t="str">
        <f t="shared" si="68"/>
        <v>682</v>
      </c>
      <c r="K699" s="1376" t="str">
        <f t="shared" si="67"/>
        <v>Incentives Worksheet</v>
      </c>
      <c r="L699" s="1089" t="s">
        <v>1597</v>
      </c>
      <c r="M699" s="1376">
        <v>682</v>
      </c>
      <c r="N699" s="1376"/>
      <c r="R699" s="1376" t="s">
        <v>1627</v>
      </c>
    </row>
    <row r="700" spans="1:18" s="1370" customFormat="1" x14ac:dyDescent="0.25">
      <c r="A700" s="1121" t="s">
        <v>1594</v>
      </c>
      <c r="B700" s="1089" t="str">
        <f ca="1">_xlfn.CONCAT(IFERROR(SUBSTITUTE(ADDRESS(1,MATCH(A700,INDIRECT("'"&amp;E700&amp;"'"&amp;"!A" &amp; $O$688 + 8 &amp; ":Z" &amp; $O$688 + 8),0),4),1,""),""),$O$688 + 8)</f>
        <v>H113</v>
      </c>
      <c r="C700" s="1089" t="str">
        <f ca="1">_xlfn.CONCAT(IFERROR(SUBSTITUTE(ADDRESS(1,MATCH(A700,INDIRECT("'"&amp;E700&amp;"'"&amp;"!A" &amp; $O$688 + 8 &amp; ":Z" &amp; $O$688 + 8),0),4),1,""),""),$O$688 + 9)</f>
        <v>H114</v>
      </c>
      <c r="D700" s="1089" t="s">
        <v>1448</v>
      </c>
      <c r="E700" s="1089" t="s">
        <v>1618</v>
      </c>
      <c r="I700" s="1026" t="str">
        <f t="shared" si="66"/>
        <v>Include All Customers Flag</v>
      </c>
      <c r="J700" s="1376" t="str">
        <f t="shared" si="68"/>
        <v>683</v>
      </c>
      <c r="K700" s="1376" t="str">
        <f t="shared" si="67"/>
        <v>Incentives Worksheet</v>
      </c>
      <c r="L700" s="1089" t="s">
        <v>1594</v>
      </c>
      <c r="M700" s="1376">
        <v>683</v>
      </c>
      <c r="N700" s="1376"/>
      <c r="R700" s="1376" t="s">
        <v>1627</v>
      </c>
    </row>
    <row r="701" spans="1:18" s="1370" customFormat="1" x14ac:dyDescent="0.25">
      <c r="A701" s="1121" t="s">
        <v>1608</v>
      </c>
      <c r="B701" s="1089" t="str">
        <f ca="1">_xlfn.CONCAT(IFERROR(SUBSTITUTE(ADDRESS(1,MATCH(A701,INDIRECT("'"&amp;E701&amp;"'"&amp;"!A" &amp; $O$688 + 8 &amp; ":Z" &amp; $O$688 + 8),0),4),1,""),""),$O$688 + 8)</f>
        <v>J113</v>
      </c>
      <c r="C701" s="1089" t="str">
        <f ca="1">_xlfn.CONCAT(IFERROR(SUBSTITUTE(ADDRESS(1,MATCH(A701,INDIRECT("'"&amp;E701&amp;"'"&amp;"!A" &amp; $O$688 + 8 &amp; ":Z" &amp; $O$688 + 8),0),4),1,""),""),$O$688 + 9)</f>
        <v>J114</v>
      </c>
      <c r="D701" s="1089" t="s">
        <v>1448</v>
      </c>
      <c r="E701" s="1089" t="s">
        <v>1618</v>
      </c>
      <c r="I701" s="1026" t="str">
        <f t="shared" si="66"/>
        <v>Customer Aggregation</v>
      </c>
      <c r="J701" s="1376" t="str">
        <f t="shared" si="68"/>
        <v>684</v>
      </c>
      <c r="K701" s="1376" t="str">
        <f t="shared" si="67"/>
        <v>Incentives Worksheet</v>
      </c>
      <c r="L701" s="1089" t="s">
        <v>1608</v>
      </c>
      <c r="M701" s="1376">
        <v>684</v>
      </c>
      <c r="N701" s="1376"/>
      <c r="R701" s="1376" t="s">
        <v>1627</v>
      </c>
    </row>
    <row r="702" spans="1:18" s="1370" customFormat="1" x14ac:dyDescent="0.25">
      <c r="A702" s="1121" t="s">
        <v>1486</v>
      </c>
      <c r="B702" s="1089" t="str">
        <f ca="1">_xlfn.CONCAT(IFERROR(SUBSTITUTE(ADDRESS(1,MATCH(A702,INDIRECT("'"&amp;E702&amp;"'"&amp;"!A" &amp; $O$688 + 5 &amp; ":Z" &amp; $O$688 + 5),0),4),1,""),""),$O$688 + 5)</f>
        <v>H110</v>
      </c>
      <c r="C702" s="1089" t="str">
        <f ca="1">_xlfn.CONCAT(IFERROR(SUBSTITUTE(ADDRESS(1,MATCH(A702,INDIRECT("'"&amp;E702&amp;"'"&amp;"!A" &amp; $O$688 + 5 &amp; ":Z" &amp; $O$688 + 5),0),4),1,""),""),$O$688 + 6)</f>
        <v>H111</v>
      </c>
      <c r="D702" s="1089" t="s">
        <v>1448</v>
      </c>
      <c r="E702" s="1089" t="s">
        <v>1618</v>
      </c>
      <c r="I702" s="1026" t="str">
        <f t="shared" si="66"/>
        <v/>
      </c>
      <c r="J702" s="1376"/>
      <c r="K702" s="1376" t="str">
        <f t="shared" si="67"/>
        <v/>
      </c>
      <c r="L702" s="1089" t="s">
        <v>1486</v>
      </c>
      <c r="M702" s="1376">
        <v>685</v>
      </c>
      <c r="N702" s="1376"/>
      <c r="R702" s="1376" t="s">
        <v>1627</v>
      </c>
    </row>
    <row r="703" spans="1:18" s="1370" customFormat="1" x14ac:dyDescent="0.25">
      <c r="A703" s="1121" t="s">
        <v>1487</v>
      </c>
      <c r="B703" s="1089" t="str">
        <f ca="1">_xlfn.CONCAT(IFERROR(SUBSTITUTE(ADDRESS(1,MATCH(A703,INDIRECT("'"&amp;E703&amp;"'"&amp;"!A" &amp; $O$688 + 5 &amp; ":Z" &amp; $O$688 + 5),0),4),1,""),""),$O$688 + 5)</f>
        <v>J110</v>
      </c>
      <c r="C703" s="1089" t="str">
        <f ca="1">_xlfn.CONCAT(IFERROR(SUBSTITUTE(ADDRESS(1,MATCH(A703,INDIRECT("'"&amp;E703&amp;"'"&amp;"!A" &amp; $O$688 + 5 &amp; ":Z" &amp; $O$688 + 5),0),4),1,""),""),$O$688 + 6)</f>
        <v>J111</v>
      </c>
      <c r="D703" s="1089" t="s">
        <v>1448</v>
      </c>
      <c r="E703" s="1089" t="s">
        <v>1618</v>
      </c>
      <c r="I703" s="1026" t="str">
        <f t="shared" si="66"/>
        <v/>
      </c>
      <c r="J703" s="1376"/>
      <c r="K703" s="1376" t="str">
        <f t="shared" si="67"/>
        <v/>
      </c>
      <c r="L703" s="1089" t="s">
        <v>1487</v>
      </c>
      <c r="M703" s="1376">
        <v>686</v>
      </c>
      <c r="N703" s="1376"/>
      <c r="R703" s="1376" t="s">
        <v>1627</v>
      </c>
    </row>
    <row r="704" spans="1:18" s="1370" customFormat="1" x14ac:dyDescent="0.25">
      <c r="A704" s="1121" t="s">
        <v>1488</v>
      </c>
      <c r="B704" s="1089" t="str">
        <f ca="1">_xlfn.CONCAT(IFERROR(SUBSTITUTE(ADDRESS(1,MATCH(A704,INDIRECT("'"&amp;E704&amp;"'"&amp;"!A" &amp; $O$688 + 5 &amp; ":Z" &amp; $O$688 + 5),0),4),1,""),""),$O$688 + 5)</f>
        <v>L110</v>
      </c>
      <c r="C704" s="1089" t="str">
        <f ca="1">_xlfn.CONCAT(IFERROR(SUBSTITUTE(ADDRESS(1,MATCH(A704,INDIRECT("'"&amp;E704&amp;"'"&amp;"!A" &amp; $O$688 + 5 &amp; ":Z" &amp; $O$688 + 5),0),4),1,""),""),$O$688 + 6)</f>
        <v>L111</v>
      </c>
      <c r="D704" s="1089" t="s">
        <v>1448</v>
      </c>
      <c r="E704" s="1089" t="s">
        <v>1618</v>
      </c>
      <c r="I704" s="1026" t="str">
        <f t="shared" si="66"/>
        <v/>
      </c>
      <c r="J704" s="1376"/>
      <c r="K704" s="1376" t="str">
        <f t="shared" si="67"/>
        <v/>
      </c>
      <c r="L704" s="1089" t="s">
        <v>1488</v>
      </c>
      <c r="M704" s="1376">
        <v>687</v>
      </c>
      <c r="N704" s="1376"/>
      <c r="R704" s="1376" t="s">
        <v>1627</v>
      </c>
    </row>
    <row r="705" spans="1:18" s="1370" customFormat="1" x14ac:dyDescent="0.25">
      <c r="A705" s="1118" t="s">
        <v>1593</v>
      </c>
      <c r="B705" s="1089" t="str">
        <f ca="1">IFERROR(_xlfn.CONCAT("C",MATCH(A705,INDIRECT("'"&amp;E705&amp;"'!C"&amp;$O$706&amp;":C"&amp;$O$708),0)+$O$706-1),"")</f>
        <v>C123</v>
      </c>
      <c r="C705" s="1089" t="str">
        <f ca="1">IFERROR(_xlfn.CONCAT("D",MATCH(A705,INDIRECT("'"&amp;E705&amp;"'!C"&amp;$O$706&amp;":C"&amp;$O$708),0)+$O$706-1),"")</f>
        <v>D123</v>
      </c>
      <c r="D705" s="1089" t="s">
        <v>1448</v>
      </c>
      <c r="E705" s="1089" t="s">
        <v>1618</v>
      </c>
      <c r="I705" s="1026" t="str">
        <f t="shared" si="66"/>
        <v/>
      </c>
      <c r="J705" s="1376"/>
      <c r="K705" s="1376" t="str">
        <f t="shared" si="67"/>
        <v/>
      </c>
      <c r="L705" s="1089" t="s">
        <v>1593</v>
      </c>
      <c r="M705" s="1376">
        <v>688</v>
      </c>
      <c r="N705" s="1376"/>
      <c r="O705" s="1370" t="s">
        <v>742</v>
      </c>
      <c r="R705" s="1376" t="s">
        <v>1627</v>
      </c>
    </row>
    <row r="706" spans="1:18" s="1370" customFormat="1" x14ac:dyDescent="0.25">
      <c r="A706" s="1118" t="s">
        <v>1809</v>
      </c>
      <c r="B706" s="1089" t="str">
        <f ca="1">_xlfn.CONCAT(IFERROR(SUBSTITUTE(ADDRESS(1,MATCH(A706,INDIRECT("'"&amp;E706&amp;"'"&amp;"!A" &amp; $O$706 + 12 &amp; ":Z" &amp; $O$706+ 12),0),4),1,""),""),$O$706 + 12)</f>
        <v>T131</v>
      </c>
      <c r="C706" s="1089" t="str">
        <f ca="1">_xlfn.CONCAT(IFERROR(SUBSTITUTE(ADDRESS(1,MATCH(A706,INDIRECT("'"&amp;E706&amp;"'"&amp;"!A" &amp; $O$706 + 12 &amp; ":Z" &amp; $O$706+ 12),0),4),1,""),""),$O$706 + 13)</f>
        <v>T132</v>
      </c>
      <c r="D706" s="1089" t="s">
        <v>1448</v>
      </c>
      <c r="E706" s="1089" t="s">
        <v>1618</v>
      </c>
      <c r="I706" s="1026" t="str">
        <f t="shared" si="66"/>
        <v/>
      </c>
      <c r="J706" s="1376"/>
      <c r="K706" s="1376" t="str">
        <f t="shared" si="67"/>
        <v/>
      </c>
      <c r="L706" s="1089" t="s">
        <v>1809</v>
      </c>
      <c r="M706" s="1376">
        <v>689</v>
      </c>
      <c r="N706" s="1376"/>
      <c r="O706" s="1370">
        <f>'Configurable Tab'!H11</f>
        <v>119</v>
      </c>
      <c r="Q706" s="1370" t="s">
        <v>653</v>
      </c>
      <c r="R706" s="1376" t="s">
        <v>1627</v>
      </c>
    </row>
    <row r="707" spans="1:18" s="1370" customFormat="1" x14ac:dyDescent="0.25">
      <c r="A707" s="1118" t="s">
        <v>1482</v>
      </c>
      <c r="B707" s="1089" t="str">
        <f ca="1">IFERROR(_xlfn.CONCAT("C",MATCH(A707,INDIRECT("'"&amp;E707&amp;"'!C"&amp;$O$706&amp;":C"&amp;$O$708),0)+$O$706-1),"")</f>
        <v>C121</v>
      </c>
      <c r="C707" s="1089" t="str">
        <f ca="1">IFERROR(_xlfn.CONCAT("D",MATCH(A707,INDIRECT("'"&amp;E707&amp;"'!C"&amp;$O$706&amp;":C"&amp;$O$708),0)+$O$706-1),"")</f>
        <v>D121</v>
      </c>
      <c r="D707" s="1089" t="s">
        <v>1448</v>
      </c>
      <c r="E707" s="1089" t="s">
        <v>1618</v>
      </c>
      <c r="I707" s="1026" t="str">
        <f t="shared" si="66"/>
        <v/>
      </c>
      <c r="J707" s="1376"/>
      <c r="K707" s="1376" t="str">
        <f t="shared" si="67"/>
        <v/>
      </c>
      <c r="L707" s="1089" t="s">
        <v>1482</v>
      </c>
      <c r="M707" s="1376">
        <v>690</v>
      </c>
      <c r="N707" s="1376"/>
      <c r="O707" s="1370" t="s">
        <v>743</v>
      </c>
      <c r="R707" s="1376" t="s">
        <v>1627</v>
      </c>
    </row>
    <row r="708" spans="1:18" s="1370" customFormat="1" x14ac:dyDescent="0.25">
      <c r="A708" s="1118" t="s">
        <v>1479</v>
      </c>
      <c r="B708" s="1089" t="str">
        <f t="shared" ref="B708:B714" ca="1" si="74">_xlfn.CONCAT(IFERROR(SUBSTITUTE(ADDRESS(1,MATCH(A708,INDIRECT("'"&amp;E708&amp;"'"&amp;"!A" &amp; $O$706 + 2 &amp; ":Z" &amp; $O$706+ 2),0),4),1,""),""),$O$706 + 2)</f>
        <v>H121</v>
      </c>
      <c r="C708" s="1089" t="str">
        <f t="shared" ref="C708:C714" ca="1" si="75">_xlfn.CONCAT(IFERROR(SUBSTITUTE(ADDRESS(1,MATCH(A708,INDIRECT("'"&amp;E708&amp;"'"&amp;"!A" &amp; $O$706 + 2 &amp; ":Z" &amp; $O$706+ 2),0),4),1,""),""),$O$706 + 3)</f>
        <v>H122</v>
      </c>
      <c r="D708" s="1089" t="s">
        <v>1448</v>
      </c>
      <c r="E708" s="1089" t="s">
        <v>1618</v>
      </c>
      <c r="I708" s="1026" t="str">
        <f t="shared" ref="I708:I771" si="76">IF(J708&lt;&gt;"",A708,"")</f>
        <v/>
      </c>
      <c r="J708" s="1376"/>
      <c r="K708" s="1376" t="str">
        <f t="shared" ref="K708:K771" si="77">IF(J708&lt;&gt;"",E708,"")</f>
        <v/>
      </c>
      <c r="L708" s="1089" t="s">
        <v>1479</v>
      </c>
      <c r="M708" s="1376">
        <v>691</v>
      </c>
      <c r="N708" s="1376"/>
      <c r="O708" s="1370">
        <f>'Configurable Tab'!I11</f>
        <v>134</v>
      </c>
      <c r="R708" s="1376" t="s">
        <v>1627</v>
      </c>
    </row>
    <row r="709" spans="1:18" s="1370" customFormat="1" x14ac:dyDescent="0.25">
      <c r="A709" s="1118" t="s">
        <v>1480</v>
      </c>
      <c r="B709" s="1089" t="str">
        <f t="shared" ca="1" si="74"/>
        <v>J121</v>
      </c>
      <c r="C709" s="1089" t="str">
        <f t="shared" ca="1" si="75"/>
        <v>J122</v>
      </c>
      <c r="D709" s="1089" t="s">
        <v>1448</v>
      </c>
      <c r="E709" s="1089" t="s">
        <v>1618</v>
      </c>
      <c r="I709" s="1026" t="str">
        <f t="shared" si="76"/>
        <v/>
      </c>
      <c r="J709" s="1376"/>
      <c r="K709" s="1376" t="str">
        <f t="shared" si="77"/>
        <v/>
      </c>
      <c r="L709" s="1089" t="s">
        <v>1480</v>
      </c>
      <c r="M709" s="1376">
        <v>692</v>
      </c>
      <c r="N709" s="1376"/>
      <c r="O709" s="1370" t="s">
        <v>1744</v>
      </c>
      <c r="R709" s="1376" t="s">
        <v>1627</v>
      </c>
    </row>
    <row r="710" spans="1:18" s="1370" customFormat="1" x14ac:dyDescent="0.25">
      <c r="A710" s="1118" t="s">
        <v>1496</v>
      </c>
      <c r="B710" s="1089" t="str">
        <f t="shared" ca="1" si="74"/>
        <v>L121</v>
      </c>
      <c r="C710" s="1089" t="str">
        <f t="shared" ca="1" si="75"/>
        <v>L122</v>
      </c>
      <c r="D710" s="1089" t="s">
        <v>1448</v>
      </c>
      <c r="E710" s="1089" t="s">
        <v>1618</v>
      </c>
      <c r="I710" s="1026" t="str">
        <f t="shared" si="76"/>
        <v/>
      </c>
      <c r="J710" s="1376"/>
      <c r="K710" s="1376" t="str">
        <f t="shared" si="77"/>
        <v/>
      </c>
      <c r="L710" s="1089" t="s">
        <v>1496</v>
      </c>
      <c r="M710" s="1376">
        <v>693</v>
      </c>
      <c r="N710" s="1376"/>
      <c r="R710" s="1376" t="s">
        <v>1627</v>
      </c>
    </row>
    <row r="711" spans="1:18" s="1370" customFormat="1" x14ac:dyDescent="0.25">
      <c r="A711" s="1118" t="s">
        <v>1481</v>
      </c>
      <c r="B711" s="1089" t="str">
        <f t="shared" ca="1" si="74"/>
        <v>N121</v>
      </c>
      <c r="C711" s="1089" t="str">
        <f t="shared" ca="1" si="75"/>
        <v>N122</v>
      </c>
      <c r="D711" s="1089" t="s">
        <v>1448</v>
      </c>
      <c r="E711" s="1089" t="s">
        <v>1618</v>
      </c>
      <c r="I711" s="1026" t="str">
        <f t="shared" si="76"/>
        <v/>
      </c>
      <c r="J711" s="1376"/>
      <c r="K711" s="1376" t="str">
        <f t="shared" si="77"/>
        <v/>
      </c>
      <c r="L711" s="1089" t="s">
        <v>1481</v>
      </c>
      <c r="M711" s="1376">
        <v>694</v>
      </c>
      <c r="N711" s="1376"/>
      <c r="R711" s="1376" t="s">
        <v>1627</v>
      </c>
    </row>
    <row r="712" spans="1:18" s="1370" customFormat="1" x14ac:dyDescent="0.25">
      <c r="A712" s="1118" t="s">
        <v>1588</v>
      </c>
      <c r="B712" s="1089" t="str">
        <f t="shared" ca="1" si="74"/>
        <v>P121</v>
      </c>
      <c r="C712" s="1089" t="str">
        <f t="shared" ca="1" si="75"/>
        <v>P122</v>
      </c>
      <c r="D712" s="1089" t="s">
        <v>1448</v>
      </c>
      <c r="E712" s="1089" t="s">
        <v>1618</v>
      </c>
      <c r="I712" s="1026" t="str">
        <f t="shared" si="76"/>
        <v>Qualifying Cycle</v>
      </c>
      <c r="J712" s="1376" t="str">
        <f t="shared" ref="J712:J749" si="78">IF(M712&lt;&gt;"",Q$1&amp;M712,"")</f>
        <v>695</v>
      </c>
      <c r="K712" s="1376" t="str">
        <f t="shared" si="77"/>
        <v>Incentives Worksheet</v>
      </c>
      <c r="L712" s="1089" t="s">
        <v>1588</v>
      </c>
      <c r="M712" s="1376">
        <v>695</v>
      </c>
      <c r="N712" s="1376"/>
      <c r="R712" s="1376" t="s">
        <v>1627</v>
      </c>
    </row>
    <row r="713" spans="1:18" s="1370" customFormat="1" x14ac:dyDescent="0.25">
      <c r="A713" s="1118" t="s">
        <v>1589</v>
      </c>
      <c r="B713" s="1089" t="str">
        <f t="shared" ca="1" si="74"/>
        <v>R121</v>
      </c>
      <c r="C713" s="1089" t="str">
        <f t="shared" ca="1" si="75"/>
        <v>R122</v>
      </c>
      <c r="D713" s="1089" t="s">
        <v>1448</v>
      </c>
      <c r="E713" s="1089" t="s">
        <v>1618</v>
      </c>
      <c r="I713" s="1026" t="str">
        <f t="shared" si="76"/>
        <v>Incentive Calendar</v>
      </c>
      <c r="J713" s="1376" t="str">
        <f t="shared" si="78"/>
        <v>696</v>
      </c>
      <c r="K713" s="1376" t="str">
        <f t="shared" si="77"/>
        <v>Incentives Worksheet</v>
      </c>
      <c r="L713" s="1089" t="s">
        <v>1589</v>
      </c>
      <c r="M713" s="1376">
        <v>696</v>
      </c>
      <c r="N713" s="1376"/>
      <c r="R713" s="1376" t="s">
        <v>1627</v>
      </c>
    </row>
    <row r="714" spans="1:18" s="1370" customFormat="1" x14ac:dyDescent="0.25">
      <c r="A714" s="1118" t="s">
        <v>1590</v>
      </c>
      <c r="B714" s="1089" t="str">
        <f t="shared" ca="1" si="74"/>
        <v>T121</v>
      </c>
      <c r="C714" s="1089" t="str">
        <f t="shared" ca="1" si="75"/>
        <v>T122</v>
      </c>
      <c r="D714" s="1089" t="s">
        <v>1448</v>
      </c>
      <c r="E714" s="1089" t="s">
        <v>1618</v>
      </c>
      <c r="I714" s="1026" t="str">
        <f t="shared" si="76"/>
        <v>Post to GL Payment Method Flag</v>
      </c>
      <c r="J714" s="1376" t="str">
        <f t="shared" si="78"/>
        <v>697</v>
      </c>
      <c r="K714" s="1376" t="str">
        <f t="shared" si="77"/>
        <v>Incentives Worksheet</v>
      </c>
      <c r="L714" s="1089" t="s">
        <v>1590</v>
      </c>
      <c r="M714" s="1376">
        <v>697</v>
      </c>
      <c r="N714" s="1376"/>
      <c r="R714" s="1376" t="s">
        <v>1627</v>
      </c>
    </row>
    <row r="715" spans="1:18" s="1370" customFormat="1" x14ac:dyDescent="0.25">
      <c r="A715" s="1118" t="s">
        <v>1484</v>
      </c>
      <c r="B715" s="1089" t="str">
        <f ca="1">IFERROR(_xlfn.CONCAT("C",MATCH(A715,INDIRECT("'"&amp;E715&amp;"'!C"&amp;$O$706&amp;":C"&amp;$O$708),0)+$O$706-1),"")</f>
        <v>C125</v>
      </c>
      <c r="C715" s="1089" t="str">
        <f ca="1">IFERROR(_xlfn.CONCAT("D",MATCH(A715,INDIRECT("'"&amp;E715&amp;"'!C"&amp;$O$706&amp;":C"&amp;$O$708),0)+$O$706-1),"")</f>
        <v>D125</v>
      </c>
      <c r="D715" s="1089" t="s">
        <v>1448</v>
      </c>
      <c r="E715" s="1089" t="s">
        <v>1618</v>
      </c>
      <c r="I715" s="1026" t="str">
        <f t="shared" si="76"/>
        <v/>
      </c>
      <c r="J715" s="1376"/>
      <c r="K715" s="1376" t="str">
        <f t="shared" si="77"/>
        <v/>
      </c>
      <c r="L715" s="1089" t="s">
        <v>1484</v>
      </c>
      <c r="M715" s="1376">
        <v>698</v>
      </c>
      <c r="N715" s="1376"/>
      <c r="R715" s="1376" t="s">
        <v>1627</v>
      </c>
    </row>
    <row r="716" spans="1:18" s="1370" customFormat="1" x14ac:dyDescent="0.25">
      <c r="A716" s="1118" t="s">
        <v>1485</v>
      </c>
      <c r="B716" s="1089" t="str">
        <f ca="1">IFERROR(_xlfn.CONCAT("C",MATCH(A716,INDIRECT("'"&amp;E716&amp;"'!C"&amp;$O$706&amp;":C"&amp;$O$708),0)+$O$706-1),"")</f>
        <v>C127</v>
      </c>
      <c r="C716" s="1089" t="str">
        <f ca="1">IFERROR(_xlfn.CONCAT("D",MATCH(A716,INDIRECT("'"&amp;E716&amp;"'!C"&amp;$O$706&amp;":C"&amp;$O$708),0)+$O$706-1),"")</f>
        <v>D127</v>
      </c>
      <c r="D716" s="1089" t="s">
        <v>1448</v>
      </c>
      <c r="E716" s="1089" t="s">
        <v>1618</v>
      </c>
      <c r="I716" s="1026" t="str">
        <f t="shared" si="76"/>
        <v/>
      </c>
      <c r="J716" s="1376"/>
      <c r="K716" s="1376" t="str">
        <f t="shared" si="77"/>
        <v/>
      </c>
      <c r="L716" s="1089" t="s">
        <v>1485</v>
      </c>
      <c r="M716" s="1376">
        <v>699</v>
      </c>
      <c r="N716" s="1376"/>
      <c r="R716" s="1376" t="s">
        <v>1627</v>
      </c>
    </row>
    <row r="717" spans="1:18" s="1370" customFormat="1" ht="30" x14ac:dyDescent="0.25">
      <c r="A717" s="1118" t="s">
        <v>1597</v>
      </c>
      <c r="B717" s="1089" t="str">
        <f ca="1">IFERROR(_xlfn.CONCAT("C",MATCH(A717,INDIRECT("'"&amp;E717&amp;"'!C"&amp;$O$706&amp;":C"&amp;$O$708),0)+$O$706-1),"")</f>
        <v>C131</v>
      </c>
      <c r="C717" s="1089" t="str">
        <f ca="1">IFERROR(_xlfn.CONCAT("D",MATCH(A717,INDIRECT("'"&amp;E717&amp;"'!C"&amp;$O$706&amp;":C"&amp;$O$708),0)+$O$706-1),"")</f>
        <v>D131</v>
      </c>
      <c r="D717" s="1089" t="s">
        <v>1448</v>
      </c>
      <c r="E717" s="1089" t="s">
        <v>1618</v>
      </c>
      <c r="I717" s="1026" t="str">
        <f t="shared" si="76"/>
        <v>Incentive Dates Match Agreement Dates Flag</v>
      </c>
      <c r="J717" s="1376" t="str">
        <f t="shared" si="78"/>
        <v>700</v>
      </c>
      <c r="K717" s="1376" t="str">
        <f t="shared" si="77"/>
        <v>Incentives Worksheet</v>
      </c>
      <c r="L717" s="1089" t="s">
        <v>1597</v>
      </c>
      <c r="M717" s="1376">
        <v>700</v>
      </c>
      <c r="N717" s="1376"/>
      <c r="R717" s="1376" t="s">
        <v>1627</v>
      </c>
    </row>
    <row r="718" spans="1:18" s="1370" customFormat="1" x14ac:dyDescent="0.25">
      <c r="A718" s="1118" t="s">
        <v>1594</v>
      </c>
      <c r="B718" s="1089" t="str">
        <f ca="1">_xlfn.CONCAT(IFERROR(SUBSTITUTE(ADDRESS(1,MATCH(A718,INDIRECT("'"&amp;E718&amp;"'"&amp;"!A" &amp; $O$706 + 12 &amp; ":Z" &amp; $O$706+ 12),0),4),1,""),""),$O$706 + 12)</f>
        <v>H131</v>
      </c>
      <c r="C718" s="1089" t="str">
        <f ca="1">_xlfn.CONCAT(IFERROR(SUBSTITUTE(ADDRESS(1,MATCH(A718,INDIRECT("'"&amp;E718&amp;"'"&amp;"!A" &amp; $O$706 + 12 &amp; ":Z" &amp; $O$706+ 12),0),4),1,""),""),$O$706 + 13)</f>
        <v>H132</v>
      </c>
      <c r="D718" s="1089" t="s">
        <v>1448</v>
      </c>
      <c r="E718" s="1089" t="s">
        <v>1618</v>
      </c>
      <c r="I718" s="1026" t="str">
        <f t="shared" si="76"/>
        <v>Include All Customers Flag</v>
      </c>
      <c r="J718" s="1376" t="str">
        <f t="shared" si="78"/>
        <v>701</v>
      </c>
      <c r="K718" s="1376" t="str">
        <f t="shared" si="77"/>
        <v>Incentives Worksheet</v>
      </c>
      <c r="L718" s="1089" t="s">
        <v>1594</v>
      </c>
      <c r="M718" s="1376">
        <v>701</v>
      </c>
      <c r="N718" s="1376"/>
      <c r="R718" s="1376" t="s">
        <v>1627</v>
      </c>
    </row>
    <row r="719" spans="1:18" s="1370" customFormat="1" x14ac:dyDescent="0.25">
      <c r="A719" s="1118" t="s">
        <v>1608</v>
      </c>
      <c r="B719" s="1089" t="str">
        <f ca="1">_xlfn.CONCAT(IFERROR(SUBSTITUTE(ADDRESS(1,MATCH(A719,INDIRECT("'"&amp;E719&amp;"'"&amp;"!A" &amp; $O$706 + 12 &amp; ":Z" &amp; $O$706+ 12),0),4),1,""),""),$O$706 + 12)</f>
        <v>J131</v>
      </c>
      <c r="C719" s="1089" t="str">
        <f ca="1">_xlfn.CONCAT(IFERROR(SUBSTITUTE(ADDRESS(1,MATCH(A719,INDIRECT("'"&amp;E719&amp;"'"&amp;"!A" &amp; $O$706 + 12 &amp; ":Z" &amp; $O$706+ 12),0),4),1,""),""),$O$706 + 13)</f>
        <v>J132</v>
      </c>
      <c r="D719" s="1089" t="s">
        <v>1448</v>
      </c>
      <c r="E719" s="1089" t="s">
        <v>1618</v>
      </c>
      <c r="I719" s="1026" t="str">
        <f t="shared" si="76"/>
        <v>Customer Aggregation</v>
      </c>
      <c r="J719" s="1376" t="str">
        <f t="shared" si="78"/>
        <v>702</v>
      </c>
      <c r="K719" s="1376" t="str">
        <f t="shared" si="77"/>
        <v>Incentives Worksheet</v>
      </c>
      <c r="L719" s="1089" t="s">
        <v>1608</v>
      </c>
      <c r="M719" s="1376">
        <v>702</v>
      </c>
      <c r="N719" s="1376"/>
      <c r="R719" s="1376" t="s">
        <v>1627</v>
      </c>
    </row>
    <row r="720" spans="1:18" s="1370" customFormat="1" x14ac:dyDescent="0.25">
      <c r="A720" s="1118" t="s">
        <v>1486</v>
      </c>
      <c r="B720" s="1089" t="str">
        <f ca="1">_xlfn.IFNA(_xlfn.CONCAT(SUBSTITUTE(ADDRESS(1,MATCH(A720,INDIRECT("'"&amp;E720&amp;"'"&amp;"!A" &amp; $O$706 + 5 &amp; ":Z" &amp; $O$706+ 5),0),4),1,""),$O$706 + 6),"")</f>
        <v>H125</v>
      </c>
      <c r="C720" s="1089" t="str">
        <f t="shared" ref="C720:C734" ca="1" si="79">_xlfn.IFNA(SUBSTITUTE(ADDRESS(1,MATCH(A720,INDIRECT("'"&amp;E720&amp;"'"&amp;"!A" &amp; $O$706 + 5 &amp; ":Z" &amp; $O$706+ 5),0),4),1,""),"")</f>
        <v>H</v>
      </c>
      <c r="D720" s="1089" t="s">
        <v>1455</v>
      </c>
      <c r="E720" s="1089" t="s">
        <v>1618</v>
      </c>
      <c r="I720" s="1026" t="str">
        <f t="shared" si="76"/>
        <v/>
      </c>
      <c r="J720" s="1376"/>
      <c r="K720" s="1376" t="str">
        <f t="shared" si="77"/>
        <v/>
      </c>
      <c r="L720" s="1089" t="s">
        <v>1486</v>
      </c>
      <c r="M720" s="1376">
        <v>703</v>
      </c>
      <c r="N720" s="1376"/>
      <c r="R720" s="1376" t="s">
        <v>1627</v>
      </c>
    </row>
    <row r="721" spans="1:18" s="1370" customFormat="1" x14ac:dyDescent="0.25">
      <c r="A721" s="1118" t="s">
        <v>1487</v>
      </c>
      <c r="B721" s="1089" t="str">
        <f ca="1">_xlfn.IFNA(_xlfn.CONCAT(SUBSTITUTE(ADDRESS(1,MATCH(A721,INDIRECT("'"&amp;E721&amp;"'"&amp;"!A" &amp; $O$706 + 5 &amp; ":Z" &amp; $O$706+ 5),0),4),1,""),$O$706 + 6),"")</f>
        <v>J125</v>
      </c>
      <c r="C721" s="1089" t="str">
        <f t="shared" ca="1" si="79"/>
        <v>J</v>
      </c>
      <c r="D721" s="1089" t="s">
        <v>1455</v>
      </c>
      <c r="E721" s="1089" t="s">
        <v>1618</v>
      </c>
      <c r="I721" s="1026" t="str">
        <f t="shared" si="76"/>
        <v/>
      </c>
      <c r="J721" s="1376"/>
      <c r="K721" s="1376" t="str">
        <f t="shared" si="77"/>
        <v/>
      </c>
      <c r="L721" s="1089" t="s">
        <v>1487</v>
      </c>
      <c r="M721" s="1376">
        <v>704</v>
      </c>
      <c r="N721" s="1376"/>
      <c r="R721" s="1376" t="s">
        <v>1627</v>
      </c>
    </row>
    <row r="722" spans="1:18" s="1370" customFormat="1" x14ac:dyDescent="0.25">
      <c r="A722" s="1118" t="s">
        <v>1488</v>
      </c>
      <c r="B722" s="1089" t="str">
        <f ca="1">_xlfn.IFNA(_xlfn.CONCAT(SUBSTITUTE(ADDRESS(1,MATCH(A722,INDIRECT("'"&amp;E722&amp;"'"&amp;"!A" &amp; $O$706 + 5 &amp; ":Z" &amp; $O$706+ 5),0),4),1,""),$O$706 + 6),"")</f>
        <v>L125</v>
      </c>
      <c r="C722" s="1089" t="str">
        <f t="shared" ca="1" si="79"/>
        <v>L</v>
      </c>
      <c r="D722" s="1089" t="s">
        <v>1455</v>
      </c>
      <c r="E722" s="1089" t="s">
        <v>1618</v>
      </c>
      <c r="I722" s="1026" t="str">
        <f t="shared" si="76"/>
        <v/>
      </c>
      <c r="J722" s="1376"/>
      <c r="K722" s="1376" t="str">
        <f t="shared" si="77"/>
        <v/>
      </c>
      <c r="L722" s="1089" t="s">
        <v>1488</v>
      </c>
      <c r="M722" s="1376">
        <v>705</v>
      </c>
      <c r="N722" s="1376"/>
      <c r="R722" s="1376" t="s">
        <v>1627</v>
      </c>
    </row>
    <row r="723" spans="1:18" s="1370" customFormat="1" x14ac:dyDescent="0.25">
      <c r="A723" s="1118" t="s">
        <v>1486</v>
      </c>
      <c r="B723" s="1089" t="str">
        <f ca="1">_xlfn.IFNA(_xlfn.CONCAT(SUBSTITUTE(ADDRESS(1,MATCH(A723,INDIRECT("'"&amp;E723&amp;"'"&amp;"!A" &amp; $O$706 + 5 &amp; ":Z" &amp; $O$706+ 5),0),4),1,""),$O$706 + 7),"")</f>
        <v>H126</v>
      </c>
      <c r="C723" s="1089" t="str">
        <f t="shared" ca="1" si="79"/>
        <v>H</v>
      </c>
      <c r="D723" s="1089" t="s">
        <v>1455</v>
      </c>
      <c r="E723" s="1089" t="s">
        <v>1618</v>
      </c>
      <c r="I723" s="1026" t="str">
        <f t="shared" si="76"/>
        <v/>
      </c>
      <c r="J723" s="1376"/>
      <c r="K723" s="1376" t="str">
        <f t="shared" si="77"/>
        <v/>
      </c>
      <c r="L723" s="1089" t="s">
        <v>1486</v>
      </c>
      <c r="M723" s="1376">
        <v>706</v>
      </c>
      <c r="N723" s="1376"/>
      <c r="R723" s="1376" t="s">
        <v>1627</v>
      </c>
    </row>
    <row r="724" spans="1:18" s="1370" customFormat="1" x14ac:dyDescent="0.25">
      <c r="A724" s="1118" t="s">
        <v>1487</v>
      </c>
      <c r="B724" s="1089" t="str">
        <f ca="1">_xlfn.IFNA(_xlfn.CONCAT(SUBSTITUTE(ADDRESS(1,MATCH(A724,INDIRECT("'"&amp;E724&amp;"'"&amp;"!A" &amp; $O$706 + 5 &amp; ":Z" &amp; $O$706+ 5),0),4),1,""),$O$706 + 7),"")</f>
        <v>J126</v>
      </c>
      <c r="C724" s="1089" t="str">
        <f t="shared" ca="1" si="79"/>
        <v>J</v>
      </c>
      <c r="D724" s="1089" t="s">
        <v>1455</v>
      </c>
      <c r="E724" s="1089" t="s">
        <v>1618</v>
      </c>
      <c r="I724" s="1026" t="str">
        <f t="shared" si="76"/>
        <v/>
      </c>
      <c r="J724" s="1376"/>
      <c r="K724" s="1376" t="str">
        <f t="shared" si="77"/>
        <v/>
      </c>
      <c r="L724" s="1089" t="s">
        <v>1487</v>
      </c>
      <c r="M724" s="1376">
        <v>707</v>
      </c>
      <c r="N724" s="1376"/>
      <c r="R724" s="1376" t="s">
        <v>1627</v>
      </c>
    </row>
    <row r="725" spans="1:18" s="1370" customFormat="1" x14ac:dyDescent="0.25">
      <c r="A725" s="1118" t="s">
        <v>1488</v>
      </c>
      <c r="B725" s="1089" t="str">
        <f ca="1">_xlfn.IFNA(_xlfn.CONCAT(SUBSTITUTE(ADDRESS(1,MATCH(A725,INDIRECT("'"&amp;E725&amp;"'"&amp;"!A" &amp; $O$706 + 5 &amp; ":Z" &amp; $O$706+ 5),0),4),1,""),$O$706 + 7),"")</f>
        <v>L126</v>
      </c>
      <c r="C725" s="1089" t="str">
        <f t="shared" ca="1" si="79"/>
        <v>L</v>
      </c>
      <c r="D725" s="1089" t="s">
        <v>1455</v>
      </c>
      <c r="E725" s="1089" t="s">
        <v>1618</v>
      </c>
      <c r="I725" s="1026" t="str">
        <f t="shared" si="76"/>
        <v/>
      </c>
      <c r="J725" s="1376"/>
      <c r="K725" s="1376" t="str">
        <f t="shared" si="77"/>
        <v/>
      </c>
      <c r="L725" s="1089" t="s">
        <v>1488</v>
      </c>
      <c r="M725" s="1376">
        <v>708</v>
      </c>
      <c r="N725" s="1376"/>
      <c r="R725" s="1376" t="s">
        <v>1627</v>
      </c>
    </row>
    <row r="726" spans="1:18" s="1370" customFormat="1" x14ac:dyDescent="0.25">
      <c r="A726" s="1118" t="s">
        <v>1486</v>
      </c>
      <c r="B726" s="1089" t="str">
        <f ca="1">_xlfn.IFNA(_xlfn.CONCAT(SUBSTITUTE(ADDRESS(1,MATCH(A726,INDIRECT("'"&amp;E726&amp;"'"&amp;"!A" &amp; $O$706 + 5 &amp; ":Z" &amp; $O$706+ 5),0),4),1,""),$O$706 + 8),"")</f>
        <v>H127</v>
      </c>
      <c r="C726" s="1089" t="str">
        <f t="shared" ca="1" si="79"/>
        <v>H</v>
      </c>
      <c r="D726" s="1089" t="s">
        <v>1455</v>
      </c>
      <c r="E726" s="1089" t="s">
        <v>1618</v>
      </c>
      <c r="I726" s="1026" t="str">
        <f t="shared" si="76"/>
        <v/>
      </c>
      <c r="J726" s="1376"/>
      <c r="K726" s="1376" t="str">
        <f t="shared" si="77"/>
        <v/>
      </c>
      <c r="L726" s="1089" t="s">
        <v>1486</v>
      </c>
      <c r="M726" s="1376">
        <v>709</v>
      </c>
      <c r="N726" s="1376"/>
      <c r="R726" s="1376" t="s">
        <v>1627</v>
      </c>
    </row>
    <row r="727" spans="1:18" s="1370" customFormat="1" x14ac:dyDescent="0.25">
      <c r="A727" s="1118" t="s">
        <v>1487</v>
      </c>
      <c r="B727" s="1089" t="str">
        <f ca="1">_xlfn.IFNA(_xlfn.CONCAT(SUBSTITUTE(ADDRESS(1,MATCH(A727,INDIRECT("'"&amp;E727&amp;"'"&amp;"!A" &amp; $O$706 + 5 &amp; ":Z" &amp; $O$706+ 5),0),4),1,""),$O$706 + 8),"")</f>
        <v>J127</v>
      </c>
      <c r="C727" s="1089" t="str">
        <f t="shared" ca="1" si="79"/>
        <v>J</v>
      </c>
      <c r="D727" s="1089" t="s">
        <v>1455</v>
      </c>
      <c r="E727" s="1089" t="s">
        <v>1618</v>
      </c>
      <c r="I727" s="1026" t="str">
        <f t="shared" si="76"/>
        <v/>
      </c>
      <c r="J727" s="1376"/>
      <c r="K727" s="1376" t="str">
        <f t="shared" si="77"/>
        <v/>
      </c>
      <c r="L727" s="1089" t="s">
        <v>1487</v>
      </c>
      <c r="M727" s="1376">
        <v>710</v>
      </c>
      <c r="N727" s="1376"/>
      <c r="R727" s="1376" t="s">
        <v>1627</v>
      </c>
    </row>
    <row r="728" spans="1:18" s="1370" customFormat="1" x14ac:dyDescent="0.25">
      <c r="A728" s="1118" t="s">
        <v>1488</v>
      </c>
      <c r="B728" s="1089" t="str">
        <f ca="1">_xlfn.IFNA(_xlfn.CONCAT(SUBSTITUTE(ADDRESS(1,MATCH(A728,INDIRECT("'"&amp;E728&amp;"'"&amp;"!A" &amp; $O$706 + 5 &amp; ":Z" &amp; $O$706+ 5),0),4),1,""),$O$706 + 8),"")</f>
        <v>L127</v>
      </c>
      <c r="C728" s="1089" t="str">
        <f t="shared" ca="1" si="79"/>
        <v>L</v>
      </c>
      <c r="D728" s="1089" t="s">
        <v>1455</v>
      </c>
      <c r="E728" s="1089" t="s">
        <v>1618</v>
      </c>
      <c r="I728" s="1026" t="str">
        <f t="shared" si="76"/>
        <v/>
      </c>
      <c r="J728" s="1376"/>
      <c r="K728" s="1376" t="str">
        <f t="shared" si="77"/>
        <v/>
      </c>
      <c r="L728" s="1089" t="s">
        <v>1488</v>
      </c>
      <c r="M728" s="1376">
        <v>711</v>
      </c>
      <c r="N728" s="1376"/>
      <c r="R728" s="1376" t="s">
        <v>1627</v>
      </c>
    </row>
    <row r="729" spans="1:18" s="1370" customFormat="1" x14ac:dyDescent="0.25">
      <c r="A729" s="1118" t="s">
        <v>1486</v>
      </c>
      <c r="B729" s="1089" t="str">
        <f ca="1">_xlfn.IFNA(_xlfn.CONCAT(SUBSTITUTE(ADDRESS(1,MATCH(A729,INDIRECT("'"&amp;E729&amp;"'"&amp;"!A" &amp; $O$706 + 5 &amp; ":Z" &amp; $O$706+ 5),0),4),1,""),$O$706 + 9),"")</f>
        <v>H128</v>
      </c>
      <c r="C729" s="1089" t="str">
        <f t="shared" ca="1" si="79"/>
        <v>H</v>
      </c>
      <c r="D729" s="1089" t="s">
        <v>1455</v>
      </c>
      <c r="E729" s="1089" t="s">
        <v>1618</v>
      </c>
      <c r="I729" s="1026" t="str">
        <f t="shared" si="76"/>
        <v/>
      </c>
      <c r="J729" s="1376"/>
      <c r="K729" s="1376" t="str">
        <f t="shared" si="77"/>
        <v/>
      </c>
      <c r="L729" s="1089" t="s">
        <v>1486</v>
      </c>
      <c r="M729" s="1376">
        <v>712</v>
      </c>
      <c r="N729" s="1376"/>
      <c r="R729" s="1376" t="s">
        <v>1627</v>
      </c>
    </row>
    <row r="730" spans="1:18" s="1370" customFormat="1" x14ac:dyDescent="0.25">
      <c r="A730" s="1118" t="s">
        <v>1487</v>
      </c>
      <c r="B730" s="1089" t="str">
        <f ca="1">_xlfn.IFNA(_xlfn.CONCAT(SUBSTITUTE(ADDRESS(1,MATCH(A730,INDIRECT("'"&amp;E730&amp;"'"&amp;"!A" &amp; $O$706 + 5 &amp; ":Z" &amp; $O$706+ 5),0),4),1,""),$O$706 + 9),"")</f>
        <v>J128</v>
      </c>
      <c r="C730" s="1089" t="str">
        <f t="shared" ca="1" si="79"/>
        <v>J</v>
      </c>
      <c r="D730" s="1089" t="s">
        <v>1455</v>
      </c>
      <c r="E730" s="1089" t="s">
        <v>1618</v>
      </c>
      <c r="I730" s="1026" t="str">
        <f t="shared" si="76"/>
        <v/>
      </c>
      <c r="J730" s="1376"/>
      <c r="K730" s="1376" t="str">
        <f t="shared" si="77"/>
        <v/>
      </c>
      <c r="L730" s="1089" t="s">
        <v>1487</v>
      </c>
      <c r="M730" s="1376">
        <v>713</v>
      </c>
      <c r="N730" s="1376"/>
      <c r="R730" s="1376" t="s">
        <v>1627</v>
      </c>
    </row>
    <row r="731" spans="1:18" s="1370" customFormat="1" x14ac:dyDescent="0.25">
      <c r="A731" s="1118" t="s">
        <v>1488</v>
      </c>
      <c r="B731" s="1089" t="str">
        <f ca="1">_xlfn.IFNA(_xlfn.CONCAT(SUBSTITUTE(ADDRESS(1,MATCH(A731,INDIRECT("'"&amp;E731&amp;"'"&amp;"!A" &amp; $O$706 + 5 &amp; ":Z" &amp; $O$706+ 5),0),4),1,""),$O$706 + 9),"")</f>
        <v>L128</v>
      </c>
      <c r="C731" s="1089" t="str">
        <f t="shared" ca="1" si="79"/>
        <v>L</v>
      </c>
      <c r="D731" s="1089" t="s">
        <v>1455</v>
      </c>
      <c r="E731" s="1089" t="s">
        <v>1618</v>
      </c>
      <c r="I731" s="1026" t="str">
        <f t="shared" si="76"/>
        <v/>
      </c>
      <c r="J731" s="1376"/>
      <c r="K731" s="1376" t="str">
        <f t="shared" si="77"/>
        <v/>
      </c>
      <c r="L731" s="1089" t="s">
        <v>1488</v>
      </c>
      <c r="M731" s="1376">
        <v>714</v>
      </c>
      <c r="N731" s="1376"/>
      <c r="R731" s="1376" t="s">
        <v>1627</v>
      </c>
    </row>
    <row r="732" spans="1:18" s="1370" customFormat="1" x14ac:dyDescent="0.25">
      <c r="A732" s="1118" t="s">
        <v>1486</v>
      </c>
      <c r="B732" s="1089" t="str">
        <f ca="1">_xlfn.IFNA(_xlfn.CONCAT(SUBSTITUTE(ADDRESS(1,MATCH(A732,INDIRECT("'"&amp;E732&amp;"'"&amp;"!A" &amp; $O$706 + 5 &amp; ":Z" &amp; $O$706+ 5),0),4),1,""),$O$706 + 10),"")</f>
        <v>H129</v>
      </c>
      <c r="C732" s="1089" t="str">
        <f t="shared" ca="1" si="79"/>
        <v>H</v>
      </c>
      <c r="D732" s="1089" t="s">
        <v>1455</v>
      </c>
      <c r="E732" s="1089" t="s">
        <v>1618</v>
      </c>
      <c r="I732" s="1026" t="str">
        <f t="shared" si="76"/>
        <v/>
      </c>
      <c r="J732" s="1376"/>
      <c r="K732" s="1376" t="str">
        <f t="shared" si="77"/>
        <v/>
      </c>
      <c r="L732" s="1089" t="s">
        <v>1486</v>
      </c>
      <c r="M732" s="1376">
        <v>715</v>
      </c>
      <c r="N732" s="1376"/>
      <c r="R732" s="1376" t="s">
        <v>1627</v>
      </c>
    </row>
    <row r="733" spans="1:18" s="1370" customFormat="1" x14ac:dyDescent="0.25">
      <c r="A733" s="1118" t="s">
        <v>1487</v>
      </c>
      <c r="B733" s="1089" t="str">
        <f ca="1">_xlfn.IFNA(_xlfn.CONCAT(SUBSTITUTE(ADDRESS(1,MATCH(A733,INDIRECT("'"&amp;E733&amp;"'"&amp;"!A" &amp; $O$706 + 5 &amp; ":Z" &amp; $O$706+ 5),0),4),1,""),$O$706 + 10),"")</f>
        <v>J129</v>
      </c>
      <c r="C733" s="1089" t="str">
        <f t="shared" ca="1" si="79"/>
        <v>J</v>
      </c>
      <c r="D733" s="1089" t="s">
        <v>1455</v>
      </c>
      <c r="E733" s="1089" t="s">
        <v>1618</v>
      </c>
      <c r="I733" s="1026" t="str">
        <f t="shared" si="76"/>
        <v/>
      </c>
      <c r="J733" s="1376"/>
      <c r="K733" s="1376" t="str">
        <f t="shared" si="77"/>
        <v/>
      </c>
      <c r="L733" s="1089" t="s">
        <v>1487</v>
      </c>
      <c r="M733" s="1376">
        <v>716</v>
      </c>
      <c r="N733" s="1376"/>
      <c r="R733" s="1376" t="s">
        <v>1627</v>
      </c>
    </row>
    <row r="734" spans="1:18" s="1370" customFormat="1" x14ac:dyDescent="0.25">
      <c r="A734" s="1118" t="s">
        <v>1488</v>
      </c>
      <c r="B734" s="1089" t="str">
        <f ca="1">_xlfn.IFNA(_xlfn.CONCAT(SUBSTITUTE(ADDRESS(1,MATCH(A734,INDIRECT("'"&amp;E734&amp;"'"&amp;"!A" &amp; $O$706 + 5 &amp; ":Z" &amp; $O$706+ 5),0),4),1,""),$O$706 + 10),"")</f>
        <v>L129</v>
      </c>
      <c r="C734" s="1089" t="str">
        <f t="shared" ca="1" si="79"/>
        <v>L</v>
      </c>
      <c r="D734" s="1089" t="s">
        <v>1455</v>
      </c>
      <c r="E734" s="1089" t="s">
        <v>1618</v>
      </c>
      <c r="I734" s="1026" t="str">
        <f t="shared" si="76"/>
        <v/>
      </c>
      <c r="J734" s="1376"/>
      <c r="K734" s="1376" t="str">
        <f t="shared" si="77"/>
        <v/>
      </c>
      <c r="L734" s="1089" t="s">
        <v>1488</v>
      </c>
      <c r="M734" s="1376">
        <v>717</v>
      </c>
      <c r="N734" s="1376"/>
      <c r="R734" s="1376" t="s">
        <v>1627</v>
      </c>
    </row>
    <row r="735" spans="1:18" s="1370" customFormat="1" x14ac:dyDescent="0.25">
      <c r="A735" s="1121" t="s">
        <v>1593</v>
      </c>
      <c r="B735" s="1089" t="str">
        <f ca="1">IFERROR(_xlfn.CONCAT("C",MATCH(A735,INDIRECT("'"&amp;E735&amp;"'!C"&amp;$O$736&amp;":C"&amp;$O$738),0)+$O$736-1),"")</f>
        <v>C139</v>
      </c>
      <c r="C735" s="1089" t="str">
        <f ca="1">IFERROR(_xlfn.CONCAT("D",MATCH(A735,INDIRECT("'"&amp;E735&amp;"'!C"&amp;$O$736&amp;":C"&amp;$O$738),0)+$O$736-1),"")</f>
        <v>D139</v>
      </c>
      <c r="D735" s="1089" t="s">
        <v>1448</v>
      </c>
      <c r="E735" s="1089" t="s">
        <v>1618</v>
      </c>
      <c r="I735" s="1026" t="str">
        <f t="shared" si="76"/>
        <v/>
      </c>
      <c r="J735" s="1376"/>
      <c r="K735" s="1376" t="str">
        <f t="shared" si="77"/>
        <v/>
      </c>
      <c r="L735" s="1089" t="s">
        <v>1593</v>
      </c>
      <c r="M735" s="1376">
        <v>718</v>
      </c>
      <c r="N735" s="1376"/>
      <c r="O735" s="1370" t="s">
        <v>742</v>
      </c>
      <c r="R735" s="1376" t="s">
        <v>1627</v>
      </c>
    </row>
    <row r="736" spans="1:18" s="1370" customFormat="1" x14ac:dyDescent="0.25">
      <c r="A736" s="1121" t="s">
        <v>1809</v>
      </c>
      <c r="B736" s="1089" t="str">
        <f ca="1">_xlfn.CONCAT(IFERROR(SUBSTITUTE(ADDRESS(1,MATCH(A736,INDIRECT("'"&amp;E736&amp;"'"&amp;"!A" &amp; $O$736 + 12 &amp; ":Z" &amp; $O$736+ 12),0),4),1,""),""),$O$736 + 12)</f>
        <v>T147</v>
      </c>
      <c r="C736" s="1089" t="str">
        <f ca="1">_xlfn.CONCAT(IFERROR(SUBSTITUTE(ADDRESS(1,MATCH(A736,INDIRECT("'"&amp;E736&amp;"'"&amp;"!A" &amp; $O$736 + 12 &amp; ":Z" &amp; $O$736+ 12),0),4),1,""),""),$O$736 + 13)</f>
        <v>T148</v>
      </c>
      <c r="D736" s="1089" t="s">
        <v>1448</v>
      </c>
      <c r="E736" s="1089" t="s">
        <v>1618</v>
      </c>
      <c r="I736" s="1026" t="str">
        <f t="shared" si="76"/>
        <v/>
      </c>
      <c r="J736" s="1376"/>
      <c r="K736" s="1376" t="str">
        <f t="shared" si="77"/>
        <v/>
      </c>
      <c r="L736" s="1089" t="s">
        <v>1809</v>
      </c>
      <c r="M736" s="1376">
        <v>719</v>
      </c>
      <c r="N736" s="1376"/>
      <c r="O736" s="1370">
        <f>'Configurable Tab'!H12</f>
        <v>135</v>
      </c>
      <c r="Q736" s="1370" t="s">
        <v>653</v>
      </c>
      <c r="R736" s="1376" t="s">
        <v>1627</v>
      </c>
    </row>
    <row r="737" spans="1:18" s="1370" customFormat="1" x14ac:dyDescent="0.25">
      <c r="A737" s="1121" t="s">
        <v>1482</v>
      </c>
      <c r="B737" s="1089" t="str">
        <f ca="1">IFERROR(_xlfn.CONCAT("C",MATCH(A737,INDIRECT("'"&amp;E737&amp;"'!C"&amp;$O$736&amp;":C"&amp;$O$738),0)+$O$736-1),"")</f>
        <v>C137</v>
      </c>
      <c r="C737" s="1089" t="str">
        <f ca="1">IFERROR(_xlfn.CONCAT("D",MATCH(A737,INDIRECT("'"&amp;E737&amp;"'!C"&amp;$O$736&amp;":C"&amp;$O$738),0)+$O$736-1),"")</f>
        <v>D137</v>
      </c>
      <c r="D737" s="1089" t="s">
        <v>1448</v>
      </c>
      <c r="E737" s="1089" t="s">
        <v>1618</v>
      </c>
      <c r="I737" s="1026" t="str">
        <f t="shared" si="76"/>
        <v/>
      </c>
      <c r="J737" s="1376"/>
      <c r="K737" s="1376" t="str">
        <f t="shared" si="77"/>
        <v/>
      </c>
      <c r="L737" s="1089" t="s">
        <v>1482</v>
      </c>
      <c r="M737" s="1376">
        <v>720</v>
      </c>
      <c r="N737" s="1376"/>
      <c r="O737" s="1370" t="s">
        <v>743</v>
      </c>
      <c r="R737" s="1376" t="s">
        <v>1627</v>
      </c>
    </row>
    <row r="738" spans="1:18" s="1370" customFormat="1" x14ac:dyDescent="0.25">
      <c r="A738" s="1121" t="s">
        <v>1479</v>
      </c>
      <c r="B738" s="1089" t="str">
        <f t="shared" ref="B738:B744" ca="1" si="80">_xlfn.CONCAT(IFERROR(SUBSTITUTE(ADDRESS(1,MATCH(A738,INDIRECT("'"&amp;E738&amp;"'"&amp;"!A" &amp; $O$736 + 2 &amp; ":Z" &amp; $O$736+ 2),0),4),1,""),""),$O$736 + 2)</f>
        <v>H137</v>
      </c>
      <c r="C738" s="1089" t="str">
        <f t="shared" ref="C738:C744" ca="1" si="81">_xlfn.CONCAT(IFERROR(SUBSTITUTE(ADDRESS(1,MATCH(A738,INDIRECT("'"&amp;E738&amp;"'"&amp;"!A" &amp; $O$736 + 2 &amp; ":Z" &amp; $O$736+ 2),0),4),1,""),""),$O$736 + 3)</f>
        <v>H138</v>
      </c>
      <c r="D738" s="1089" t="s">
        <v>1448</v>
      </c>
      <c r="E738" s="1089" t="s">
        <v>1618</v>
      </c>
      <c r="I738" s="1026" t="str">
        <f t="shared" si="76"/>
        <v/>
      </c>
      <c r="J738" s="1376"/>
      <c r="K738" s="1376" t="str">
        <f t="shared" si="77"/>
        <v/>
      </c>
      <c r="L738" s="1089" t="s">
        <v>1479</v>
      </c>
      <c r="M738" s="1376">
        <v>721</v>
      </c>
      <c r="N738" s="1376"/>
      <c r="O738" s="1370">
        <f>'Configurable Tab'!I12</f>
        <v>150</v>
      </c>
      <c r="R738" s="1376" t="s">
        <v>1627</v>
      </c>
    </row>
    <row r="739" spans="1:18" s="1370" customFormat="1" x14ac:dyDescent="0.25">
      <c r="A739" s="1121" t="s">
        <v>1480</v>
      </c>
      <c r="B739" s="1089" t="str">
        <f t="shared" ca="1" si="80"/>
        <v>J137</v>
      </c>
      <c r="C739" s="1089" t="str">
        <f t="shared" ca="1" si="81"/>
        <v>J138</v>
      </c>
      <c r="D739" s="1089" t="s">
        <v>1448</v>
      </c>
      <c r="E739" s="1089" t="s">
        <v>1618</v>
      </c>
      <c r="I739" s="1026" t="str">
        <f t="shared" si="76"/>
        <v/>
      </c>
      <c r="J739" s="1376"/>
      <c r="K739" s="1376" t="str">
        <f t="shared" si="77"/>
        <v/>
      </c>
      <c r="L739" s="1089" t="s">
        <v>1480</v>
      </c>
      <c r="M739" s="1376">
        <v>722</v>
      </c>
      <c r="N739" s="1376"/>
      <c r="O739" s="1370" t="s">
        <v>1745</v>
      </c>
      <c r="R739" s="1376" t="s">
        <v>1627</v>
      </c>
    </row>
    <row r="740" spans="1:18" s="1370" customFormat="1" x14ac:dyDescent="0.25">
      <c r="A740" s="1121" t="s">
        <v>1496</v>
      </c>
      <c r="B740" s="1089" t="str">
        <f t="shared" ca="1" si="80"/>
        <v>L137</v>
      </c>
      <c r="C740" s="1089" t="str">
        <f t="shared" ca="1" si="81"/>
        <v>L138</v>
      </c>
      <c r="D740" s="1089" t="s">
        <v>1448</v>
      </c>
      <c r="E740" s="1089" t="s">
        <v>1618</v>
      </c>
      <c r="I740" s="1026" t="str">
        <f t="shared" si="76"/>
        <v/>
      </c>
      <c r="J740" s="1376"/>
      <c r="K740" s="1376" t="str">
        <f t="shared" si="77"/>
        <v/>
      </c>
      <c r="L740" s="1089" t="s">
        <v>1496</v>
      </c>
      <c r="M740" s="1376">
        <v>723</v>
      </c>
      <c r="N740" s="1376"/>
      <c r="R740" s="1376" t="s">
        <v>1627</v>
      </c>
    </row>
    <row r="741" spans="1:18" s="1370" customFormat="1" x14ac:dyDescent="0.25">
      <c r="A741" s="1121" t="s">
        <v>1481</v>
      </c>
      <c r="B741" s="1089" t="str">
        <f t="shared" ca="1" si="80"/>
        <v>N137</v>
      </c>
      <c r="C741" s="1089" t="str">
        <f t="shared" ca="1" si="81"/>
        <v>N138</v>
      </c>
      <c r="D741" s="1089" t="s">
        <v>1448</v>
      </c>
      <c r="E741" s="1089" t="s">
        <v>1618</v>
      </c>
      <c r="I741" s="1026" t="str">
        <f t="shared" si="76"/>
        <v/>
      </c>
      <c r="J741" s="1376"/>
      <c r="K741" s="1376" t="str">
        <f t="shared" si="77"/>
        <v/>
      </c>
      <c r="L741" s="1089" t="s">
        <v>1481</v>
      </c>
      <c r="M741" s="1376">
        <v>724</v>
      </c>
      <c r="N741" s="1376"/>
      <c r="R741" s="1376" t="s">
        <v>1627</v>
      </c>
    </row>
    <row r="742" spans="1:18" s="1370" customFormat="1" x14ac:dyDescent="0.25">
      <c r="A742" s="1121" t="s">
        <v>1588</v>
      </c>
      <c r="B742" s="1089" t="str">
        <f t="shared" ca="1" si="80"/>
        <v>P137</v>
      </c>
      <c r="C742" s="1089" t="str">
        <f t="shared" ca="1" si="81"/>
        <v>P138</v>
      </c>
      <c r="D742" s="1089" t="s">
        <v>1448</v>
      </c>
      <c r="E742" s="1089" t="s">
        <v>1618</v>
      </c>
      <c r="I742" s="1026" t="str">
        <f t="shared" si="76"/>
        <v>Qualifying Cycle</v>
      </c>
      <c r="J742" s="1376" t="str">
        <f t="shared" si="78"/>
        <v>725</v>
      </c>
      <c r="K742" s="1376" t="str">
        <f t="shared" si="77"/>
        <v>Incentives Worksheet</v>
      </c>
      <c r="L742" s="1089" t="s">
        <v>1588</v>
      </c>
      <c r="M742" s="1376">
        <v>725</v>
      </c>
      <c r="N742" s="1376"/>
      <c r="R742" s="1376" t="s">
        <v>1627</v>
      </c>
    </row>
    <row r="743" spans="1:18" s="1370" customFormat="1" x14ac:dyDescent="0.25">
      <c r="A743" s="1121" t="s">
        <v>1589</v>
      </c>
      <c r="B743" s="1089" t="str">
        <f t="shared" ca="1" si="80"/>
        <v>R137</v>
      </c>
      <c r="C743" s="1089" t="str">
        <f t="shared" ca="1" si="81"/>
        <v>R138</v>
      </c>
      <c r="D743" s="1089" t="s">
        <v>1448</v>
      </c>
      <c r="E743" s="1089" t="s">
        <v>1618</v>
      </c>
      <c r="I743" s="1026" t="str">
        <f t="shared" si="76"/>
        <v>Incentive Calendar</v>
      </c>
      <c r="J743" s="1376" t="str">
        <f t="shared" si="78"/>
        <v>726</v>
      </c>
      <c r="K743" s="1376" t="str">
        <f t="shared" si="77"/>
        <v>Incentives Worksheet</v>
      </c>
      <c r="L743" s="1089" t="s">
        <v>1589</v>
      </c>
      <c r="M743" s="1376">
        <v>726</v>
      </c>
      <c r="N743" s="1376"/>
      <c r="R743" s="1376" t="s">
        <v>1627</v>
      </c>
    </row>
    <row r="744" spans="1:18" s="1370" customFormat="1" x14ac:dyDescent="0.25">
      <c r="A744" s="1121" t="s">
        <v>1590</v>
      </c>
      <c r="B744" s="1089" t="str">
        <f t="shared" ca="1" si="80"/>
        <v>T137</v>
      </c>
      <c r="C744" s="1089" t="str">
        <f t="shared" ca="1" si="81"/>
        <v>T138</v>
      </c>
      <c r="D744" s="1089" t="s">
        <v>1448</v>
      </c>
      <c r="E744" s="1089" t="s">
        <v>1618</v>
      </c>
      <c r="I744" s="1026" t="str">
        <f t="shared" si="76"/>
        <v>Post to GL Payment Method Flag</v>
      </c>
      <c r="J744" s="1376" t="str">
        <f t="shared" si="78"/>
        <v>727</v>
      </c>
      <c r="K744" s="1376" t="str">
        <f t="shared" si="77"/>
        <v>Incentives Worksheet</v>
      </c>
      <c r="L744" s="1089" t="s">
        <v>1590</v>
      </c>
      <c r="M744" s="1376">
        <v>727</v>
      </c>
      <c r="N744" s="1376"/>
      <c r="R744" s="1376" t="s">
        <v>1627</v>
      </c>
    </row>
    <row r="745" spans="1:18" s="1370" customFormat="1" x14ac:dyDescent="0.25">
      <c r="A745" s="1121" t="s">
        <v>1484</v>
      </c>
      <c r="B745" s="1089" t="str">
        <f ca="1">IFERROR(_xlfn.CONCAT("C",MATCH(A745,INDIRECT("'"&amp;E745&amp;"'!C"&amp;$O$736&amp;":C"&amp;$O$738),0)+$O$736-1),"")</f>
        <v>C141</v>
      </c>
      <c r="C745" s="1089" t="str">
        <f ca="1">IFERROR(_xlfn.CONCAT("D",MATCH(A745,INDIRECT("'"&amp;E745&amp;"'!C"&amp;$O$736&amp;":C"&amp;$O$738),0)+$O$736-1),"")</f>
        <v>D141</v>
      </c>
      <c r="D745" s="1089" t="s">
        <v>1448</v>
      </c>
      <c r="E745" s="1089" t="s">
        <v>1618</v>
      </c>
      <c r="I745" s="1026" t="str">
        <f t="shared" si="76"/>
        <v/>
      </c>
      <c r="J745" s="1376"/>
      <c r="K745" s="1376" t="str">
        <f t="shared" si="77"/>
        <v/>
      </c>
      <c r="L745" s="1089" t="s">
        <v>1484</v>
      </c>
      <c r="M745" s="1376">
        <v>728</v>
      </c>
      <c r="N745" s="1376"/>
      <c r="R745" s="1376" t="s">
        <v>1627</v>
      </c>
    </row>
    <row r="746" spans="1:18" s="1370" customFormat="1" x14ac:dyDescent="0.25">
      <c r="A746" s="1121" t="s">
        <v>1485</v>
      </c>
      <c r="B746" s="1089" t="str">
        <f ca="1">IFERROR(_xlfn.CONCAT("C",MATCH(A746,INDIRECT("'"&amp;E746&amp;"'!C"&amp;$O$736&amp;":C"&amp;$O$738),0)+$O$736-1),"")</f>
        <v>C143</v>
      </c>
      <c r="C746" s="1089" t="str">
        <f ca="1">IFERROR(_xlfn.CONCAT("D",MATCH(A746,INDIRECT("'"&amp;E746&amp;"'!C"&amp;$O$736&amp;":C"&amp;$O$738),0)+$O$736-1),"")</f>
        <v>D143</v>
      </c>
      <c r="D746" s="1089" t="s">
        <v>1448</v>
      </c>
      <c r="E746" s="1089" t="s">
        <v>1618</v>
      </c>
      <c r="I746" s="1026" t="str">
        <f t="shared" si="76"/>
        <v/>
      </c>
      <c r="J746" s="1376"/>
      <c r="K746" s="1376" t="str">
        <f t="shared" si="77"/>
        <v/>
      </c>
      <c r="L746" s="1089" t="s">
        <v>1485</v>
      </c>
      <c r="M746" s="1376">
        <v>729</v>
      </c>
      <c r="N746" s="1376"/>
      <c r="R746" s="1376" t="s">
        <v>1627</v>
      </c>
    </row>
    <row r="747" spans="1:18" s="1370" customFormat="1" ht="30" x14ac:dyDescent="0.25">
      <c r="A747" s="1121" t="s">
        <v>1597</v>
      </c>
      <c r="B747" s="1089" t="str">
        <f ca="1">IFERROR(_xlfn.CONCAT("C",MATCH(A747,INDIRECT("'"&amp;E747&amp;"'!C"&amp;$O$736&amp;":C"&amp;$O$738),0)+$O$736-1),"")</f>
        <v>C147</v>
      </c>
      <c r="C747" s="1089" t="str">
        <f ca="1">IFERROR(_xlfn.CONCAT("D",MATCH(A747,INDIRECT("'"&amp;E747&amp;"'!C"&amp;$O$736&amp;":C"&amp;$O$738),0)+$O$736-1),"")</f>
        <v>D147</v>
      </c>
      <c r="D747" s="1089" t="s">
        <v>1448</v>
      </c>
      <c r="E747" s="1089" t="s">
        <v>1618</v>
      </c>
      <c r="I747" s="1026" t="str">
        <f t="shared" si="76"/>
        <v>Incentive Dates Match Agreement Dates Flag</v>
      </c>
      <c r="J747" s="1376" t="str">
        <f t="shared" si="78"/>
        <v>730</v>
      </c>
      <c r="K747" s="1376" t="str">
        <f t="shared" si="77"/>
        <v>Incentives Worksheet</v>
      </c>
      <c r="L747" s="1089" t="s">
        <v>1597</v>
      </c>
      <c r="M747" s="1376">
        <v>730</v>
      </c>
      <c r="N747" s="1376"/>
      <c r="R747" s="1376" t="s">
        <v>1627</v>
      </c>
    </row>
    <row r="748" spans="1:18" s="1370" customFormat="1" x14ac:dyDescent="0.25">
      <c r="A748" s="1121" t="s">
        <v>1594</v>
      </c>
      <c r="B748" s="1089" t="str">
        <f ca="1">_xlfn.CONCAT(IFERROR(SUBSTITUTE(ADDRESS(1,MATCH(A748,INDIRECT("'"&amp;E748&amp;"'"&amp;"!A" &amp; $O$736 + 12 &amp; ":Z" &amp; $O$736+ 12),0),4),1,""),""),$O$736 + 12)</f>
        <v>H147</v>
      </c>
      <c r="C748" s="1089" t="str">
        <f ca="1">_xlfn.CONCAT(IFERROR(SUBSTITUTE(ADDRESS(1,MATCH(A748,INDIRECT("'"&amp;E748&amp;"'"&amp;"!A" &amp; $O$736 + 12 &amp; ":Z" &amp; $O$736+ 12),0),4),1,""),""),$O$736 + 13)</f>
        <v>H148</v>
      </c>
      <c r="D748" s="1089" t="s">
        <v>1448</v>
      </c>
      <c r="E748" s="1089" t="s">
        <v>1618</v>
      </c>
      <c r="I748" s="1026" t="str">
        <f t="shared" si="76"/>
        <v>Include All Customers Flag</v>
      </c>
      <c r="J748" s="1376" t="str">
        <f t="shared" si="78"/>
        <v>731</v>
      </c>
      <c r="K748" s="1376" t="str">
        <f t="shared" si="77"/>
        <v>Incentives Worksheet</v>
      </c>
      <c r="L748" s="1089" t="s">
        <v>1594</v>
      </c>
      <c r="M748" s="1376">
        <v>731</v>
      </c>
      <c r="N748" s="1376"/>
      <c r="R748" s="1376" t="s">
        <v>1627</v>
      </c>
    </row>
    <row r="749" spans="1:18" s="1370" customFormat="1" x14ac:dyDescent="0.25">
      <c r="A749" s="1121" t="s">
        <v>1608</v>
      </c>
      <c r="B749" s="1089" t="str">
        <f ca="1">_xlfn.CONCAT(IFERROR(SUBSTITUTE(ADDRESS(1,MATCH(A749,INDIRECT("'"&amp;E749&amp;"'"&amp;"!A" &amp; $O$736 + 12 &amp; ":Z" &amp; $O$736+ 12),0),4),1,""),""),$O$736 + 12)</f>
        <v>J147</v>
      </c>
      <c r="C749" s="1089" t="str">
        <f ca="1">_xlfn.CONCAT(IFERROR(SUBSTITUTE(ADDRESS(1,MATCH(A749,INDIRECT("'"&amp;E749&amp;"'"&amp;"!A" &amp; $O$736 + 12 &amp; ":Z" &amp; $O$736+ 12),0),4),1,""),""),$O$736 + 13)</f>
        <v>J148</v>
      </c>
      <c r="D749" s="1089" t="s">
        <v>1448</v>
      </c>
      <c r="E749" s="1089" t="s">
        <v>1618</v>
      </c>
      <c r="I749" s="1026" t="str">
        <f t="shared" si="76"/>
        <v>Customer Aggregation</v>
      </c>
      <c r="J749" s="1376" t="str">
        <f t="shared" si="78"/>
        <v>732</v>
      </c>
      <c r="K749" s="1376" t="str">
        <f t="shared" si="77"/>
        <v>Incentives Worksheet</v>
      </c>
      <c r="L749" s="1089" t="s">
        <v>1608</v>
      </c>
      <c r="M749" s="1376">
        <v>732</v>
      </c>
      <c r="N749" s="1376"/>
      <c r="R749" s="1376" t="s">
        <v>1627</v>
      </c>
    </row>
    <row r="750" spans="1:18" s="1370" customFormat="1" x14ac:dyDescent="0.25">
      <c r="A750" s="1121" t="s">
        <v>1486</v>
      </c>
      <c r="B750" s="1089" t="str">
        <f ca="1">_xlfn.IFNA(_xlfn.CONCAT(SUBSTITUTE(ADDRESS(1,MATCH(A750,INDIRECT("'"&amp;E750&amp;"'"&amp;"!A" &amp; $O$736 + 5 &amp; ":Z" &amp; $O$736+ 5),0),4),1,""),$O$736 + 6),"")</f>
        <v>H141</v>
      </c>
      <c r="C750" s="1089" t="str">
        <f t="shared" ref="C750:C764" ca="1" si="82">_xlfn.IFNA(SUBSTITUTE(ADDRESS(1,MATCH(A750,INDIRECT("'"&amp;E750&amp;"'"&amp;"!A" &amp; $O$736 + 5 &amp; ":Z" &amp; $O$736+ 5),0),4),1,""),"")</f>
        <v>H</v>
      </c>
      <c r="D750" s="1089" t="s">
        <v>1455</v>
      </c>
      <c r="E750" s="1089" t="s">
        <v>1618</v>
      </c>
      <c r="I750" s="1026" t="str">
        <f t="shared" si="76"/>
        <v/>
      </c>
      <c r="J750" s="1376"/>
      <c r="K750" s="1376" t="str">
        <f t="shared" si="77"/>
        <v/>
      </c>
      <c r="L750" s="1089" t="s">
        <v>1486</v>
      </c>
      <c r="M750" s="1376">
        <v>733</v>
      </c>
      <c r="N750" s="1376"/>
      <c r="R750" s="1376" t="s">
        <v>1627</v>
      </c>
    </row>
    <row r="751" spans="1:18" s="1370" customFormat="1" x14ac:dyDescent="0.25">
      <c r="A751" s="1121" t="s">
        <v>1487</v>
      </c>
      <c r="B751" s="1089" t="str">
        <f ca="1">_xlfn.IFNA(_xlfn.CONCAT(SUBSTITUTE(ADDRESS(1,MATCH(A751,INDIRECT("'"&amp;E751&amp;"'"&amp;"!A" &amp; $O$736 + 5 &amp; ":Z" &amp; $O$736+ 5),0),4),1,""),$O$736 + 6),"")</f>
        <v>J141</v>
      </c>
      <c r="C751" s="1089" t="str">
        <f t="shared" ca="1" si="82"/>
        <v>J</v>
      </c>
      <c r="D751" s="1089" t="s">
        <v>1455</v>
      </c>
      <c r="E751" s="1089" t="s">
        <v>1618</v>
      </c>
      <c r="I751" s="1026" t="str">
        <f t="shared" si="76"/>
        <v/>
      </c>
      <c r="J751" s="1376"/>
      <c r="K751" s="1376" t="str">
        <f t="shared" si="77"/>
        <v/>
      </c>
      <c r="L751" s="1089" t="s">
        <v>1487</v>
      </c>
      <c r="M751" s="1376">
        <v>734</v>
      </c>
      <c r="N751" s="1376"/>
      <c r="R751" s="1376" t="s">
        <v>1627</v>
      </c>
    </row>
    <row r="752" spans="1:18" s="1370" customFormat="1" x14ac:dyDescent="0.25">
      <c r="A752" s="1121" t="s">
        <v>1488</v>
      </c>
      <c r="B752" s="1089" t="str">
        <f ca="1">_xlfn.IFNA(_xlfn.CONCAT(SUBSTITUTE(ADDRESS(1,MATCH(A752,INDIRECT("'"&amp;E752&amp;"'"&amp;"!A" &amp; $O$736 + 5 &amp; ":Z" &amp; $O$736+ 5),0),4),1,""),$O$736 + 6),"")</f>
        <v>L141</v>
      </c>
      <c r="C752" s="1089" t="str">
        <f t="shared" ca="1" si="82"/>
        <v>L</v>
      </c>
      <c r="D752" s="1089" t="s">
        <v>1455</v>
      </c>
      <c r="E752" s="1089" t="s">
        <v>1618</v>
      </c>
      <c r="I752" s="1026" t="str">
        <f t="shared" si="76"/>
        <v/>
      </c>
      <c r="J752" s="1376"/>
      <c r="K752" s="1376" t="str">
        <f t="shared" si="77"/>
        <v/>
      </c>
      <c r="L752" s="1089" t="s">
        <v>1488</v>
      </c>
      <c r="M752" s="1376">
        <v>735</v>
      </c>
      <c r="N752" s="1376"/>
      <c r="R752" s="1376" t="s">
        <v>1627</v>
      </c>
    </row>
    <row r="753" spans="1:18" s="1370" customFormat="1" x14ac:dyDescent="0.25">
      <c r="A753" s="1121" t="s">
        <v>1486</v>
      </c>
      <c r="B753" s="1089" t="str">
        <f ca="1">_xlfn.IFNA(_xlfn.CONCAT(SUBSTITUTE(ADDRESS(1,MATCH(A753,INDIRECT("'"&amp;E753&amp;"'"&amp;"!A" &amp; $O$736 + 5 &amp; ":Z" &amp; $O$736+ 5),0),4),1,""),$O$736 + 7),"")</f>
        <v>H142</v>
      </c>
      <c r="C753" s="1089" t="str">
        <f t="shared" ca="1" si="82"/>
        <v>H</v>
      </c>
      <c r="D753" s="1089" t="s">
        <v>1455</v>
      </c>
      <c r="E753" s="1089" t="s">
        <v>1618</v>
      </c>
      <c r="I753" s="1026" t="str">
        <f t="shared" si="76"/>
        <v/>
      </c>
      <c r="J753" s="1376"/>
      <c r="K753" s="1376" t="str">
        <f t="shared" si="77"/>
        <v/>
      </c>
      <c r="L753" s="1089" t="s">
        <v>1486</v>
      </c>
      <c r="M753" s="1376">
        <v>736</v>
      </c>
      <c r="N753" s="1376"/>
      <c r="R753" s="1376" t="s">
        <v>1627</v>
      </c>
    </row>
    <row r="754" spans="1:18" s="1370" customFormat="1" x14ac:dyDescent="0.25">
      <c r="A754" s="1121" t="s">
        <v>1487</v>
      </c>
      <c r="B754" s="1089" t="str">
        <f ca="1">_xlfn.IFNA(_xlfn.CONCAT(SUBSTITUTE(ADDRESS(1,MATCH(A754,INDIRECT("'"&amp;E754&amp;"'"&amp;"!A" &amp; $O$736 + 5 &amp; ":Z" &amp; $O$736+ 5),0),4),1,""),$O$736 + 7),"")</f>
        <v>J142</v>
      </c>
      <c r="C754" s="1089" t="str">
        <f t="shared" ca="1" si="82"/>
        <v>J</v>
      </c>
      <c r="D754" s="1089" t="s">
        <v>1455</v>
      </c>
      <c r="E754" s="1089" t="s">
        <v>1618</v>
      </c>
      <c r="I754" s="1026" t="str">
        <f t="shared" si="76"/>
        <v/>
      </c>
      <c r="J754" s="1376"/>
      <c r="K754" s="1376" t="str">
        <f t="shared" si="77"/>
        <v/>
      </c>
      <c r="L754" s="1089" t="s">
        <v>1487</v>
      </c>
      <c r="M754" s="1376">
        <v>737</v>
      </c>
      <c r="N754" s="1376"/>
      <c r="R754" s="1376" t="s">
        <v>1627</v>
      </c>
    </row>
    <row r="755" spans="1:18" s="1370" customFormat="1" x14ac:dyDescent="0.25">
      <c r="A755" s="1121" t="s">
        <v>1488</v>
      </c>
      <c r="B755" s="1089" t="str">
        <f ca="1">_xlfn.IFNA(_xlfn.CONCAT(SUBSTITUTE(ADDRESS(1,MATCH(A755,INDIRECT("'"&amp;E755&amp;"'"&amp;"!A" &amp; $O$736 + 5 &amp; ":Z" &amp; $O$736+ 5),0),4),1,""),$O$736 + 7),"")</f>
        <v>L142</v>
      </c>
      <c r="C755" s="1089" t="str">
        <f t="shared" ca="1" si="82"/>
        <v>L</v>
      </c>
      <c r="D755" s="1089" t="s">
        <v>1455</v>
      </c>
      <c r="E755" s="1089" t="s">
        <v>1618</v>
      </c>
      <c r="I755" s="1026" t="str">
        <f t="shared" si="76"/>
        <v/>
      </c>
      <c r="J755" s="1376"/>
      <c r="K755" s="1376" t="str">
        <f t="shared" si="77"/>
        <v/>
      </c>
      <c r="L755" s="1089" t="s">
        <v>1488</v>
      </c>
      <c r="M755" s="1376">
        <v>738</v>
      </c>
      <c r="N755" s="1376"/>
      <c r="R755" s="1376" t="s">
        <v>1627</v>
      </c>
    </row>
    <row r="756" spans="1:18" s="1370" customFormat="1" x14ac:dyDescent="0.25">
      <c r="A756" s="1121" t="s">
        <v>1486</v>
      </c>
      <c r="B756" s="1089" t="str">
        <f ca="1">_xlfn.IFNA(_xlfn.CONCAT(SUBSTITUTE(ADDRESS(1,MATCH(A756,INDIRECT("'"&amp;E756&amp;"'"&amp;"!A" &amp; $O$736 + 5 &amp; ":Z" &amp; $O$736+ 5),0),4),1,""),$O$736 + 8),"")</f>
        <v>H143</v>
      </c>
      <c r="C756" s="1089" t="str">
        <f t="shared" ca="1" si="82"/>
        <v>H</v>
      </c>
      <c r="D756" s="1089" t="s">
        <v>1455</v>
      </c>
      <c r="E756" s="1089" t="s">
        <v>1618</v>
      </c>
      <c r="I756" s="1026" t="str">
        <f t="shared" si="76"/>
        <v/>
      </c>
      <c r="J756" s="1376"/>
      <c r="K756" s="1376" t="str">
        <f t="shared" si="77"/>
        <v/>
      </c>
      <c r="L756" s="1089" t="s">
        <v>1486</v>
      </c>
      <c r="M756" s="1376">
        <v>739</v>
      </c>
      <c r="N756" s="1376"/>
      <c r="R756" s="1376" t="s">
        <v>1627</v>
      </c>
    </row>
    <row r="757" spans="1:18" s="1370" customFormat="1" x14ac:dyDescent="0.25">
      <c r="A757" s="1121" t="s">
        <v>1487</v>
      </c>
      <c r="B757" s="1089" t="str">
        <f ca="1">_xlfn.IFNA(_xlfn.CONCAT(SUBSTITUTE(ADDRESS(1,MATCH(A757,INDIRECT("'"&amp;E757&amp;"'"&amp;"!A" &amp; $O$736 + 5 &amp; ":Z" &amp; $O$736+ 5),0),4),1,""),$O$736 + 8),"")</f>
        <v>J143</v>
      </c>
      <c r="C757" s="1089" t="str">
        <f t="shared" ca="1" si="82"/>
        <v>J</v>
      </c>
      <c r="D757" s="1089" t="s">
        <v>1455</v>
      </c>
      <c r="E757" s="1089" t="s">
        <v>1618</v>
      </c>
      <c r="I757" s="1026" t="str">
        <f t="shared" si="76"/>
        <v/>
      </c>
      <c r="J757" s="1376"/>
      <c r="K757" s="1376" t="str">
        <f t="shared" si="77"/>
        <v/>
      </c>
      <c r="L757" s="1089" t="s">
        <v>1487</v>
      </c>
      <c r="M757" s="1376">
        <v>740</v>
      </c>
      <c r="N757" s="1376"/>
      <c r="R757" s="1376" t="s">
        <v>1627</v>
      </c>
    </row>
    <row r="758" spans="1:18" s="1370" customFormat="1" x14ac:dyDescent="0.25">
      <c r="A758" s="1121" t="s">
        <v>1488</v>
      </c>
      <c r="B758" s="1089" t="str">
        <f ca="1">_xlfn.IFNA(_xlfn.CONCAT(SUBSTITUTE(ADDRESS(1,MATCH(A758,INDIRECT("'"&amp;E758&amp;"'"&amp;"!A" &amp; $O$736 + 5 &amp; ":Z" &amp; $O$736+ 5),0),4),1,""),$O$736 + 8),"")</f>
        <v>L143</v>
      </c>
      <c r="C758" s="1089" t="str">
        <f t="shared" ca="1" si="82"/>
        <v>L</v>
      </c>
      <c r="D758" s="1089" t="s">
        <v>1455</v>
      </c>
      <c r="E758" s="1089" t="s">
        <v>1618</v>
      </c>
      <c r="I758" s="1026" t="str">
        <f t="shared" si="76"/>
        <v/>
      </c>
      <c r="J758" s="1376"/>
      <c r="K758" s="1376" t="str">
        <f t="shared" si="77"/>
        <v/>
      </c>
      <c r="L758" s="1089" t="s">
        <v>1488</v>
      </c>
      <c r="M758" s="1376">
        <v>741</v>
      </c>
      <c r="N758" s="1376"/>
      <c r="R758" s="1376" t="s">
        <v>1627</v>
      </c>
    </row>
    <row r="759" spans="1:18" s="1370" customFormat="1" x14ac:dyDescent="0.25">
      <c r="A759" s="1121" t="s">
        <v>1486</v>
      </c>
      <c r="B759" s="1089" t="str">
        <f ca="1">_xlfn.IFNA(_xlfn.CONCAT(SUBSTITUTE(ADDRESS(1,MATCH(A759,INDIRECT("'"&amp;E759&amp;"'"&amp;"!A" &amp; $O$736 + 5 &amp; ":Z" &amp; $O$736+ 5),0),4),1,""),$O$736 + 9),"")</f>
        <v>H144</v>
      </c>
      <c r="C759" s="1089" t="str">
        <f t="shared" ca="1" si="82"/>
        <v>H</v>
      </c>
      <c r="D759" s="1089" t="s">
        <v>1455</v>
      </c>
      <c r="E759" s="1089" t="s">
        <v>1618</v>
      </c>
      <c r="I759" s="1026" t="str">
        <f t="shared" si="76"/>
        <v/>
      </c>
      <c r="J759" s="1376"/>
      <c r="K759" s="1376" t="str">
        <f t="shared" si="77"/>
        <v/>
      </c>
      <c r="L759" s="1089" t="s">
        <v>1486</v>
      </c>
      <c r="M759" s="1376">
        <v>742</v>
      </c>
      <c r="N759" s="1376"/>
      <c r="R759" s="1376" t="s">
        <v>1627</v>
      </c>
    </row>
    <row r="760" spans="1:18" s="1370" customFormat="1" x14ac:dyDescent="0.25">
      <c r="A760" s="1121" t="s">
        <v>1487</v>
      </c>
      <c r="B760" s="1089" t="str">
        <f ca="1">_xlfn.IFNA(_xlfn.CONCAT(SUBSTITUTE(ADDRESS(1,MATCH(A760,INDIRECT("'"&amp;E760&amp;"'"&amp;"!A" &amp; $O$736 + 5 &amp; ":Z" &amp; $O$736+ 5),0),4),1,""),$O$736 + 9),"")</f>
        <v>J144</v>
      </c>
      <c r="C760" s="1089" t="str">
        <f t="shared" ca="1" si="82"/>
        <v>J</v>
      </c>
      <c r="D760" s="1089" t="s">
        <v>1455</v>
      </c>
      <c r="E760" s="1089" t="s">
        <v>1618</v>
      </c>
      <c r="I760" s="1026" t="str">
        <f t="shared" si="76"/>
        <v/>
      </c>
      <c r="J760" s="1376"/>
      <c r="K760" s="1376" t="str">
        <f t="shared" si="77"/>
        <v/>
      </c>
      <c r="L760" s="1089" t="s">
        <v>1487</v>
      </c>
      <c r="M760" s="1376">
        <v>743</v>
      </c>
      <c r="N760" s="1376"/>
      <c r="R760" s="1376" t="s">
        <v>1627</v>
      </c>
    </row>
    <row r="761" spans="1:18" s="1370" customFormat="1" x14ac:dyDescent="0.25">
      <c r="A761" s="1121" t="s">
        <v>1488</v>
      </c>
      <c r="B761" s="1089" t="str">
        <f ca="1">_xlfn.IFNA(_xlfn.CONCAT(SUBSTITUTE(ADDRESS(1,MATCH(A761,INDIRECT("'"&amp;E761&amp;"'"&amp;"!A" &amp; $O$736 + 5 &amp; ":Z" &amp; $O$736+ 5),0),4),1,""),$O$736 + 9),"")</f>
        <v>L144</v>
      </c>
      <c r="C761" s="1089" t="str">
        <f t="shared" ca="1" si="82"/>
        <v>L</v>
      </c>
      <c r="D761" s="1089" t="s">
        <v>1455</v>
      </c>
      <c r="E761" s="1089" t="s">
        <v>1618</v>
      </c>
      <c r="I761" s="1026" t="str">
        <f t="shared" si="76"/>
        <v/>
      </c>
      <c r="J761" s="1376"/>
      <c r="K761" s="1376" t="str">
        <f t="shared" si="77"/>
        <v/>
      </c>
      <c r="L761" s="1089" t="s">
        <v>1488</v>
      </c>
      <c r="M761" s="1376">
        <v>744</v>
      </c>
      <c r="N761" s="1376"/>
      <c r="R761" s="1376" t="s">
        <v>1627</v>
      </c>
    </row>
    <row r="762" spans="1:18" s="1370" customFormat="1" x14ac:dyDescent="0.25">
      <c r="A762" s="1121" t="s">
        <v>1486</v>
      </c>
      <c r="B762" s="1089" t="str">
        <f ca="1">_xlfn.IFNA(_xlfn.CONCAT(SUBSTITUTE(ADDRESS(1,MATCH(A762,INDIRECT("'"&amp;E762&amp;"'"&amp;"!A" &amp; $O$736 + 5 &amp; ":Z" &amp; $O$736+ 5),0),4),1,""),$O$736 + 10),"")</f>
        <v>H145</v>
      </c>
      <c r="C762" s="1089" t="str">
        <f t="shared" ca="1" si="82"/>
        <v>H</v>
      </c>
      <c r="D762" s="1089" t="s">
        <v>1455</v>
      </c>
      <c r="E762" s="1089" t="s">
        <v>1618</v>
      </c>
      <c r="I762" s="1026" t="str">
        <f t="shared" si="76"/>
        <v/>
      </c>
      <c r="J762" s="1376"/>
      <c r="K762" s="1376" t="str">
        <f t="shared" si="77"/>
        <v/>
      </c>
      <c r="L762" s="1089" t="s">
        <v>1486</v>
      </c>
      <c r="M762" s="1376">
        <v>745</v>
      </c>
      <c r="N762" s="1376"/>
      <c r="R762" s="1376" t="s">
        <v>1627</v>
      </c>
    </row>
    <row r="763" spans="1:18" s="1370" customFormat="1" x14ac:dyDescent="0.25">
      <c r="A763" s="1121" t="s">
        <v>1487</v>
      </c>
      <c r="B763" s="1089" t="str">
        <f ca="1">_xlfn.IFNA(_xlfn.CONCAT(SUBSTITUTE(ADDRESS(1,MATCH(A763,INDIRECT("'"&amp;E763&amp;"'"&amp;"!A" &amp; $O$736 + 5 &amp; ":Z" &amp; $O$736+ 5),0),4),1,""),$O$736 + 10),"")</f>
        <v>J145</v>
      </c>
      <c r="C763" s="1089" t="str">
        <f t="shared" ca="1" si="82"/>
        <v>J</v>
      </c>
      <c r="D763" s="1089" t="s">
        <v>1455</v>
      </c>
      <c r="E763" s="1089" t="s">
        <v>1618</v>
      </c>
      <c r="I763" s="1026" t="str">
        <f t="shared" si="76"/>
        <v/>
      </c>
      <c r="J763" s="1376"/>
      <c r="K763" s="1376" t="str">
        <f t="shared" si="77"/>
        <v/>
      </c>
      <c r="L763" s="1089" t="s">
        <v>1487</v>
      </c>
      <c r="M763" s="1376">
        <v>746</v>
      </c>
      <c r="N763" s="1376"/>
      <c r="R763" s="1376" t="s">
        <v>1627</v>
      </c>
    </row>
    <row r="764" spans="1:18" s="1370" customFormat="1" x14ac:dyDescent="0.25">
      <c r="A764" s="1121" t="s">
        <v>1488</v>
      </c>
      <c r="B764" s="1089" t="str">
        <f ca="1">_xlfn.IFNA(_xlfn.CONCAT(SUBSTITUTE(ADDRESS(1,MATCH(A764,INDIRECT("'"&amp;E764&amp;"'"&amp;"!A" &amp; $O$736 + 5 &amp; ":Z" &amp; $O$736+ 5),0),4),1,""),$O$736 + 10),"")</f>
        <v>L145</v>
      </c>
      <c r="C764" s="1089" t="str">
        <f t="shared" ca="1" si="82"/>
        <v>L</v>
      </c>
      <c r="D764" s="1089" t="s">
        <v>1455</v>
      </c>
      <c r="E764" s="1089" t="s">
        <v>1618</v>
      </c>
      <c r="I764" s="1026" t="str">
        <f t="shared" si="76"/>
        <v/>
      </c>
      <c r="J764" s="1376"/>
      <c r="K764" s="1376" t="str">
        <f t="shared" si="77"/>
        <v/>
      </c>
      <c r="L764" s="1089" t="s">
        <v>1488</v>
      </c>
      <c r="M764" s="1376">
        <v>747</v>
      </c>
      <c r="N764" s="1376"/>
      <c r="R764" s="1376" t="s">
        <v>1627</v>
      </c>
    </row>
    <row r="765" spans="1:18" s="1370" customFormat="1" x14ac:dyDescent="0.25">
      <c r="A765" s="1118" t="s">
        <v>1593</v>
      </c>
      <c r="B765" s="1089" t="str">
        <f ca="1">IFERROR(_xlfn.CONCAT("C",MATCH(A765,INDIRECT("'"&amp;E765&amp;"'!C"&amp;$O$766&amp;":C"&amp;$O$768),0)+$O$766-1),"")</f>
        <v>C155</v>
      </c>
      <c r="C765" s="1089" t="str">
        <f ca="1">IFERROR(_xlfn.CONCAT("D",MATCH(A765,INDIRECT("'"&amp;E765&amp;"'!C"&amp;$O$766&amp;":C"&amp;$O$768),0)+$O$766-1),"")</f>
        <v>D155</v>
      </c>
      <c r="D765" s="1089" t="s">
        <v>1448</v>
      </c>
      <c r="E765" s="1089" t="s">
        <v>1618</v>
      </c>
      <c r="I765" s="1026" t="str">
        <f t="shared" si="76"/>
        <v/>
      </c>
      <c r="J765" s="1376"/>
      <c r="K765" s="1376" t="str">
        <f t="shared" si="77"/>
        <v/>
      </c>
      <c r="L765" s="1089" t="s">
        <v>1593</v>
      </c>
      <c r="M765" s="1376">
        <v>748</v>
      </c>
      <c r="N765" s="1376"/>
      <c r="O765" s="1370" t="s">
        <v>742</v>
      </c>
      <c r="R765" s="1376" t="s">
        <v>1633</v>
      </c>
    </row>
    <row r="766" spans="1:18" s="1370" customFormat="1" x14ac:dyDescent="0.25">
      <c r="A766" s="1118" t="s">
        <v>1809</v>
      </c>
      <c r="B766" s="1089" t="str">
        <f ca="1">_xlfn.CONCAT(IFERROR(SUBSTITUTE(ADDRESS(1,MATCH(A766,INDIRECT("'"&amp;E766&amp;"'"&amp;"!A" &amp; $O$766 + 11 &amp; ":Z" &amp; $O$766+ 11),0),4),1,""),""),$O$766 + 11)</f>
        <v>T162</v>
      </c>
      <c r="C766" s="1089" t="str">
        <f ca="1">_xlfn.CONCAT(IFERROR(SUBSTITUTE(ADDRESS(1,MATCH(A766,INDIRECT("'"&amp;E766&amp;"'"&amp;"!A" &amp; $O$766 + 11 &amp; ":Z" &amp; $O$766+ 11),0),4),1,""),""),$O$766 + 12)</f>
        <v>T163</v>
      </c>
      <c r="D766" s="1089" t="s">
        <v>1448</v>
      </c>
      <c r="E766" s="1089" t="s">
        <v>1618</v>
      </c>
      <c r="I766" s="1026" t="str">
        <f t="shared" si="76"/>
        <v/>
      </c>
      <c r="J766" s="1376"/>
      <c r="K766" s="1376" t="str">
        <f t="shared" si="77"/>
        <v/>
      </c>
      <c r="L766" s="1089" t="s">
        <v>1809</v>
      </c>
      <c r="M766" s="1376">
        <v>749</v>
      </c>
      <c r="N766" s="1376"/>
      <c r="O766" s="1370">
        <f>'Configurable Tab'!H13</f>
        <v>151</v>
      </c>
      <c r="Q766" s="1370" t="s">
        <v>653</v>
      </c>
      <c r="R766" s="1376" t="s">
        <v>1633</v>
      </c>
    </row>
    <row r="767" spans="1:18" s="1370" customFormat="1" x14ac:dyDescent="0.25">
      <c r="A767" s="1118" t="s">
        <v>1482</v>
      </c>
      <c r="B767" s="1089" t="str">
        <f ca="1">IFERROR(_xlfn.CONCAT("C",MATCH(A767,INDIRECT("'"&amp;E767&amp;"'!C"&amp;$O$766&amp;":C"&amp;$O$768),0)+$O$766-1),"")</f>
        <v>C153</v>
      </c>
      <c r="C767" s="1089" t="str">
        <f ca="1">IFERROR(_xlfn.CONCAT("D",MATCH(A767,INDIRECT("'"&amp;E767&amp;"'!C"&amp;$O$766&amp;":C"&amp;$O$768),0)+$O$766-1),"")</f>
        <v>D153</v>
      </c>
      <c r="D767" s="1089" t="s">
        <v>1448</v>
      </c>
      <c r="E767" s="1089" t="s">
        <v>1618</v>
      </c>
      <c r="I767" s="1026" t="str">
        <f t="shared" si="76"/>
        <v/>
      </c>
      <c r="J767" s="1376"/>
      <c r="K767" s="1376" t="str">
        <f t="shared" si="77"/>
        <v/>
      </c>
      <c r="L767" s="1089" t="s">
        <v>1482</v>
      </c>
      <c r="M767" s="1376">
        <v>750</v>
      </c>
      <c r="N767" s="1376"/>
      <c r="O767" s="1370" t="s">
        <v>743</v>
      </c>
      <c r="R767" s="1376" t="s">
        <v>1633</v>
      </c>
    </row>
    <row r="768" spans="1:18" s="1370" customFormat="1" x14ac:dyDescent="0.25">
      <c r="A768" s="1118" t="s">
        <v>1479</v>
      </c>
      <c r="B768" s="1089" t="str">
        <f t="shared" ref="B768:B774" ca="1" si="83">_xlfn.CONCAT(IFERROR(SUBSTITUTE(ADDRESS(1,MATCH(A768,INDIRECT("'"&amp;E768&amp;"'"&amp;"!A" &amp; $O$766 + 2 &amp; ":Z" &amp; $O$766+ 2),0),4),1,""),""),$O$766 + 2)</f>
        <v>H153</v>
      </c>
      <c r="C768" s="1089" t="str">
        <f t="shared" ref="C768:C774" ca="1" si="84">_xlfn.CONCAT(IFERROR(SUBSTITUTE(ADDRESS(1,MATCH(A768,INDIRECT("'"&amp;E768&amp;"'"&amp;"!A" &amp; $O$766 + 2 &amp; ":Z" &amp; $O$766+ 2),0),4),1,""),""),$O$766 + 3)</f>
        <v>H154</v>
      </c>
      <c r="D768" s="1089" t="s">
        <v>1448</v>
      </c>
      <c r="E768" s="1089" t="s">
        <v>1618</v>
      </c>
      <c r="I768" s="1026" t="str">
        <f t="shared" si="76"/>
        <v/>
      </c>
      <c r="J768" s="1376"/>
      <c r="K768" s="1376" t="str">
        <f t="shared" si="77"/>
        <v/>
      </c>
      <c r="L768" s="1089" t="s">
        <v>1479</v>
      </c>
      <c r="M768" s="1376">
        <v>751</v>
      </c>
      <c r="N768" s="1376"/>
      <c r="O768" s="1370">
        <f>'Configurable Tab'!I13</f>
        <v>164</v>
      </c>
      <c r="R768" s="1376" t="s">
        <v>1633</v>
      </c>
    </row>
    <row r="769" spans="1:18" s="1370" customFormat="1" x14ac:dyDescent="0.25">
      <c r="A769" s="1118" t="s">
        <v>1480</v>
      </c>
      <c r="B769" s="1089" t="str">
        <f t="shared" ca="1" si="83"/>
        <v>J153</v>
      </c>
      <c r="C769" s="1089" t="str">
        <f t="shared" ca="1" si="84"/>
        <v>J154</v>
      </c>
      <c r="D769" s="1089" t="s">
        <v>1448</v>
      </c>
      <c r="E769" s="1089" t="s">
        <v>1618</v>
      </c>
      <c r="I769" s="1026" t="str">
        <f t="shared" si="76"/>
        <v/>
      </c>
      <c r="J769" s="1376"/>
      <c r="K769" s="1376" t="str">
        <f t="shared" si="77"/>
        <v/>
      </c>
      <c r="L769" s="1089" t="s">
        <v>1480</v>
      </c>
      <c r="M769" s="1376">
        <v>752</v>
      </c>
      <c r="N769" s="1376"/>
      <c r="O769" s="1370" t="s">
        <v>1746</v>
      </c>
      <c r="R769" s="1376" t="s">
        <v>1633</v>
      </c>
    </row>
    <row r="770" spans="1:18" s="1370" customFormat="1" x14ac:dyDescent="0.25">
      <c r="A770" s="1118" t="s">
        <v>1496</v>
      </c>
      <c r="B770" s="1089" t="str">
        <f t="shared" ca="1" si="83"/>
        <v>L153</v>
      </c>
      <c r="C770" s="1089" t="str">
        <f t="shared" ca="1" si="84"/>
        <v>L154</v>
      </c>
      <c r="D770" s="1089" t="s">
        <v>1448</v>
      </c>
      <c r="E770" s="1089" t="s">
        <v>1618</v>
      </c>
      <c r="I770" s="1026" t="str">
        <f t="shared" si="76"/>
        <v/>
      </c>
      <c r="J770" s="1376"/>
      <c r="K770" s="1376" t="str">
        <f t="shared" si="77"/>
        <v/>
      </c>
      <c r="L770" s="1089" t="s">
        <v>1496</v>
      </c>
      <c r="M770" s="1376">
        <v>753</v>
      </c>
      <c r="N770" s="1376"/>
      <c r="R770" s="1376" t="s">
        <v>1633</v>
      </c>
    </row>
    <row r="771" spans="1:18" s="1370" customFormat="1" x14ac:dyDescent="0.25">
      <c r="A771" s="1118" t="s">
        <v>1481</v>
      </c>
      <c r="B771" s="1089" t="str">
        <f t="shared" ca="1" si="83"/>
        <v>N153</v>
      </c>
      <c r="C771" s="1089" t="str">
        <f t="shared" ca="1" si="84"/>
        <v>N154</v>
      </c>
      <c r="D771" s="1089" t="s">
        <v>1448</v>
      </c>
      <c r="E771" s="1089" t="s">
        <v>1618</v>
      </c>
      <c r="I771" s="1026" t="str">
        <f t="shared" si="76"/>
        <v/>
      </c>
      <c r="J771" s="1376"/>
      <c r="K771" s="1376" t="str">
        <f t="shared" si="77"/>
        <v/>
      </c>
      <c r="L771" s="1089" t="s">
        <v>1481</v>
      </c>
      <c r="M771" s="1376">
        <v>754</v>
      </c>
      <c r="N771" s="1376"/>
      <c r="R771" s="1376" t="s">
        <v>1633</v>
      </c>
    </row>
    <row r="772" spans="1:18" s="1370" customFormat="1" x14ac:dyDescent="0.25">
      <c r="A772" s="1118" t="s">
        <v>1588</v>
      </c>
      <c r="B772" s="1089" t="str">
        <f t="shared" ca="1" si="83"/>
        <v>P153</v>
      </c>
      <c r="C772" s="1089" t="str">
        <f t="shared" ca="1" si="84"/>
        <v>P154</v>
      </c>
      <c r="D772" s="1089" t="s">
        <v>1448</v>
      </c>
      <c r="E772" s="1089" t="s">
        <v>1618</v>
      </c>
      <c r="I772" s="1026" t="str">
        <f t="shared" ref="I772:I835" si="85">IF(J772&lt;&gt;"",A772,"")</f>
        <v>Qualifying Cycle</v>
      </c>
      <c r="J772" s="1376" t="str">
        <f t="shared" ref="J772:J827" si="86">IF(M772&lt;&gt;"",Q$1&amp;M772,"")</f>
        <v>755</v>
      </c>
      <c r="K772" s="1376" t="str">
        <f t="shared" ref="K772:K835" si="87">IF(J772&lt;&gt;"",E772,"")</f>
        <v>Incentives Worksheet</v>
      </c>
      <c r="L772" s="1089" t="s">
        <v>1588</v>
      </c>
      <c r="M772" s="1376">
        <v>755</v>
      </c>
      <c r="N772" s="1376"/>
      <c r="R772" s="1376" t="s">
        <v>1633</v>
      </c>
    </row>
    <row r="773" spans="1:18" s="1370" customFormat="1" x14ac:dyDescent="0.25">
      <c r="A773" s="1118" t="s">
        <v>1589</v>
      </c>
      <c r="B773" s="1089" t="str">
        <f t="shared" ca="1" si="83"/>
        <v>R153</v>
      </c>
      <c r="C773" s="1089" t="str">
        <f t="shared" ca="1" si="84"/>
        <v>R154</v>
      </c>
      <c r="D773" s="1089" t="s">
        <v>1448</v>
      </c>
      <c r="E773" s="1089" t="s">
        <v>1618</v>
      </c>
      <c r="I773" s="1026" t="str">
        <f t="shared" si="85"/>
        <v>Incentive Calendar</v>
      </c>
      <c r="J773" s="1376" t="str">
        <f t="shared" si="86"/>
        <v>756</v>
      </c>
      <c r="K773" s="1376" t="str">
        <f t="shared" si="87"/>
        <v>Incentives Worksheet</v>
      </c>
      <c r="L773" s="1089" t="s">
        <v>1589</v>
      </c>
      <c r="M773" s="1376">
        <v>756</v>
      </c>
      <c r="N773" s="1376"/>
      <c r="R773" s="1376" t="s">
        <v>1633</v>
      </c>
    </row>
    <row r="774" spans="1:18" s="1370" customFormat="1" x14ac:dyDescent="0.25">
      <c r="A774" s="1118" t="s">
        <v>1590</v>
      </c>
      <c r="B774" s="1089" t="str">
        <f t="shared" ca="1" si="83"/>
        <v>T153</v>
      </c>
      <c r="C774" s="1089" t="str">
        <f t="shared" ca="1" si="84"/>
        <v>T154</v>
      </c>
      <c r="D774" s="1089" t="s">
        <v>1448</v>
      </c>
      <c r="E774" s="1089" t="s">
        <v>1618</v>
      </c>
      <c r="I774" s="1026" t="str">
        <f t="shared" si="85"/>
        <v>Post to GL Payment Method Flag</v>
      </c>
      <c r="J774" s="1376" t="str">
        <f t="shared" si="86"/>
        <v>757</v>
      </c>
      <c r="K774" s="1376" t="str">
        <f t="shared" si="87"/>
        <v>Incentives Worksheet</v>
      </c>
      <c r="L774" s="1089" t="s">
        <v>1590</v>
      </c>
      <c r="M774" s="1376">
        <v>757</v>
      </c>
      <c r="N774" s="1376"/>
      <c r="R774" s="1376" t="s">
        <v>1633</v>
      </c>
    </row>
    <row r="775" spans="1:18" s="1370" customFormat="1" x14ac:dyDescent="0.25">
      <c r="A775" s="1118" t="s">
        <v>1484</v>
      </c>
      <c r="B775" s="1089" t="str">
        <f ca="1">IFERROR(_xlfn.CONCAT("C",MATCH(A775,INDIRECT("'"&amp;E775&amp;"'!C"&amp;$O$766&amp;":C"&amp;$O$768),0)+$O$766-1),"")</f>
        <v>C157</v>
      </c>
      <c r="C775" s="1089" t="str">
        <f ca="1">IFERROR(_xlfn.CONCAT("D",MATCH(A775,INDIRECT("'"&amp;E775&amp;"'!C"&amp;$O$766&amp;":C"&amp;$O$768),0)+$O$766-1),"")</f>
        <v>D157</v>
      </c>
      <c r="D775" s="1089" t="s">
        <v>1448</v>
      </c>
      <c r="E775" s="1089" t="s">
        <v>1618</v>
      </c>
      <c r="I775" s="1026" t="str">
        <f t="shared" si="85"/>
        <v/>
      </c>
      <c r="J775" s="1376"/>
      <c r="K775" s="1376" t="str">
        <f t="shared" si="87"/>
        <v/>
      </c>
      <c r="L775" s="1089" t="s">
        <v>1484</v>
      </c>
      <c r="M775" s="1376">
        <v>758</v>
      </c>
      <c r="N775" s="1376"/>
      <c r="R775" s="1376" t="s">
        <v>1633</v>
      </c>
    </row>
    <row r="776" spans="1:18" s="1370" customFormat="1" x14ac:dyDescent="0.25">
      <c r="A776" s="1118" t="s">
        <v>1485</v>
      </c>
      <c r="B776" s="1089" t="str">
        <f ca="1">IFERROR(_xlfn.CONCAT("C",MATCH(A776,INDIRECT("'"&amp;E776&amp;"'!C"&amp;$O$766&amp;":C"&amp;$O$768),0)+$O$766-1),"")</f>
        <v>C159</v>
      </c>
      <c r="C776" s="1089" t="str">
        <f ca="1">IFERROR(_xlfn.CONCAT("D",MATCH(A776,INDIRECT("'"&amp;E776&amp;"'!C"&amp;$O$766&amp;":C"&amp;$O$768),0)+$O$766-1),"")</f>
        <v>D159</v>
      </c>
      <c r="D776" s="1089" t="s">
        <v>1448</v>
      </c>
      <c r="E776" s="1089" t="s">
        <v>1618</v>
      </c>
      <c r="I776" s="1026" t="str">
        <f t="shared" si="85"/>
        <v/>
      </c>
      <c r="J776" s="1376"/>
      <c r="K776" s="1376" t="str">
        <f t="shared" si="87"/>
        <v/>
      </c>
      <c r="L776" s="1089" t="s">
        <v>1485</v>
      </c>
      <c r="M776" s="1376">
        <v>759</v>
      </c>
      <c r="N776" s="1376"/>
      <c r="R776" s="1376" t="s">
        <v>1633</v>
      </c>
    </row>
    <row r="777" spans="1:18" s="1370" customFormat="1" ht="30" x14ac:dyDescent="0.25">
      <c r="A777" s="1118" t="s">
        <v>1597</v>
      </c>
      <c r="B777" s="1089" t="str">
        <f ca="1">IFERROR(_xlfn.CONCAT("C",MATCH(A777,INDIRECT("'"&amp;E777&amp;"'!C"&amp;$O$766&amp;":C"&amp;$O$768),0)+$O$766-1),"")</f>
        <v>C161</v>
      </c>
      <c r="C777" s="1089" t="str">
        <f ca="1">IFERROR(_xlfn.CONCAT("D",MATCH(A777,INDIRECT("'"&amp;E777&amp;"'!C"&amp;$O$766&amp;":C"&amp;$O$768),0)+$O$766-1),"")</f>
        <v>D161</v>
      </c>
      <c r="D777" s="1089" t="s">
        <v>1448</v>
      </c>
      <c r="E777" s="1089" t="s">
        <v>1618</v>
      </c>
      <c r="I777" s="1026" t="str">
        <f t="shared" si="85"/>
        <v>Incentive Dates Match Agreement Dates Flag</v>
      </c>
      <c r="J777" s="1376" t="str">
        <f t="shared" si="86"/>
        <v>760</v>
      </c>
      <c r="K777" s="1376" t="str">
        <f t="shared" si="87"/>
        <v>Incentives Worksheet</v>
      </c>
      <c r="L777" s="1089" t="s">
        <v>1597</v>
      </c>
      <c r="M777" s="1376">
        <v>760</v>
      </c>
      <c r="N777" s="1376"/>
      <c r="R777" s="1376" t="s">
        <v>1633</v>
      </c>
    </row>
    <row r="778" spans="1:18" s="1370" customFormat="1" x14ac:dyDescent="0.25">
      <c r="A778" s="1118" t="s">
        <v>1594</v>
      </c>
      <c r="B778" s="1089" t="str">
        <f ca="1">_xlfn.CONCAT(IFERROR(SUBSTITUTE(ADDRESS(1,MATCH(A778,INDIRECT("'"&amp;E778&amp;"'"&amp;"!A" &amp; $O$766 + 8 &amp; ":Z" &amp; $O$766+ 8),0),4),1,""),""),$O$766 + 8)</f>
        <v>H159</v>
      </c>
      <c r="C778" s="1089" t="str">
        <f ca="1">_xlfn.CONCAT(IFERROR(SUBSTITUTE(ADDRESS(1,MATCH(A778,INDIRECT("'"&amp;E778&amp;"'"&amp;"!A" &amp; $O$766 + 8 &amp; ":Z" &amp; $O$766+ 8),0),4),1,""),""),$O$766 + 9)</f>
        <v>H160</v>
      </c>
      <c r="D778" s="1089" t="s">
        <v>1448</v>
      </c>
      <c r="E778" s="1089" t="s">
        <v>1618</v>
      </c>
      <c r="I778" s="1026" t="str">
        <f t="shared" si="85"/>
        <v>Include All Customers Flag</v>
      </c>
      <c r="J778" s="1376" t="str">
        <f t="shared" si="86"/>
        <v>761</v>
      </c>
      <c r="K778" s="1376" t="str">
        <f t="shared" si="87"/>
        <v>Incentives Worksheet</v>
      </c>
      <c r="L778" s="1089" t="s">
        <v>1594</v>
      </c>
      <c r="M778" s="1376">
        <v>761</v>
      </c>
      <c r="N778" s="1376"/>
      <c r="R778" s="1376" t="s">
        <v>1633</v>
      </c>
    </row>
    <row r="779" spans="1:18" s="1370" customFormat="1" x14ac:dyDescent="0.25">
      <c r="A779" s="1118" t="s">
        <v>1488</v>
      </c>
      <c r="B779" s="1089" t="str">
        <f ca="1">_xlfn.CONCAT(IFERROR(SUBSTITUTE(ADDRESS(1,MATCH(A779,INDIRECT("'"&amp;E779&amp;"'"&amp;"!A" &amp; $O$766 + 5 &amp; ":Z" &amp; $O$766+ 5),0),4),1,""),""),$O$766 + 5)</f>
        <v>L156</v>
      </c>
      <c r="C779" s="1089" t="str">
        <f ca="1">_xlfn.CONCAT(IFERROR(SUBSTITUTE(ADDRESS(1,MATCH(A779,INDIRECT("'"&amp;E779&amp;"'"&amp;"!A" &amp; $O$766 + 5 &amp; ":Z" &amp; $O$766+ 5),0),4),1,""),""),$O$766 + 6)</f>
        <v>L157</v>
      </c>
      <c r="D779" s="1089" t="s">
        <v>1448</v>
      </c>
      <c r="E779" s="1089" t="s">
        <v>1618</v>
      </c>
      <c r="I779" s="1026" t="str">
        <f t="shared" si="85"/>
        <v/>
      </c>
      <c r="J779" s="1376"/>
      <c r="K779" s="1376" t="str">
        <f t="shared" si="87"/>
        <v/>
      </c>
      <c r="L779" s="1089" t="s">
        <v>1488</v>
      </c>
      <c r="M779" s="1376">
        <v>762</v>
      </c>
      <c r="N779" s="1376"/>
      <c r="R779" s="1376" t="s">
        <v>1633</v>
      </c>
    </row>
    <row r="780" spans="1:18" s="1370" customFormat="1" x14ac:dyDescent="0.25">
      <c r="A780" s="1121" t="s">
        <v>1593</v>
      </c>
      <c r="B780" s="1089" t="str">
        <f ca="1">IFERROR(_xlfn.CONCAT("C",MATCH(A780,INDIRECT("'"&amp;E780&amp;"'!C"&amp;$O$781&amp;":C"&amp;$O$783),0)+$O$781-1),"")</f>
        <v>C169</v>
      </c>
      <c r="C780" s="1089" t="str">
        <f ca="1">IFERROR(_xlfn.CONCAT("D",MATCH(A780,INDIRECT("'"&amp;E780&amp;"'!C"&amp;$O$781&amp;":C"&amp;$O$783),0)+$O$781-1),"")</f>
        <v>D169</v>
      </c>
      <c r="D780" s="1089" t="s">
        <v>1448</v>
      </c>
      <c r="E780" s="1089" t="s">
        <v>1618</v>
      </c>
      <c r="I780" s="1026" t="str">
        <f t="shared" si="85"/>
        <v/>
      </c>
      <c r="J780" s="1376"/>
      <c r="K780" s="1376" t="str">
        <f t="shared" si="87"/>
        <v/>
      </c>
      <c r="L780" s="1089" t="s">
        <v>1593</v>
      </c>
      <c r="M780" s="1376">
        <v>763</v>
      </c>
      <c r="N780" s="1376"/>
      <c r="O780" s="1370" t="s">
        <v>742</v>
      </c>
      <c r="R780" s="1376" t="s">
        <v>1633</v>
      </c>
    </row>
    <row r="781" spans="1:18" s="1370" customFormat="1" x14ac:dyDescent="0.25">
      <c r="A781" s="1121" t="s">
        <v>1809</v>
      </c>
      <c r="B781" s="1089" t="str">
        <f ca="1">_xlfn.CONCAT(IFERROR(SUBSTITUTE(ADDRESS(1,MATCH(A781,INDIRECT("'"&amp;E781&amp;"'"&amp;"!A" &amp; $O$781 + 11 &amp; ":Z" &amp; $O$781+ 11),0),4),1,""),""),$O$781 + 11)</f>
        <v>T176</v>
      </c>
      <c r="C781" s="1089" t="str">
        <f ca="1">_xlfn.CONCAT(IFERROR(SUBSTITUTE(ADDRESS(1,MATCH(A781,INDIRECT("'"&amp;E781&amp;"'"&amp;"!A" &amp; $O$781 + 11 &amp; ":Z" &amp; $O$781+ 11),0),4),1,""),""),$O$781 + 12)</f>
        <v>T177</v>
      </c>
      <c r="D781" s="1089" t="s">
        <v>1448</v>
      </c>
      <c r="E781" s="1089" t="s">
        <v>1618</v>
      </c>
      <c r="I781" s="1026" t="str">
        <f t="shared" si="85"/>
        <v/>
      </c>
      <c r="J781" s="1376"/>
      <c r="K781" s="1376" t="str">
        <f t="shared" si="87"/>
        <v/>
      </c>
      <c r="L781" s="1089" t="s">
        <v>1809</v>
      </c>
      <c r="M781" s="1376">
        <v>764</v>
      </c>
      <c r="N781" s="1376"/>
      <c r="O781" s="1370">
        <f>'Configurable Tab'!H14</f>
        <v>165</v>
      </c>
      <c r="Q781" s="1370" t="s">
        <v>653</v>
      </c>
      <c r="R781" s="1376" t="s">
        <v>1633</v>
      </c>
    </row>
    <row r="782" spans="1:18" s="1370" customFormat="1" x14ac:dyDescent="0.25">
      <c r="A782" s="1121" t="s">
        <v>1482</v>
      </c>
      <c r="B782" s="1089" t="str">
        <f ca="1">IFERROR(_xlfn.CONCAT("C",MATCH(A782,INDIRECT("'"&amp;E782&amp;"'!C"&amp;$O$781&amp;":C"&amp;$O$783),0)+$O$781-1),"")</f>
        <v>C167</v>
      </c>
      <c r="C782" s="1089" t="str">
        <f ca="1">IFERROR(_xlfn.CONCAT("D",MATCH(A782,INDIRECT("'"&amp;E782&amp;"'!C"&amp;$O$781&amp;":C"&amp;$O$783),0)+$O$781-1),"")</f>
        <v>D167</v>
      </c>
      <c r="D782" s="1089" t="s">
        <v>1448</v>
      </c>
      <c r="E782" s="1089" t="s">
        <v>1618</v>
      </c>
      <c r="I782" s="1026" t="str">
        <f t="shared" si="85"/>
        <v/>
      </c>
      <c r="J782" s="1376"/>
      <c r="K782" s="1376" t="str">
        <f t="shared" si="87"/>
        <v/>
      </c>
      <c r="L782" s="1089" t="s">
        <v>1482</v>
      </c>
      <c r="M782" s="1376">
        <v>765</v>
      </c>
      <c r="N782" s="1376"/>
      <c r="O782" s="1370" t="s">
        <v>743</v>
      </c>
      <c r="R782" s="1376" t="s">
        <v>1633</v>
      </c>
    </row>
    <row r="783" spans="1:18" s="1370" customFormat="1" x14ac:dyDescent="0.25">
      <c r="A783" s="1121" t="s">
        <v>1479</v>
      </c>
      <c r="B783" s="1089" t="str">
        <f t="shared" ref="B783:B789" ca="1" si="88">_xlfn.CONCAT(IFERROR(SUBSTITUTE(ADDRESS(1,MATCH(A783,INDIRECT("'"&amp;E783&amp;"'"&amp;"!A" &amp; $O$781 + 2 &amp; ":Z" &amp; $O$781+ 2),0),4),1,""),""),$O$781 + 2)</f>
        <v>H167</v>
      </c>
      <c r="C783" s="1089" t="str">
        <f t="shared" ref="C783:C789" ca="1" si="89">_xlfn.CONCAT(IFERROR(SUBSTITUTE(ADDRESS(1,MATCH(A783,INDIRECT("'"&amp;E783&amp;"'"&amp;"!A" &amp; $O$781 + 2 &amp; ":Z" &amp; $O$781+ 2),0),4),1,""),""),$O$781 + 3)</f>
        <v>H168</v>
      </c>
      <c r="D783" s="1089" t="s">
        <v>1448</v>
      </c>
      <c r="E783" s="1089" t="s">
        <v>1618</v>
      </c>
      <c r="I783" s="1026" t="str">
        <f t="shared" si="85"/>
        <v/>
      </c>
      <c r="J783" s="1376"/>
      <c r="K783" s="1376" t="str">
        <f t="shared" si="87"/>
        <v/>
      </c>
      <c r="L783" s="1089" t="s">
        <v>1479</v>
      </c>
      <c r="M783" s="1376">
        <v>766</v>
      </c>
      <c r="N783" s="1376"/>
      <c r="O783" s="1370">
        <f>'Configurable Tab'!I14</f>
        <v>178</v>
      </c>
      <c r="R783" s="1376" t="s">
        <v>1633</v>
      </c>
    </row>
    <row r="784" spans="1:18" s="1370" customFormat="1" x14ac:dyDescent="0.25">
      <c r="A784" s="1121" t="s">
        <v>1480</v>
      </c>
      <c r="B784" s="1089" t="str">
        <f t="shared" ca="1" si="88"/>
        <v>J167</v>
      </c>
      <c r="C784" s="1089" t="str">
        <f t="shared" ca="1" si="89"/>
        <v>J168</v>
      </c>
      <c r="D784" s="1089" t="s">
        <v>1448</v>
      </c>
      <c r="E784" s="1089" t="s">
        <v>1618</v>
      </c>
      <c r="I784" s="1026" t="str">
        <f t="shared" si="85"/>
        <v/>
      </c>
      <c r="J784" s="1376"/>
      <c r="K784" s="1376" t="str">
        <f t="shared" si="87"/>
        <v/>
      </c>
      <c r="L784" s="1089" t="s">
        <v>1480</v>
      </c>
      <c r="M784" s="1376">
        <v>767</v>
      </c>
      <c r="N784" s="1376"/>
      <c r="O784" s="1370" t="s">
        <v>1747</v>
      </c>
      <c r="R784" s="1376" t="s">
        <v>1633</v>
      </c>
    </row>
    <row r="785" spans="1:18" s="1370" customFormat="1" x14ac:dyDescent="0.25">
      <c r="A785" s="1121" t="s">
        <v>1496</v>
      </c>
      <c r="B785" s="1089" t="str">
        <f t="shared" ca="1" si="88"/>
        <v>L167</v>
      </c>
      <c r="C785" s="1089" t="str">
        <f t="shared" ca="1" si="89"/>
        <v>L168</v>
      </c>
      <c r="D785" s="1089" t="s">
        <v>1448</v>
      </c>
      <c r="E785" s="1089" t="s">
        <v>1618</v>
      </c>
      <c r="I785" s="1026" t="str">
        <f t="shared" si="85"/>
        <v/>
      </c>
      <c r="J785" s="1376"/>
      <c r="K785" s="1376" t="str">
        <f t="shared" si="87"/>
        <v/>
      </c>
      <c r="L785" s="1089" t="s">
        <v>1496</v>
      </c>
      <c r="M785" s="1376">
        <v>768</v>
      </c>
      <c r="N785" s="1376"/>
      <c r="R785" s="1376" t="s">
        <v>1633</v>
      </c>
    </row>
    <row r="786" spans="1:18" s="1370" customFormat="1" x14ac:dyDescent="0.25">
      <c r="A786" s="1121" t="s">
        <v>1481</v>
      </c>
      <c r="B786" s="1089" t="str">
        <f t="shared" ca="1" si="88"/>
        <v>N167</v>
      </c>
      <c r="C786" s="1089" t="str">
        <f t="shared" ca="1" si="89"/>
        <v>N168</v>
      </c>
      <c r="D786" s="1089" t="s">
        <v>1448</v>
      </c>
      <c r="E786" s="1089" t="s">
        <v>1618</v>
      </c>
      <c r="I786" s="1026" t="str">
        <f t="shared" si="85"/>
        <v/>
      </c>
      <c r="J786" s="1376"/>
      <c r="K786" s="1376" t="str">
        <f t="shared" si="87"/>
        <v/>
      </c>
      <c r="L786" s="1089" t="s">
        <v>1481</v>
      </c>
      <c r="M786" s="1376">
        <v>769</v>
      </c>
      <c r="N786" s="1376"/>
      <c r="R786" s="1376" t="s">
        <v>1633</v>
      </c>
    </row>
    <row r="787" spans="1:18" s="1370" customFormat="1" x14ac:dyDescent="0.25">
      <c r="A787" s="1121" t="s">
        <v>1588</v>
      </c>
      <c r="B787" s="1089" t="str">
        <f t="shared" ca="1" si="88"/>
        <v>P167</v>
      </c>
      <c r="C787" s="1089" t="str">
        <f t="shared" ca="1" si="89"/>
        <v>P168</v>
      </c>
      <c r="D787" s="1089" t="s">
        <v>1448</v>
      </c>
      <c r="E787" s="1089" t="s">
        <v>1618</v>
      </c>
      <c r="I787" s="1026" t="str">
        <f t="shared" si="85"/>
        <v>Qualifying Cycle</v>
      </c>
      <c r="J787" s="1376" t="str">
        <f t="shared" si="86"/>
        <v>770</v>
      </c>
      <c r="K787" s="1376" t="str">
        <f t="shared" si="87"/>
        <v>Incentives Worksheet</v>
      </c>
      <c r="L787" s="1089" t="s">
        <v>1588</v>
      </c>
      <c r="M787" s="1376">
        <v>770</v>
      </c>
      <c r="N787" s="1376"/>
      <c r="R787" s="1376" t="s">
        <v>1633</v>
      </c>
    </row>
    <row r="788" spans="1:18" s="1370" customFormat="1" x14ac:dyDescent="0.25">
      <c r="A788" s="1121" t="s">
        <v>1589</v>
      </c>
      <c r="B788" s="1089" t="str">
        <f t="shared" ca="1" si="88"/>
        <v>R167</v>
      </c>
      <c r="C788" s="1089" t="str">
        <f t="shared" ca="1" si="89"/>
        <v>R168</v>
      </c>
      <c r="D788" s="1089" t="s">
        <v>1448</v>
      </c>
      <c r="E788" s="1089" t="s">
        <v>1618</v>
      </c>
      <c r="I788" s="1026" t="str">
        <f t="shared" si="85"/>
        <v>Incentive Calendar</v>
      </c>
      <c r="J788" s="1376" t="str">
        <f t="shared" si="86"/>
        <v>771</v>
      </c>
      <c r="K788" s="1376" t="str">
        <f t="shared" si="87"/>
        <v>Incentives Worksheet</v>
      </c>
      <c r="L788" s="1089" t="s">
        <v>1589</v>
      </c>
      <c r="M788" s="1376">
        <v>771</v>
      </c>
      <c r="N788" s="1376"/>
      <c r="R788" s="1376" t="s">
        <v>1633</v>
      </c>
    </row>
    <row r="789" spans="1:18" s="1370" customFormat="1" x14ac:dyDescent="0.25">
      <c r="A789" s="1121" t="s">
        <v>1590</v>
      </c>
      <c r="B789" s="1089" t="str">
        <f t="shared" ca="1" si="88"/>
        <v>T167</v>
      </c>
      <c r="C789" s="1089" t="str">
        <f t="shared" ca="1" si="89"/>
        <v>T168</v>
      </c>
      <c r="D789" s="1089" t="s">
        <v>1448</v>
      </c>
      <c r="E789" s="1089" t="s">
        <v>1618</v>
      </c>
      <c r="I789" s="1026" t="str">
        <f t="shared" si="85"/>
        <v>Post to GL Payment Method Flag</v>
      </c>
      <c r="J789" s="1376" t="str">
        <f t="shared" si="86"/>
        <v>772</v>
      </c>
      <c r="K789" s="1376" t="str">
        <f t="shared" si="87"/>
        <v>Incentives Worksheet</v>
      </c>
      <c r="L789" s="1089" t="s">
        <v>1590</v>
      </c>
      <c r="M789" s="1376">
        <v>772</v>
      </c>
      <c r="N789" s="1376"/>
      <c r="R789" s="1376" t="s">
        <v>1633</v>
      </c>
    </row>
    <row r="790" spans="1:18" s="1370" customFormat="1" x14ac:dyDescent="0.25">
      <c r="A790" s="1121" t="s">
        <v>1484</v>
      </c>
      <c r="B790" s="1089" t="str">
        <f ca="1">IFERROR(_xlfn.CONCAT("C",MATCH(A790,INDIRECT("'"&amp;E790&amp;"'!C"&amp;$O$781&amp;":C"&amp;$O$783),0)+$O$781-1),"")</f>
        <v>C171</v>
      </c>
      <c r="C790" s="1089" t="str">
        <f ca="1">IFERROR(_xlfn.CONCAT("D",MATCH(A790,INDIRECT("'"&amp;E790&amp;"'!C"&amp;$O$781&amp;":C"&amp;$O$783),0)+$O$781-1),"")</f>
        <v>D171</v>
      </c>
      <c r="D790" s="1089" t="s">
        <v>1448</v>
      </c>
      <c r="E790" s="1089" t="s">
        <v>1618</v>
      </c>
      <c r="I790" s="1026" t="str">
        <f t="shared" si="85"/>
        <v/>
      </c>
      <c r="J790" s="1376"/>
      <c r="K790" s="1376" t="str">
        <f t="shared" si="87"/>
        <v/>
      </c>
      <c r="L790" s="1089" t="s">
        <v>1484</v>
      </c>
      <c r="M790" s="1376">
        <v>773</v>
      </c>
      <c r="N790" s="1376"/>
      <c r="R790" s="1376" t="s">
        <v>1633</v>
      </c>
    </row>
    <row r="791" spans="1:18" s="1370" customFormat="1" x14ac:dyDescent="0.25">
      <c r="A791" s="1121" t="s">
        <v>1485</v>
      </c>
      <c r="B791" s="1089" t="str">
        <f ca="1">IFERROR(_xlfn.CONCAT("C",MATCH(A791,INDIRECT("'"&amp;E791&amp;"'!C"&amp;$O$781&amp;":C"&amp;$O$783),0)+$O$781-1),"")</f>
        <v>C173</v>
      </c>
      <c r="C791" s="1089" t="str">
        <f ca="1">IFERROR(_xlfn.CONCAT("D",MATCH(A791,INDIRECT("'"&amp;E791&amp;"'!C"&amp;$O$781&amp;":C"&amp;$O$783),0)+$O$781-1),"")</f>
        <v>D173</v>
      </c>
      <c r="D791" s="1089" t="s">
        <v>1448</v>
      </c>
      <c r="E791" s="1089" t="s">
        <v>1618</v>
      </c>
      <c r="I791" s="1026" t="str">
        <f t="shared" si="85"/>
        <v/>
      </c>
      <c r="J791" s="1376"/>
      <c r="K791" s="1376" t="str">
        <f t="shared" si="87"/>
        <v/>
      </c>
      <c r="L791" s="1089" t="s">
        <v>1485</v>
      </c>
      <c r="M791" s="1376">
        <v>774</v>
      </c>
      <c r="N791" s="1376"/>
      <c r="R791" s="1376" t="s">
        <v>1633</v>
      </c>
    </row>
    <row r="792" spans="1:18" s="1370" customFormat="1" ht="30" x14ac:dyDescent="0.25">
      <c r="A792" s="1121" t="s">
        <v>1597</v>
      </c>
      <c r="B792" s="1089" t="str">
        <f ca="1">IFERROR(_xlfn.CONCAT("C",MATCH(A792,INDIRECT("'"&amp;E792&amp;"'!C"&amp;$O$781&amp;":C"&amp;$O$783),0)+$O$781-1),"")</f>
        <v>C175</v>
      </c>
      <c r="C792" s="1089" t="str">
        <f ca="1">IFERROR(_xlfn.CONCAT("D",MATCH(A792,INDIRECT("'"&amp;E792&amp;"'!C"&amp;$O$781&amp;":C"&amp;$O$783),0)+$O$781-1),"")</f>
        <v>D175</v>
      </c>
      <c r="D792" s="1089" t="s">
        <v>1448</v>
      </c>
      <c r="E792" s="1089" t="s">
        <v>1618</v>
      </c>
      <c r="I792" s="1026" t="str">
        <f t="shared" si="85"/>
        <v>Incentive Dates Match Agreement Dates Flag</v>
      </c>
      <c r="J792" s="1376" t="str">
        <f t="shared" si="86"/>
        <v>775</v>
      </c>
      <c r="K792" s="1376" t="str">
        <f t="shared" si="87"/>
        <v>Incentives Worksheet</v>
      </c>
      <c r="L792" s="1089" t="s">
        <v>1597</v>
      </c>
      <c r="M792" s="1376">
        <v>775</v>
      </c>
      <c r="N792" s="1376"/>
      <c r="R792" s="1376" t="s">
        <v>1633</v>
      </c>
    </row>
    <row r="793" spans="1:18" s="1370" customFormat="1" x14ac:dyDescent="0.25">
      <c r="A793" s="1121" t="s">
        <v>1594</v>
      </c>
      <c r="B793" s="1089" t="str">
        <f ca="1">_xlfn.CONCAT(IFERROR(SUBSTITUTE(ADDRESS(1,MATCH(A793,INDIRECT("'"&amp;E793&amp;"'"&amp;"!A" &amp; $O$781 + 8 &amp; ":Z" &amp; $O$781+ 8),0),4),1,""),""),$O$781 + 8)</f>
        <v>H173</v>
      </c>
      <c r="C793" s="1089" t="str">
        <f ca="1">_xlfn.CONCAT(IFERROR(SUBSTITUTE(ADDRESS(1,MATCH(A793,INDIRECT("'"&amp;E793&amp;"'"&amp;"!A" &amp; $O$781 + 8 &amp; ":Z" &amp; $O$781+ 8),0),4),1,""),""),$O$781 + 9)</f>
        <v>H174</v>
      </c>
      <c r="D793" s="1089" t="s">
        <v>1448</v>
      </c>
      <c r="E793" s="1089" t="s">
        <v>1618</v>
      </c>
      <c r="I793" s="1026" t="str">
        <f t="shared" si="85"/>
        <v>Include All Customers Flag</v>
      </c>
      <c r="J793" s="1376" t="str">
        <f t="shared" si="86"/>
        <v>776</v>
      </c>
      <c r="K793" s="1376" t="str">
        <f t="shared" si="87"/>
        <v>Incentives Worksheet</v>
      </c>
      <c r="L793" s="1089" t="s">
        <v>1594</v>
      </c>
      <c r="M793" s="1376">
        <v>776</v>
      </c>
      <c r="N793" s="1376"/>
      <c r="R793" s="1376" t="s">
        <v>1633</v>
      </c>
    </row>
    <row r="794" spans="1:18" s="1370" customFormat="1" x14ac:dyDescent="0.25">
      <c r="A794" s="1121" t="s">
        <v>1488</v>
      </c>
      <c r="B794" s="1089" t="str">
        <f ca="1">_xlfn.CONCAT(IFERROR(SUBSTITUTE(ADDRESS(1,MATCH(A794,INDIRECT("'"&amp;E794&amp;"'"&amp;"!A" &amp; $O$781 + 5 &amp; ":Z" &amp; $O$781+ 5),0),4),1,""),""),$O$781 + 5)</f>
        <v>L170</v>
      </c>
      <c r="C794" s="1089" t="str">
        <f ca="1">_xlfn.CONCAT(IFERROR(SUBSTITUTE(ADDRESS(1,MATCH(A794,INDIRECT("'"&amp;E794&amp;"'"&amp;"!A" &amp; $O$781 + 5 &amp; ":Z" &amp; $O$781+ 5),0),4),1,""),""),$O$781 + 6)</f>
        <v>L171</v>
      </c>
      <c r="D794" s="1089" t="s">
        <v>1448</v>
      </c>
      <c r="E794" s="1089" t="s">
        <v>1618</v>
      </c>
      <c r="I794" s="1026" t="str">
        <f t="shared" si="85"/>
        <v/>
      </c>
      <c r="J794" s="1376"/>
      <c r="K794" s="1376" t="str">
        <f t="shared" si="87"/>
        <v/>
      </c>
      <c r="L794" s="1089" t="s">
        <v>1488</v>
      </c>
      <c r="M794" s="1376">
        <v>777</v>
      </c>
      <c r="N794" s="1376"/>
      <c r="R794" s="1376" t="s">
        <v>1633</v>
      </c>
    </row>
    <row r="795" spans="1:18" s="1370" customFormat="1" x14ac:dyDescent="0.25">
      <c r="A795" s="1118" t="s">
        <v>1593</v>
      </c>
      <c r="B795" s="1089" t="str">
        <f ca="1">IFERROR(_xlfn.CONCAT("C",MATCH(A795,INDIRECT("'"&amp;E795&amp;"'!C"&amp;$O$796&amp;":C"&amp;$O$798),0)+$O$796-1),"")</f>
        <v>C183</v>
      </c>
      <c r="C795" s="1089" t="str">
        <f ca="1">IFERROR(_xlfn.CONCAT("D",MATCH(A795,INDIRECT("'"&amp;E795&amp;"'!C"&amp;$O$796&amp;":C"&amp;$O$798),0)+$O$796-1),"")</f>
        <v>D183</v>
      </c>
      <c r="D795" s="1089" t="s">
        <v>1448</v>
      </c>
      <c r="E795" s="1089" t="s">
        <v>1618</v>
      </c>
      <c r="I795" s="1026" t="str">
        <f t="shared" si="85"/>
        <v/>
      </c>
      <c r="J795" s="1376"/>
      <c r="K795" s="1376" t="str">
        <f t="shared" si="87"/>
        <v/>
      </c>
      <c r="L795" s="1089" t="s">
        <v>1593</v>
      </c>
      <c r="M795" s="1376">
        <v>778</v>
      </c>
      <c r="N795" s="1376"/>
      <c r="O795" s="1370" t="s">
        <v>742</v>
      </c>
      <c r="R795" s="1376" t="s">
        <v>1633</v>
      </c>
    </row>
    <row r="796" spans="1:18" s="1370" customFormat="1" x14ac:dyDescent="0.25">
      <c r="A796" s="1118" t="s">
        <v>1809</v>
      </c>
      <c r="B796" s="1089" t="str">
        <f ca="1">_xlfn.CONCAT(IFERROR(SUBSTITUTE(ADDRESS(1,MATCH(A796,INDIRECT("'"&amp;E796&amp;"'"&amp;"!A" &amp; $O$796 + 11 &amp; ":Z" &amp; $O$796+ 11),0),4),1,""),""),$O$796 + 11)</f>
        <v>T190</v>
      </c>
      <c r="C796" s="1089" t="str">
        <f ca="1">_xlfn.CONCAT(IFERROR(SUBSTITUTE(ADDRESS(1,MATCH(A796,INDIRECT("'"&amp;E796&amp;"'"&amp;"!A" &amp; $O$796 + 11 &amp; ":Z" &amp; $O$796+ 11),0),4),1,""),""),$O$796 + 12)</f>
        <v>T191</v>
      </c>
      <c r="D796" s="1089" t="s">
        <v>1448</v>
      </c>
      <c r="E796" s="1089" t="s">
        <v>1618</v>
      </c>
      <c r="I796" s="1026" t="str">
        <f t="shared" si="85"/>
        <v/>
      </c>
      <c r="J796" s="1376"/>
      <c r="K796" s="1376" t="str">
        <f t="shared" si="87"/>
        <v/>
      </c>
      <c r="L796" s="1089" t="s">
        <v>1809</v>
      </c>
      <c r="M796" s="1376">
        <v>779</v>
      </c>
      <c r="N796" s="1376"/>
      <c r="O796" s="1370">
        <f>'Configurable Tab'!H15</f>
        <v>179</v>
      </c>
      <c r="Q796" s="1370" t="s">
        <v>653</v>
      </c>
      <c r="R796" s="1376" t="s">
        <v>1633</v>
      </c>
    </row>
    <row r="797" spans="1:18" s="1370" customFormat="1" x14ac:dyDescent="0.25">
      <c r="A797" s="1118" t="s">
        <v>1482</v>
      </c>
      <c r="B797" s="1089" t="str">
        <f ca="1">IFERROR(_xlfn.CONCAT("C",MATCH(A797,INDIRECT("'"&amp;E797&amp;"'!C"&amp;$O$796&amp;":C"&amp;$O$798),0)+$O$796-1),"")</f>
        <v>C181</v>
      </c>
      <c r="C797" s="1089" t="str">
        <f ca="1">IFERROR(_xlfn.CONCAT("D",MATCH(A797,INDIRECT("'"&amp;E797&amp;"'!C"&amp;$O$796&amp;":C"&amp;$O$798),0)+$O$796-1),"")</f>
        <v>D181</v>
      </c>
      <c r="D797" s="1089" t="s">
        <v>1448</v>
      </c>
      <c r="E797" s="1089" t="s">
        <v>1618</v>
      </c>
      <c r="I797" s="1026" t="str">
        <f t="shared" si="85"/>
        <v/>
      </c>
      <c r="J797" s="1376"/>
      <c r="K797" s="1376" t="str">
        <f t="shared" si="87"/>
        <v/>
      </c>
      <c r="L797" s="1089" t="s">
        <v>1482</v>
      </c>
      <c r="M797" s="1376">
        <v>780</v>
      </c>
      <c r="N797" s="1376"/>
      <c r="O797" s="1370" t="s">
        <v>743</v>
      </c>
      <c r="R797" s="1376" t="s">
        <v>1633</v>
      </c>
    </row>
    <row r="798" spans="1:18" s="1370" customFormat="1" x14ac:dyDescent="0.25">
      <c r="A798" s="1118" t="s">
        <v>1479</v>
      </c>
      <c r="B798" s="1089" t="str">
        <f t="shared" ref="B798:B804" ca="1" si="90">_xlfn.CONCAT(IFERROR(SUBSTITUTE(ADDRESS(1,MATCH(A798,INDIRECT("'"&amp;E798&amp;"'"&amp;"!A" &amp; $O$796 + 2 &amp; ":Z" &amp; $O$796+ 2),0),4),1,""),""),$O$796 + 2)</f>
        <v>H181</v>
      </c>
      <c r="C798" s="1089" t="str">
        <f t="shared" ref="C798:C804" ca="1" si="91">_xlfn.CONCAT(IFERROR(SUBSTITUTE(ADDRESS(1,MATCH(A798,INDIRECT("'"&amp;E798&amp;"'"&amp;"!A" &amp; $O$796 + 2 &amp; ":Z" &amp; $O$796+ 2),0),4),1,""),""),$O$796 + 3)</f>
        <v>H182</v>
      </c>
      <c r="D798" s="1089" t="s">
        <v>1448</v>
      </c>
      <c r="E798" s="1089" t="s">
        <v>1618</v>
      </c>
      <c r="I798" s="1026" t="str">
        <f t="shared" si="85"/>
        <v/>
      </c>
      <c r="J798" s="1376"/>
      <c r="K798" s="1376" t="str">
        <f t="shared" si="87"/>
        <v/>
      </c>
      <c r="L798" s="1089" t="s">
        <v>1479</v>
      </c>
      <c r="M798" s="1376">
        <v>781</v>
      </c>
      <c r="N798" s="1376"/>
      <c r="O798" s="1370">
        <f>'Configurable Tab'!I15</f>
        <v>192</v>
      </c>
      <c r="R798" s="1376" t="s">
        <v>1633</v>
      </c>
    </row>
    <row r="799" spans="1:18" s="1370" customFormat="1" x14ac:dyDescent="0.25">
      <c r="A799" s="1118" t="s">
        <v>1480</v>
      </c>
      <c r="B799" s="1089" t="str">
        <f t="shared" ca="1" si="90"/>
        <v>J181</v>
      </c>
      <c r="C799" s="1089" t="str">
        <f t="shared" ca="1" si="91"/>
        <v>J182</v>
      </c>
      <c r="D799" s="1089" t="s">
        <v>1448</v>
      </c>
      <c r="E799" s="1089" t="s">
        <v>1618</v>
      </c>
      <c r="I799" s="1026" t="str">
        <f t="shared" si="85"/>
        <v/>
      </c>
      <c r="J799" s="1376"/>
      <c r="K799" s="1376" t="str">
        <f t="shared" si="87"/>
        <v/>
      </c>
      <c r="L799" s="1089" t="s">
        <v>1480</v>
      </c>
      <c r="M799" s="1376">
        <v>782</v>
      </c>
      <c r="N799" s="1376"/>
      <c r="O799" s="1370" t="s">
        <v>1748</v>
      </c>
      <c r="R799" s="1376" t="s">
        <v>1633</v>
      </c>
    </row>
    <row r="800" spans="1:18" s="1370" customFormat="1" x14ac:dyDescent="0.25">
      <c r="A800" s="1118" t="s">
        <v>1496</v>
      </c>
      <c r="B800" s="1089" t="str">
        <f t="shared" ca="1" si="90"/>
        <v>L181</v>
      </c>
      <c r="C800" s="1089" t="str">
        <f t="shared" ca="1" si="91"/>
        <v>L182</v>
      </c>
      <c r="D800" s="1089" t="s">
        <v>1448</v>
      </c>
      <c r="E800" s="1089" t="s">
        <v>1618</v>
      </c>
      <c r="I800" s="1026" t="str">
        <f t="shared" si="85"/>
        <v/>
      </c>
      <c r="J800" s="1376"/>
      <c r="K800" s="1376" t="str">
        <f t="shared" si="87"/>
        <v/>
      </c>
      <c r="L800" s="1089" t="s">
        <v>1496</v>
      </c>
      <c r="M800" s="1376">
        <v>783</v>
      </c>
      <c r="N800" s="1376"/>
      <c r="R800" s="1376" t="s">
        <v>1633</v>
      </c>
    </row>
    <row r="801" spans="1:18" s="1370" customFormat="1" x14ac:dyDescent="0.25">
      <c r="A801" s="1118" t="s">
        <v>1481</v>
      </c>
      <c r="B801" s="1089" t="str">
        <f t="shared" ca="1" si="90"/>
        <v>N181</v>
      </c>
      <c r="C801" s="1089" t="str">
        <f t="shared" ca="1" si="91"/>
        <v>N182</v>
      </c>
      <c r="D801" s="1089" t="s">
        <v>1448</v>
      </c>
      <c r="E801" s="1089" t="s">
        <v>1618</v>
      </c>
      <c r="I801" s="1026" t="str">
        <f t="shared" si="85"/>
        <v/>
      </c>
      <c r="J801" s="1376"/>
      <c r="K801" s="1376" t="str">
        <f t="shared" si="87"/>
        <v/>
      </c>
      <c r="L801" s="1089" t="s">
        <v>1481</v>
      </c>
      <c r="M801" s="1376">
        <v>784</v>
      </c>
      <c r="N801" s="1376"/>
      <c r="R801" s="1376" t="s">
        <v>1633</v>
      </c>
    </row>
    <row r="802" spans="1:18" s="1370" customFormat="1" x14ac:dyDescent="0.25">
      <c r="A802" s="1118" t="s">
        <v>1588</v>
      </c>
      <c r="B802" s="1089" t="str">
        <f t="shared" ca="1" si="90"/>
        <v>P181</v>
      </c>
      <c r="C802" s="1089" t="str">
        <f t="shared" ca="1" si="91"/>
        <v>P182</v>
      </c>
      <c r="D802" s="1089" t="s">
        <v>1448</v>
      </c>
      <c r="E802" s="1089" t="s">
        <v>1618</v>
      </c>
      <c r="I802" s="1026" t="str">
        <f t="shared" si="85"/>
        <v>Qualifying Cycle</v>
      </c>
      <c r="J802" s="1376" t="str">
        <f t="shared" si="86"/>
        <v>785</v>
      </c>
      <c r="K802" s="1376" t="str">
        <f t="shared" si="87"/>
        <v>Incentives Worksheet</v>
      </c>
      <c r="L802" s="1089" t="s">
        <v>1588</v>
      </c>
      <c r="M802" s="1376">
        <v>785</v>
      </c>
      <c r="N802" s="1376"/>
      <c r="R802" s="1376" t="s">
        <v>1633</v>
      </c>
    </row>
    <row r="803" spans="1:18" s="1370" customFormat="1" x14ac:dyDescent="0.25">
      <c r="A803" s="1118" t="s">
        <v>1589</v>
      </c>
      <c r="B803" s="1089" t="str">
        <f t="shared" ca="1" si="90"/>
        <v>R181</v>
      </c>
      <c r="C803" s="1089" t="str">
        <f t="shared" ca="1" si="91"/>
        <v>R182</v>
      </c>
      <c r="D803" s="1089" t="s">
        <v>1448</v>
      </c>
      <c r="E803" s="1089" t="s">
        <v>1618</v>
      </c>
      <c r="I803" s="1026" t="str">
        <f t="shared" si="85"/>
        <v>Incentive Calendar</v>
      </c>
      <c r="J803" s="1376" t="str">
        <f t="shared" si="86"/>
        <v>786</v>
      </c>
      <c r="K803" s="1376" t="str">
        <f t="shared" si="87"/>
        <v>Incentives Worksheet</v>
      </c>
      <c r="L803" s="1089" t="s">
        <v>1589</v>
      </c>
      <c r="M803" s="1376">
        <v>786</v>
      </c>
      <c r="N803" s="1376"/>
      <c r="R803" s="1376" t="s">
        <v>1633</v>
      </c>
    </row>
    <row r="804" spans="1:18" s="1370" customFormat="1" x14ac:dyDescent="0.25">
      <c r="A804" s="1118" t="s">
        <v>1590</v>
      </c>
      <c r="B804" s="1089" t="str">
        <f t="shared" ca="1" si="90"/>
        <v>T181</v>
      </c>
      <c r="C804" s="1089" t="str">
        <f t="shared" ca="1" si="91"/>
        <v>T182</v>
      </c>
      <c r="D804" s="1089" t="s">
        <v>1448</v>
      </c>
      <c r="E804" s="1089" t="s">
        <v>1618</v>
      </c>
      <c r="I804" s="1026" t="str">
        <f t="shared" si="85"/>
        <v>Post to GL Payment Method Flag</v>
      </c>
      <c r="J804" s="1376" t="str">
        <f t="shared" si="86"/>
        <v>787</v>
      </c>
      <c r="K804" s="1376" t="str">
        <f t="shared" si="87"/>
        <v>Incentives Worksheet</v>
      </c>
      <c r="L804" s="1089" t="s">
        <v>1590</v>
      </c>
      <c r="M804" s="1376">
        <v>787</v>
      </c>
      <c r="N804" s="1376"/>
      <c r="R804" s="1376" t="s">
        <v>1633</v>
      </c>
    </row>
    <row r="805" spans="1:18" s="1370" customFormat="1" x14ac:dyDescent="0.25">
      <c r="A805" s="1118" t="s">
        <v>1484</v>
      </c>
      <c r="B805" s="1089" t="str">
        <f ca="1">IFERROR(_xlfn.CONCAT("C",MATCH(A805,INDIRECT("'"&amp;E805&amp;"'!C"&amp;$O$796&amp;":C"&amp;$O$798),0)+$O$796-1),"")</f>
        <v>C185</v>
      </c>
      <c r="C805" s="1089" t="str">
        <f ca="1">IFERROR(_xlfn.CONCAT("D",MATCH(A805,INDIRECT("'"&amp;E805&amp;"'!C"&amp;$O$796&amp;":C"&amp;$O$798),0)+$O$796-1),"")</f>
        <v>D185</v>
      </c>
      <c r="D805" s="1089" t="s">
        <v>1448</v>
      </c>
      <c r="E805" s="1089" t="s">
        <v>1618</v>
      </c>
      <c r="I805" s="1026" t="str">
        <f t="shared" si="85"/>
        <v/>
      </c>
      <c r="J805" s="1376"/>
      <c r="K805" s="1376" t="str">
        <f t="shared" si="87"/>
        <v/>
      </c>
      <c r="L805" s="1089" t="s">
        <v>1484</v>
      </c>
      <c r="M805" s="1376">
        <v>788</v>
      </c>
      <c r="N805" s="1376"/>
      <c r="R805" s="1376" t="s">
        <v>1633</v>
      </c>
    </row>
    <row r="806" spans="1:18" s="1370" customFormat="1" x14ac:dyDescent="0.25">
      <c r="A806" s="1118" t="s">
        <v>1485</v>
      </c>
      <c r="B806" s="1089" t="str">
        <f ca="1">IFERROR(_xlfn.CONCAT("C",MATCH(A806,INDIRECT("'"&amp;E806&amp;"'!C"&amp;$O$796&amp;":C"&amp;$O$798),0)+$O$796-1),"")</f>
        <v>C187</v>
      </c>
      <c r="C806" s="1089" t="str">
        <f ca="1">IFERROR(_xlfn.CONCAT("D",MATCH(A806,INDIRECT("'"&amp;E806&amp;"'!C"&amp;$O$796&amp;":C"&amp;$O$798),0)+$O$796-1),"")</f>
        <v>D187</v>
      </c>
      <c r="D806" s="1089" t="s">
        <v>1448</v>
      </c>
      <c r="E806" s="1089" t="s">
        <v>1618</v>
      </c>
      <c r="I806" s="1026" t="str">
        <f t="shared" si="85"/>
        <v/>
      </c>
      <c r="J806" s="1376"/>
      <c r="K806" s="1376" t="str">
        <f t="shared" si="87"/>
        <v/>
      </c>
      <c r="L806" s="1089" t="s">
        <v>1485</v>
      </c>
      <c r="M806" s="1376">
        <v>789</v>
      </c>
      <c r="N806" s="1376"/>
      <c r="R806" s="1376" t="s">
        <v>1633</v>
      </c>
    </row>
    <row r="807" spans="1:18" s="1370" customFormat="1" ht="30" x14ac:dyDescent="0.25">
      <c r="A807" s="1118" t="s">
        <v>1597</v>
      </c>
      <c r="B807" s="1089" t="str">
        <f ca="1">IFERROR(_xlfn.CONCAT("C",MATCH(A807,INDIRECT("'"&amp;E807&amp;"'!C"&amp;$O$796&amp;":C"&amp;$O$798),0)+$O$796-1),"")</f>
        <v>C189</v>
      </c>
      <c r="C807" s="1089" t="str">
        <f ca="1">IFERROR(_xlfn.CONCAT("D",MATCH(A807,INDIRECT("'"&amp;E807&amp;"'!C"&amp;$O$796&amp;":C"&amp;$O$798),0)+$O$796-1),"")</f>
        <v>D189</v>
      </c>
      <c r="D807" s="1089" t="s">
        <v>1448</v>
      </c>
      <c r="E807" s="1089" t="s">
        <v>1618</v>
      </c>
      <c r="I807" s="1026" t="str">
        <f t="shared" si="85"/>
        <v>Incentive Dates Match Agreement Dates Flag</v>
      </c>
      <c r="J807" s="1376" t="str">
        <f t="shared" si="86"/>
        <v>790</v>
      </c>
      <c r="K807" s="1376" t="str">
        <f t="shared" si="87"/>
        <v>Incentives Worksheet</v>
      </c>
      <c r="L807" s="1089" t="s">
        <v>1597</v>
      </c>
      <c r="M807" s="1376">
        <v>790</v>
      </c>
      <c r="N807" s="1376"/>
      <c r="R807" s="1376" t="s">
        <v>1633</v>
      </c>
    </row>
    <row r="808" spans="1:18" s="1370" customFormat="1" x14ac:dyDescent="0.25">
      <c r="A808" s="1118" t="s">
        <v>1594</v>
      </c>
      <c r="B808" s="1089" t="str">
        <f ca="1">_xlfn.CONCAT(IFERROR(SUBSTITUTE(ADDRESS(1,MATCH(A808,INDIRECT("'"&amp;E808&amp;"'"&amp;"!A" &amp; $O$796 + 8 &amp; ":Z" &amp; $O$796+ 8),0),4),1,""),""),$O$796 + 8)</f>
        <v>H187</v>
      </c>
      <c r="C808" s="1089" t="str">
        <f ca="1">_xlfn.CONCAT(IFERROR(SUBSTITUTE(ADDRESS(1,MATCH(A808,INDIRECT("'"&amp;E808&amp;"'"&amp;"!A" &amp; $O$796 + 8 &amp; ":Z" &amp; $O$796+ 8),0),4),1,""),""),$O$796 + 9)</f>
        <v>H188</v>
      </c>
      <c r="D808" s="1089" t="s">
        <v>1448</v>
      </c>
      <c r="E808" s="1089" t="s">
        <v>1618</v>
      </c>
      <c r="I808" s="1026" t="str">
        <f t="shared" si="85"/>
        <v>Include All Customers Flag</v>
      </c>
      <c r="J808" s="1376" t="str">
        <f t="shared" si="86"/>
        <v>791</v>
      </c>
      <c r="K808" s="1376" t="str">
        <f t="shared" si="87"/>
        <v>Incentives Worksheet</v>
      </c>
      <c r="L808" s="1089" t="s">
        <v>1594</v>
      </c>
      <c r="M808" s="1376">
        <v>791</v>
      </c>
      <c r="N808" s="1376"/>
      <c r="R808" s="1376" t="s">
        <v>1633</v>
      </c>
    </row>
    <row r="809" spans="1:18" s="1370" customFormat="1" x14ac:dyDescent="0.25">
      <c r="A809" s="1118" t="s">
        <v>1608</v>
      </c>
      <c r="B809" s="1089" t="str">
        <f ca="1">_xlfn.CONCAT(IFERROR(SUBSTITUTE(ADDRESS(1,MATCH(A809,INDIRECT("'"&amp;E809&amp;"'"&amp;"!A" &amp; $O$796 + 8 &amp; ":Z" &amp; $O$796+ 8),0),4),1,""),""),$O$796 + 8)</f>
        <v>J187</v>
      </c>
      <c r="C809" s="1089" t="str">
        <f ca="1">_xlfn.CONCAT(IFERROR(SUBSTITUTE(ADDRESS(1,MATCH(A809,INDIRECT("'"&amp;E809&amp;"'"&amp;"!A" &amp; $O$796 + 8 &amp; ":Z" &amp; $O$796+ 8),0),4),1,""),""),$O$796 + 9)</f>
        <v>J188</v>
      </c>
      <c r="D809" s="1089" t="s">
        <v>1448</v>
      </c>
      <c r="E809" s="1089" t="s">
        <v>1618</v>
      </c>
      <c r="I809" s="1026" t="str">
        <f t="shared" si="85"/>
        <v>Customer Aggregation</v>
      </c>
      <c r="J809" s="1376" t="str">
        <f t="shared" si="86"/>
        <v>792</v>
      </c>
      <c r="K809" s="1376" t="str">
        <f t="shared" si="87"/>
        <v>Incentives Worksheet</v>
      </c>
      <c r="L809" s="1089" t="s">
        <v>1608</v>
      </c>
      <c r="M809" s="1376">
        <v>792</v>
      </c>
      <c r="N809" s="1376"/>
      <c r="R809" s="1376" t="s">
        <v>1633</v>
      </c>
    </row>
    <row r="810" spans="1:18" s="1370" customFormat="1" x14ac:dyDescent="0.25">
      <c r="A810" s="1118" t="s">
        <v>1486</v>
      </c>
      <c r="B810" s="1089" t="str">
        <f ca="1">_xlfn.CONCAT(IFERROR(SUBSTITUTE(ADDRESS(1,MATCH(A810,INDIRECT("'"&amp;E810&amp;"'"&amp;"!A" &amp; $O$796 + 5 &amp; ":Z" &amp; $O$796+ 5),0),4),1,""),""),$O$796 + 5)</f>
        <v>H184</v>
      </c>
      <c r="C810" s="1089" t="str">
        <f ca="1">_xlfn.CONCAT(IFERROR(SUBSTITUTE(ADDRESS(1,MATCH(A810,INDIRECT("'"&amp;E810&amp;"'"&amp;"!A" &amp; $O$796 + 5 &amp; ":Z" &amp; $O$796+ 5),0),4),1,""),""),$O$796 + 6)</f>
        <v>H185</v>
      </c>
      <c r="D810" s="1089" t="s">
        <v>1448</v>
      </c>
      <c r="E810" s="1089" t="s">
        <v>1618</v>
      </c>
      <c r="I810" s="1026" t="str">
        <f t="shared" si="85"/>
        <v/>
      </c>
      <c r="J810" s="1376"/>
      <c r="K810" s="1376" t="str">
        <f t="shared" si="87"/>
        <v/>
      </c>
      <c r="L810" s="1089" t="s">
        <v>1486</v>
      </c>
      <c r="M810" s="1376">
        <v>793</v>
      </c>
      <c r="N810" s="1376"/>
      <c r="R810" s="1376" t="s">
        <v>1633</v>
      </c>
    </row>
    <row r="811" spans="1:18" s="1370" customFormat="1" x14ac:dyDescent="0.25">
      <c r="A811" s="1118" t="s">
        <v>1487</v>
      </c>
      <c r="B811" s="1089" t="str">
        <f ca="1">_xlfn.CONCAT(IFERROR(SUBSTITUTE(ADDRESS(1,MATCH(A811,INDIRECT("'"&amp;E811&amp;"'"&amp;"!A" &amp; $O$796 + 5 &amp; ":Z" &amp; $O$796+ 5),0),4),1,""),""),$O$796 + 5)</f>
        <v>J184</v>
      </c>
      <c r="C811" s="1089" t="str">
        <f ca="1">_xlfn.CONCAT(IFERROR(SUBSTITUTE(ADDRESS(1,MATCH(A811,INDIRECT("'"&amp;E811&amp;"'"&amp;"!A" &amp; $O$796 + 5 &amp; ":Z" &amp; $O$796+ 5),0),4),1,""),""),$O$796 + 6)</f>
        <v>J185</v>
      </c>
      <c r="D811" s="1089" t="s">
        <v>1448</v>
      </c>
      <c r="E811" s="1089" t="s">
        <v>1618</v>
      </c>
      <c r="I811" s="1026" t="str">
        <f t="shared" si="85"/>
        <v/>
      </c>
      <c r="J811" s="1376"/>
      <c r="K811" s="1376" t="str">
        <f t="shared" si="87"/>
        <v/>
      </c>
      <c r="L811" s="1089" t="s">
        <v>1487</v>
      </c>
      <c r="M811" s="1376">
        <v>794</v>
      </c>
      <c r="N811" s="1376"/>
      <c r="R811" s="1376" t="s">
        <v>1633</v>
      </c>
    </row>
    <row r="812" spans="1:18" s="1370" customFormat="1" x14ac:dyDescent="0.25">
      <c r="A812" s="1118" t="s">
        <v>1488</v>
      </c>
      <c r="B812" s="1089" t="str">
        <f ca="1">_xlfn.CONCAT(IFERROR(SUBSTITUTE(ADDRESS(1,MATCH(A812,INDIRECT("'"&amp;E812&amp;"'"&amp;"!A" &amp; $O$796 + 5 &amp; ":Z" &amp; $O$796+ 5),0),4),1,""),""),$O$796 + 5)</f>
        <v>L184</v>
      </c>
      <c r="C812" s="1089" t="str">
        <f ca="1">_xlfn.CONCAT(IFERROR(SUBSTITUTE(ADDRESS(1,MATCH(A812,INDIRECT("'"&amp;E812&amp;"'"&amp;"!A" &amp; $O$796 + 5 &amp; ":Z" &amp; $O$796+ 5),0),4),1,""),""),$O$796 + 6)</f>
        <v>L185</v>
      </c>
      <c r="D812" s="1089" t="s">
        <v>1448</v>
      </c>
      <c r="E812" s="1089" t="s">
        <v>1618</v>
      </c>
      <c r="I812" s="1026" t="str">
        <f t="shared" si="85"/>
        <v/>
      </c>
      <c r="J812" s="1376"/>
      <c r="K812" s="1376" t="str">
        <f t="shared" si="87"/>
        <v/>
      </c>
      <c r="L812" s="1089" t="s">
        <v>1488</v>
      </c>
      <c r="M812" s="1376">
        <v>795</v>
      </c>
      <c r="N812" s="1376"/>
      <c r="R812" s="1376" t="s">
        <v>1633</v>
      </c>
    </row>
    <row r="813" spans="1:18" s="1370" customFormat="1" x14ac:dyDescent="0.25">
      <c r="A813" s="1121" t="s">
        <v>1593</v>
      </c>
      <c r="B813" s="1089" t="str">
        <f ca="1">IFERROR(_xlfn.CONCAT("C",MATCH(A813,INDIRECT("'"&amp;E813&amp;"'!C"&amp;$O$814&amp;":C"&amp;$O$816),0)+$O$814-1),"")</f>
        <v>C197</v>
      </c>
      <c r="C813" s="1089" t="str">
        <f ca="1">IFERROR(_xlfn.CONCAT("D",MATCH(A813,INDIRECT("'"&amp;E813&amp;"'!C"&amp;$O$814&amp;":C"&amp;$O$816),0)+$O$814-1),"")</f>
        <v>D197</v>
      </c>
      <c r="D813" s="1089" t="s">
        <v>1448</v>
      </c>
      <c r="E813" s="1089" t="s">
        <v>1618</v>
      </c>
      <c r="I813" s="1026" t="str">
        <f t="shared" si="85"/>
        <v/>
      </c>
      <c r="J813" s="1376"/>
      <c r="K813" s="1376" t="str">
        <f t="shared" si="87"/>
        <v/>
      </c>
      <c r="L813" s="1089" t="s">
        <v>1593</v>
      </c>
      <c r="M813" s="1376">
        <v>796</v>
      </c>
      <c r="N813" s="1376"/>
      <c r="O813" s="1370" t="s">
        <v>742</v>
      </c>
      <c r="R813" s="1376" t="s">
        <v>1633</v>
      </c>
    </row>
    <row r="814" spans="1:18" s="1370" customFormat="1" x14ac:dyDescent="0.25">
      <c r="A814" s="1121" t="s">
        <v>1809</v>
      </c>
      <c r="B814" s="1089" t="str">
        <f ca="1">_xlfn.CONCAT(IFERROR(SUBSTITUTE(ADDRESS(1,MATCH(A814,INDIRECT("'"&amp;E814&amp;"'"&amp;"!A" &amp; $O$814 + 11 &amp; ":Z" &amp; $O$814+ 11),0),4),1,""),""),$O$814 + 11)</f>
        <v>T204</v>
      </c>
      <c r="C814" s="1089" t="str">
        <f ca="1">_xlfn.CONCAT(IFERROR(SUBSTITUTE(ADDRESS(1,MATCH(A814,INDIRECT("'"&amp;E814&amp;"'"&amp;"!A" &amp; $O$814 + 11 &amp; ":Z" &amp; $O$814+ 11),0),4),1,""),""),$O$814 + 12)</f>
        <v>T205</v>
      </c>
      <c r="D814" s="1089" t="s">
        <v>1448</v>
      </c>
      <c r="E814" s="1089" t="s">
        <v>1618</v>
      </c>
      <c r="I814" s="1026" t="str">
        <f t="shared" si="85"/>
        <v/>
      </c>
      <c r="J814" s="1376"/>
      <c r="K814" s="1376" t="str">
        <f t="shared" si="87"/>
        <v/>
      </c>
      <c r="L814" s="1089" t="s">
        <v>1809</v>
      </c>
      <c r="M814" s="1376">
        <v>797</v>
      </c>
      <c r="N814" s="1376"/>
      <c r="O814" s="1370">
        <f>'Configurable Tab'!H16</f>
        <v>193</v>
      </c>
      <c r="Q814" s="1370" t="s">
        <v>653</v>
      </c>
      <c r="R814" s="1376" t="s">
        <v>1633</v>
      </c>
    </row>
    <row r="815" spans="1:18" s="1370" customFormat="1" x14ac:dyDescent="0.25">
      <c r="A815" s="1121" t="s">
        <v>1482</v>
      </c>
      <c r="B815" s="1089" t="str">
        <f ca="1">IFERROR(_xlfn.CONCAT("C",MATCH(A815,INDIRECT("'"&amp;E815&amp;"'!C"&amp;$O$814&amp;":C"&amp;$O$816),0)+$O$814-1),"")</f>
        <v>C195</v>
      </c>
      <c r="C815" s="1089" t="str">
        <f ca="1">IFERROR(_xlfn.CONCAT("D",MATCH(A815,INDIRECT("'"&amp;E815&amp;"'!C"&amp;$O$814&amp;":C"&amp;$O$816),0)+$O$814-1),"")</f>
        <v>D195</v>
      </c>
      <c r="D815" s="1089" t="s">
        <v>1448</v>
      </c>
      <c r="E815" s="1089" t="s">
        <v>1618</v>
      </c>
      <c r="I815" s="1026" t="str">
        <f t="shared" si="85"/>
        <v/>
      </c>
      <c r="J815" s="1376"/>
      <c r="K815" s="1376" t="str">
        <f t="shared" si="87"/>
        <v/>
      </c>
      <c r="L815" s="1089" t="s">
        <v>1482</v>
      </c>
      <c r="M815" s="1376">
        <v>798</v>
      </c>
      <c r="N815" s="1376"/>
      <c r="O815" s="1370" t="s">
        <v>743</v>
      </c>
      <c r="R815" s="1376" t="s">
        <v>1633</v>
      </c>
    </row>
    <row r="816" spans="1:18" s="1370" customFormat="1" x14ac:dyDescent="0.25">
      <c r="A816" s="1121" t="s">
        <v>1479</v>
      </c>
      <c r="B816" s="1089" t="str">
        <f t="shared" ref="B816:B822" ca="1" si="92">_xlfn.CONCAT(IFERROR(SUBSTITUTE(ADDRESS(1,MATCH(A816,INDIRECT("'"&amp;E816&amp;"'"&amp;"!A" &amp; $O$814 + 2 &amp; ":Z" &amp; $O$814+ 2),0),4),1,""),""),$O$814 + 2)</f>
        <v>H195</v>
      </c>
      <c r="C816" s="1089" t="str">
        <f t="shared" ref="C816:C822" ca="1" si="93">_xlfn.CONCAT(IFERROR(SUBSTITUTE(ADDRESS(1,MATCH(A816,INDIRECT("'"&amp;E816&amp;"'"&amp;"!A" &amp; $O$814 + 2 &amp; ":Z" &amp; $O$814+ 2),0),4),1,""),""),$O$814 + 3)</f>
        <v>H196</v>
      </c>
      <c r="D816" s="1089" t="s">
        <v>1448</v>
      </c>
      <c r="E816" s="1089" t="s">
        <v>1618</v>
      </c>
      <c r="I816" s="1026" t="str">
        <f t="shared" si="85"/>
        <v/>
      </c>
      <c r="J816" s="1376"/>
      <c r="K816" s="1376" t="str">
        <f t="shared" si="87"/>
        <v/>
      </c>
      <c r="L816" s="1089" t="s">
        <v>1479</v>
      </c>
      <c r="M816" s="1376">
        <v>799</v>
      </c>
      <c r="N816" s="1376"/>
      <c r="O816" s="1370">
        <f>'Configurable Tab'!I16</f>
        <v>206</v>
      </c>
      <c r="R816" s="1376" t="s">
        <v>1633</v>
      </c>
    </row>
    <row r="817" spans="1:18" s="1370" customFormat="1" x14ac:dyDescent="0.25">
      <c r="A817" s="1121" t="s">
        <v>1480</v>
      </c>
      <c r="B817" s="1089" t="str">
        <f t="shared" ca="1" si="92"/>
        <v>J195</v>
      </c>
      <c r="C817" s="1089" t="str">
        <f t="shared" ca="1" si="93"/>
        <v>J196</v>
      </c>
      <c r="D817" s="1089" t="s">
        <v>1448</v>
      </c>
      <c r="E817" s="1089" t="s">
        <v>1618</v>
      </c>
      <c r="I817" s="1026" t="str">
        <f t="shared" si="85"/>
        <v/>
      </c>
      <c r="J817" s="1376"/>
      <c r="K817" s="1376" t="str">
        <f t="shared" si="87"/>
        <v/>
      </c>
      <c r="L817" s="1089" t="s">
        <v>1480</v>
      </c>
      <c r="M817" s="1376">
        <v>800</v>
      </c>
      <c r="N817" s="1376"/>
      <c r="O817" s="1370" t="s">
        <v>1749</v>
      </c>
      <c r="R817" s="1376" t="s">
        <v>1633</v>
      </c>
    </row>
    <row r="818" spans="1:18" s="1370" customFormat="1" x14ac:dyDescent="0.25">
      <c r="A818" s="1121" t="s">
        <v>1496</v>
      </c>
      <c r="B818" s="1089" t="str">
        <f t="shared" ca="1" si="92"/>
        <v>L195</v>
      </c>
      <c r="C818" s="1089" t="str">
        <f t="shared" ca="1" si="93"/>
        <v>L196</v>
      </c>
      <c r="D818" s="1089" t="s">
        <v>1448</v>
      </c>
      <c r="E818" s="1089" t="s">
        <v>1618</v>
      </c>
      <c r="I818" s="1026" t="str">
        <f t="shared" si="85"/>
        <v/>
      </c>
      <c r="J818" s="1376"/>
      <c r="K818" s="1376" t="str">
        <f t="shared" si="87"/>
        <v/>
      </c>
      <c r="L818" s="1089" t="s">
        <v>1496</v>
      </c>
      <c r="M818" s="1376">
        <v>801</v>
      </c>
      <c r="N818" s="1376"/>
      <c r="R818" s="1376" t="s">
        <v>1633</v>
      </c>
    </row>
    <row r="819" spans="1:18" s="1370" customFormat="1" x14ac:dyDescent="0.25">
      <c r="A819" s="1121" t="s">
        <v>1481</v>
      </c>
      <c r="B819" s="1089" t="str">
        <f t="shared" ca="1" si="92"/>
        <v>N195</v>
      </c>
      <c r="C819" s="1089" t="str">
        <f t="shared" ca="1" si="93"/>
        <v>N196</v>
      </c>
      <c r="D819" s="1089" t="s">
        <v>1448</v>
      </c>
      <c r="E819" s="1089" t="s">
        <v>1618</v>
      </c>
      <c r="I819" s="1026" t="str">
        <f t="shared" si="85"/>
        <v/>
      </c>
      <c r="J819" s="1376"/>
      <c r="K819" s="1376" t="str">
        <f t="shared" si="87"/>
        <v/>
      </c>
      <c r="L819" s="1089" t="s">
        <v>1481</v>
      </c>
      <c r="M819" s="1376">
        <v>802</v>
      </c>
      <c r="N819" s="1376"/>
      <c r="R819" s="1376" t="s">
        <v>1633</v>
      </c>
    </row>
    <row r="820" spans="1:18" s="1370" customFormat="1" x14ac:dyDescent="0.25">
      <c r="A820" s="1121" t="s">
        <v>1588</v>
      </c>
      <c r="B820" s="1089" t="str">
        <f t="shared" ca="1" si="92"/>
        <v>P195</v>
      </c>
      <c r="C820" s="1089" t="str">
        <f t="shared" ca="1" si="93"/>
        <v>P196</v>
      </c>
      <c r="D820" s="1089" t="s">
        <v>1448</v>
      </c>
      <c r="E820" s="1089" t="s">
        <v>1618</v>
      </c>
      <c r="I820" s="1026" t="str">
        <f t="shared" si="85"/>
        <v>Qualifying Cycle</v>
      </c>
      <c r="J820" s="1376" t="str">
        <f t="shared" si="86"/>
        <v>803</v>
      </c>
      <c r="K820" s="1376" t="str">
        <f t="shared" si="87"/>
        <v>Incentives Worksheet</v>
      </c>
      <c r="L820" s="1089" t="s">
        <v>1588</v>
      </c>
      <c r="M820" s="1376">
        <v>803</v>
      </c>
      <c r="N820" s="1376"/>
      <c r="R820" s="1376" t="s">
        <v>1633</v>
      </c>
    </row>
    <row r="821" spans="1:18" s="1370" customFormat="1" x14ac:dyDescent="0.25">
      <c r="A821" s="1121" t="s">
        <v>1589</v>
      </c>
      <c r="B821" s="1089" t="str">
        <f t="shared" ca="1" si="92"/>
        <v>R195</v>
      </c>
      <c r="C821" s="1089" t="str">
        <f t="shared" ca="1" si="93"/>
        <v>R196</v>
      </c>
      <c r="D821" s="1089" t="s">
        <v>1448</v>
      </c>
      <c r="E821" s="1089" t="s">
        <v>1618</v>
      </c>
      <c r="I821" s="1026" t="str">
        <f t="shared" si="85"/>
        <v>Incentive Calendar</v>
      </c>
      <c r="J821" s="1376" t="str">
        <f t="shared" si="86"/>
        <v>804</v>
      </c>
      <c r="K821" s="1376" t="str">
        <f t="shared" si="87"/>
        <v>Incentives Worksheet</v>
      </c>
      <c r="L821" s="1089" t="s">
        <v>1589</v>
      </c>
      <c r="M821" s="1376">
        <v>804</v>
      </c>
      <c r="N821" s="1376"/>
      <c r="R821" s="1376" t="s">
        <v>1633</v>
      </c>
    </row>
    <row r="822" spans="1:18" s="1370" customFormat="1" x14ac:dyDescent="0.25">
      <c r="A822" s="1121" t="s">
        <v>1590</v>
      </c>
      <c r="B822" s="1089" t="str">
        <f t="shared" ca="1" si="92"/>
        <v>T195</v>
      </c>
      <c r="C822" s="1089" t="str">
        <f t="shared" ca="1" si="93"/>
        <v>T196</v>
      </c>
      <c r="D822" s="1089" t="s">
        <v>1448</v>
      </c>
      <c r="E822" s="1089" t="s">
        <v>1618</v>
      </c>
      <c r="I822" s="1026" t="str">
        <f t="shared" si="85"/>
        <v>Post to GL Payment Method Flag</v>
      </c>
      <c r="J822" s="1376" t="str">
        <f t="shared" si="86"/>
        <v>805</v>
      </c>
      <c r="K822" s="1376" t="str">
        <f t="shared" si="87"/>
        <v>Incentives Worksheet</v>
      </c>
      <c r="L822" s="1089" t="s">
        <v>1590</v>
      </c>
      <c r="M822" s="1376">
        <v>805</v>
      </c>
      <c r="N822" s="1376"/>
      <c r="R822" s="1376" t="s">
        <v>1633</v>
      </c>
    </row>
    <row r="823" spans="1:18" s="1370" customFormat="1" x14ac:dyDescent="0.25">
      <c r="A823" s="1121" t="s">
        <v>1484</v>
      </c>
      <c r="B823" s="1089" t="str">
        <f ca="1">IFERROR(_xlfn.CONCAT("C",MATCH(A823,INDIRECT("'"&amp;E823&amp;"'!C"&amp;$O$814&amp;":C"&amp;$O$816),0)+$O$814-1),"")</f>
        <v>C199</v>
      </c>
      <c r="C823" s="1089" t="str">
        <f ca="1">IFERROR(_xlfn.CONCAT("D",MATCH(A823,INDIRECT("'"&amp;E823&amp;"'!C"&amp;$O$814&amp;":C"&amp;$O$816),0)+$O$814-1),"")</f>
        <v>D199</v>
      </c>
      <c r="D823" s="1089" t="s">
        <v>1448</v>
      </c>
      <c r="E823" s="1089" t="s">
        <v>1618</v>
      </c>
      <c r="I823" s="1026" t="str">
        <f t="shared" si="85"/>
        <v/>
      </c>
      <c r="J823" s="1376"/>
      <c r="K823" s="1376" t="str">
        <f t="shared" si="87"/>
        <v/>
      </c>
      <c r="L823" s="1089" t="s">
        <v>1484</v>
      </c>
      <c r="M823" s="1376">
        <v>806</v>
      </c>
      <c r="N823" s="1376"/>
      <c r="R823" s="1376" t="s">
        <v>1633</v>
      </c>
    </row>
    <row r="824" spans="1:18" s="1370" customFormat="1" x14ac:dyDescent="0.25">
      <c r="A824" s="1121" t="s">
        <v>1485</v>
      </c>
      <c r="B824" s="1089" t="str">
        <f ca="1">IFERROR(_xlfn.CONCAT("C",MATCH(A824,INDIRECT("'"&amp;E824&amp;"'!C"&amp;$O$814&amp;":C"&amp;$O$816),0)+$O$814-1),"")</f>
        <v>C201</v>
      </c>
      <c r="C824" s="1089" t="str">
        <f ca="1">IFERROR(_xlfn.CONCAT("D",MATCH(A824,INDIRECT("'"&amp;E824&amp;"'!C"&amp;$O$814&amp;":C"&amp;$O$816),0)+$O$814-1),"")</f>
        <v>D201</v>
      </c>
      <c r="D824" s="1089" t="s">
        <v>1448</v>
      </c>
      <c r="E824" s="1089" t="s">
        <v>1618</v>
      </c>
      <c r="I824" s="1026" t="str">
        <f t="shared" si="85"/>
        <v/>
      </c>
      <c r="J824" s="1376"/>
      <c r="K824" s="1376" t="str">
        <f t="shared" si="87"/>
        <v/>
      </c>
      <c r="L824" s="1089" t="s">
        <v>1485</v>
      </c>
      <c r="M824" s="1376">
        <v>807</v>
      </c>
      <c r="N824" s="1376"/>
      <c r="R824" s="1376" t="s">
        <v>1633</v>
      </c>
    </row>
    <row r="825" spans="1:18" s="1370" customFormat="1" ht="30" x14ac:dyDescent="0.25">
      <c r="A825" s="1121" t="s">
        <v>1597</v>
      </c>
      <c r="B825" s="1089" t="str">
        <f ca="1">IFERROR(_xlfn.CONCAT("C",MATCH(A825,INDIRECT("'"&amp;E825&amp;"'!C"&amp;$O$814&amp;":C"&amp;$O$816),0)+$O$814-1),"")</f>
        <v>C203</v>
      </c>
      <c r="C825" s="1089" t="str">
        <f ca="1">IFERROR(_xlfn.CONCAT("D",MATCH(A825,INDIRECT("'"&amp;E825&amp;"'!C"&amp;$O$814&amp;":C"&amp;$O$816),0)+$O$814-1),"")</f>
        <v>D203</v>
      </c>
      <c r="D825" s="1089" t="s">
        <v>1448</v>
      </c>
      <c r="E825" s="1089" t="s">
        <v>1618</v>
      </c>
      <c r="I825" s="1026" t="str">
        <f t="shared" si="85"/>
        <v>Incentive Dates Match Agreement Dates Flag</v>
      </c>
      <c r="J825" s="1376" t="str">
        <f t="shared" si="86"/>
        <v>808</v>
      </c>
      <c r="K825" s="1376" t="str">
        <f t="shared" si="87"/>
        <v>Incentives Worksheet</v>
      </c>
      <c r="L825" s="1089" t="s">
        <v>1597</v>
      </c>
      <c r="M825" s="1376">
        <v>808</v>
      </c>
      <c r="N825" s="1376"/>
      <c r="R825" s="1376" t="s">
        <v>1633</v>
      </c>
    </row>
    <row r="826" spans="1:18" s="1370" customFormat="1" x14ac:dyDescent="0.25">
      <c r="A826" s="1121" t="s">
        <v>1594</v>
      </c>
      <c r="B826" s="1089" t="str">
        <f ca="1">_xlfn.CONCAT(IFERROR(SUBSTITUTE(ADDRESS(1,MATCH(A826,INDIRECT("'"&amp;E826&amp;"'"&amp;"!A" &amp; $O$814 + 8 &amp; ":Z" &amp; $O$814+ 8),0),4),1,""),""),$O$814 + 8)</f>
        <v>H201</v>
      </c>
      <c r="C826" s="1089" t="str">
        <f ca="1">_xlfn.CONCAT(IFERROR(SUBSTITUTE(ADDRESS(1,MATCH(A826,INDIRECT("'"&amp;E826&amp;"'"&amp;"!A" &amp; $O$814 + 8 &amp; ":Z" &amp; $O$814+ 8),0),4),1,""),""),$O$814 + 9)</f>
        <v>H202</v>
      </c>
      <c r="D826" s="1089" t="s">
        <v>1448</v>
      </c>
      <c r="E826" s="1089" t="s">
        <v>1618</v>
      </c>
      <c r="I826" s="1026" t="str">
        <f t="shared" si="85"/>
        <v>Include All Customers Flag</v>
      </c>
      <c r="J826" s="1376" t="str">
        <f t="shared" si="86"/>
        <v>809</v>
      </c>
      <c r="K826" s="1376" t="str">
        <f t="shared" si="87"/>
        <v>Incentives Worksheet</v>
      </c>
      <c r="L826" s="1089" t="s">
        <v>1594</v>
      </c>
      <c r="M826" s="1376">
        <v>809</v>
      </c>
      <c r="N826" s="1376"/>
      <c r="R826" s="1376" t="s">
        <v>1633</v>
      </c>
    </row>
    <row r="827" spans="1:18" s="1370" customFormat="1" x14ac:dyDescent="0.25">
      <c r="A827" s="1121" t="s">
        <v>1608</v>
      </c>
      <c r="B827" s="1089" t="str">
        <f ca="1">_xlfn.CONCAT(IFERROR(SUBSTITUTE(ADDRESS(1,MATCH(A827,INDIRECT("'"&amp;E827&amp;"'"&amp;"!A" &amp; $O$814 + 8 &amp; ":Z" &amp; $O$814+ 8),0),4),1,""),""),$O$814 + 8)</f>
        <v>J201</v>
      </c>
      <c r="C827" s="1089" t="str">
        <f ca="1">_xlfn.CONCAT(IFERROR(SUBSTITUTE(ADDRESS(1,MATCH(A827,INDIRECT("'"&amp;E827&amp;"'"&amp;"!A" &amp; $O$814 + 8 &amp; ":Z" &amp; $O$814+ 8),0),4),1,""),""),$O$814 + 9)</f>
        <v>J202</v>
      </c>
      <c r="D827" s="1089" t="s">
        <v>1448</v>
      </c>
      <c r="E827" s="1089" t="s">
        <v>1618</v>
      </c>
      <c r="I827" s="1026" t="str">
        <f t="shared" si="85"/>
        <v>Customer Aggregation</v>
      </c>
      <c r="J827" s="1376" t="str">
        <f t="shared" si="86"/>
        <v>810</v>
      </c>
      <c r="K827" s="1376" t="str">
        <f t="shared" si="87"/>
        <v>Incentives Worksheet</v>
      </c>
      <c r="L827" s="1089" t="s">
        <v>1608</v>
      </c>
      <c r="M827" s="1376">
        <v>810</v>
      </c>
      <c r="N827" s="1376"/>
      <c r="R827" s="1376" t="s">
        <v>1633</v>
      </c>
    </row>
    <row r="828" spans="1:18" s="1370" customFormat="1" x14ac:dyDescent="0.25">
      <c r="A828" s="1121" t="s">
        <v>1486</v>
      </c>
      <c r="B828" s="1089" t="str">
        <f ca="1">_xlfn.CONCAT(IFERROR(SUBSTITUTE(ADDRESS(1,MATCH(A828,INDIRECT("'"&amp;E828&amp;"'"&amp;"!A" &amp; $O$814 + 5 &amp; ":Z" &amp; $O$814+ 5),0),4),1,""),""),$O$814 + 5)</f>
        <v>H198</v>
      </c>
      <c r="C828" s="1089" t="str">
        <f ca="1">_xlfn.CONCAT(IFERROR(SUBSTITUTE(ADDRESS(1,MATCH(A828,INDIRECT("'"&amp;E828&amp;"'"&amp;"!A" &amp; $O$814 + 5 &amp; ":Z" &amp; $O$814+ 5),0),4),1,""),""),$O$814 + 6)</f>
        <v>H199</v>
      </c>
      <c r="D828" s="1089" t="s">
        <v>1448</v>
      </c>
      <c r="E828" s="1089" t="s">
        <v>1618</v>
      </c>
      <c r="I828" s="1026" t="str">
        <f t="shared" si="85"/>
        <v/>
      </c>
      <c r="J828" s="1376"/>
      <c r="K828" s="1376" t="str">
        <f t="shared" si="87"/>
        <v/>
      </c>
      <c r="L828" s="1089" t="s">
        <v>1486</v>
      </c>
      <c r="M828" s="1376">
        <v>811</v>
      </c>
      <c r="N828" s="1376"/>
      <c r="R828" s="1376" t="s">
        <v>1633</v>
      </c>
    </row>
    <row r="829" spans="1:18" s="1370" customFormat="1" x14ac:dyDescent="0.25">
      <c r="A829" s="1121" t="s">
        <v>1487</v>
      </c>
      <c r="B829" s="1089" t="str">
        <f ca="1">_xlfn.CONCAT(IFERROR(SUBSTITUTE(ADDRESS(1,MATCH(A829,INDIRECT("'"&amp;E829&amp;"'"&amp;"!A" &amp; $O$814 + 5 &amp; ":Z" &amp; $O$814+ 5),0),4),1,""),""),$O$814 + 5)</f>
        <v>J198</v>
      </c>
      <c r="C829" s="1089" t="str">
        <f ca="1">_xlfn.CONCAT(IFERROR(SUBSTITUTE(ADDRESS(1,MATCH(A829,INDIRECT("'"&amp;E829&amp;"'"&amp;"!A" &amp; $O$814 + 5 &amp; ":Z" &amp; $O$814+ 5),0),4),1,""),""),$O$814 + 6)</f>
        <v>J199</v>
      </c>
      <c r="D829" s="1089" t="s">
        <v>1448</v>
      </c>
      <c r="E829" s="1089" t="s">
        <v>1618</v>
      </c>
      <c r="I829" s="1026" t="str">
        <f t="shared" si="85"/>
        <v/>
      </c>
      <c r="J829" s="1376"/>
      <c r="K829" s="1376" t="str">
        <f t="shared" si="87"/>
        <v/>
      </c>
      <c r="L829" s="1089" t="s">
        <v>1487</v>
      </c>
      <c r="M829" s="1376">
        <v>812</v>
      </c>
      <c r="N829" s="1376"/>
      <c r="R829" s="1376" t="s">
        <v>1633</v>
      </c>
    </row>
    <row r="830" spans="1:18" s="1370" customFormat="1" x14ac:dyDescent="0.25">
      <c r="A830" s="1121" t="s">
        <v>1488</v>
      </c>
      <c r="B830" s="1089" t="str">
        <f ca="1">_xlfn.CONCAT(IFERROR(SUBSTITUTE(ADDRESS(1,MATCH(A830,INDIRECT("'"&amp;E830&amp;"'"&amp;"!A" &amp; $O$814 + 5 &amp; ":Z" &amp; $O$814+ 5),0),4),1,""),""),$O$814 + 5)</f>
        <v>L198</v>
      </c>
      <c r="C830" s="1089" t="str">
        <f ca="1">_xlfn.CONCAT(IFERROR(SUBSTITUTE(ADDRESS(1,MATCH(A830,INDIRECT("'"&amp;E830&amp;"'"&amp;"!A" &amp; $O$814 + 5 &amp; ":Z" &amp; $O$814+ 5),0),4),1,""),""),$O$814 + 6)</f>
        <v>L199</v>
      </c>
      <c r="D830" s="1089" t="s">
        <v>1448</v>
      </c>
      <c r="E830" s="1089" t="s">
        <v>1618</v>
      </c>
      <c r="I830" s="1026" t="str">
        <f t="shared" si="85"/>
        <v/>
      </c>
      <c r="J830" s="1376"/>
      <c r="K830" s="1376" t="str">
        <f t="shared" si="87"/>
        <v/>
      </c>
      <c r="L830" s="1089" t="s">
        <v>1488</v>
      </c>
      <c r="M830" s="1376">
        <v>813</v>
      </c>
      <c r="N830" s="1376"/>
      <c r="R830" s="1376" t="s">
        <v>1633</v>
      </c>
    </row>
    <row r="831" spans="1:18" s="1370" customFormat="1" x14ac:dyDescent="0.25">
      <c r="A831" s="1118" t="s">
        <v>1593</v>
      </c>
      <c r="B831" s="1089" t="str">
        <f ca="1">IFERROR(_xlfn.CONCAT("C",MATCH(A831,INDIRECT("'"&amp;E831&amp;"'!C"&amp;$O$832&amp;":C"&amp;$O$834),0)+$O$832-1),"")</f>
        <v>C211</v>
      </c>
      <c r="C831" s="1089" t="str">
        <f ca="1">IFERROR(_xlfn.CONCAT("D",MATCH(A831,INDIRECT("'"&amp;E831&amp;"'!C"&amp;$O$832&amp;":C"&amp;$O$834),0)+$O$832-1),"")</f>
        <v>D211</v>
      </c>
      <c r="D831" s="1089" t="s">
        <v>1448</v>
      </c>
      <c r="E831" s="1089" t="s">
        <v>1618</v>
      </c>
      <c r="I831" s="1026" t="str">
        <f t="shared" si="85"/>
        <v/>
      </c>
      <c r="J831" s="1376"/>
      <c r="K831" s="1376" t="str">
        <f t="shared" si="87"/>
        <v/>
      </c>
      <c r="L831" s="1089" t="s">
        <v>1593</v>
      </c>
      <c r="M831" s="1376">
        <v>814</v>
      </c>
      <c r="N831" s="1376"/>
      <c r="O831" s="1370" t="s">
        <v>742</v>
      </c>
      <c r="R831" s="1376" t="s">
        <v>1633</v>
      </c>
    </row>
    <row r="832" spans="1:18" s="1370" customFormat="1" x14ac:dyDescent="0.25">
      <c r="A832" s="1118" t="s">
        <v>1809</v>
      </c>
      <c r="B832" s="1089" t="str">
        <f ca="1">_xlfn.CONCAT(IFERROR(SUBSTITUTE(ADDRESS(1,MATCH(A832,INDIRECT("'"&amp;E832&amp;"'"&amp;"!A" &amp; $O$832 + 12 &amp; ":Z" &amp; $O$832+ 12),0),4),1,""),""),$O$832 + 12)</f>
        <v>T219</v>
      </c>
      <c r="C832" s="1089" t="str">
        <f ca="1">_xlfn.CONCAT(IFERROR(SUBSTITUTE(ADDRESS(1,MATCH(A832,INDIRECT("'"&amp;E832&amp;"'"&amp;"!A" &amp; $O$832 + 12 &amp; ":Z" &amp; $O$832+ 12),0),4),1,""),""),$O$832 + 13)</f>
        <v>T220</v>
      </c>
      <c r="D832" s="1089" t="s">
        <v>1448</v>
      </c>
      <c r="E832" s="1089" t="s">
        <v>1618</v>
      </c>
      <c r="I832" s="1026" t="str">
        <f t="shared" si="85"/>
        <v/>
      </c>
      <c r="J832" s="1376"/>
      <c r="K832" s="1376" t="str">
        <f t="shared" si="87"/>
        <v/>
      </c>
      <c r="L832" s="1089" t="s">
        <v>1809</v>
      </c>
      <c r="M832" s="1376">
        <v>815</v>
      </c>
      <c r="N832" s="1376"/>
      <c r="O832" s="1370">
        <f>'Configurable Tab'!H17</f>
        <v>207</v>
      </c>
      <c r="Q832" s="1370" t="s">
        <v>653</v>
      </c>
      <c r="R832" s="1376" t="s">
        <v>1633</v>
      </c>
    </row>
    <row r="833" spans="1:18" s="1370" customFormat="1" x14ac:dyDescent="0.25">
      <c r="A833" s="1118" t="s">
        <v>1482</v>
      </c>
      <c r="B833" s="1089" t="str">
        <f ca="1">IFERROR(_xlfn.CONCAT("C",MATCH(A833,INDIRECT("'"&amp;E833&amp;"'!C"&amp;$O$832&amp;":C"&amp;$O$834),0)+$O$832-1),"")</f>
        <v>C209</v>
      </c>
      <c r="C833" s="1089" t="str">
        <f ca="1">IFERROR(_xlfn.CONCAT("D",MATCH(A833,INDIRECT("'"&amp;E833&amp;"'!C"&amp;$O$832&amp;":C"&amp;$O$834),0)+$O$832-1),"")</f>
        <v>D209</v>
      </c>
      <c r="D833" s="1089" t="s">
        <v>1448</v>
      </c>
      <c r="E833" s="1089" t="s">
        <v>1618</v>
      </c>
      <c r="I833" s="1026" t="str">
        <f t="shared" si="85"/>
        <v/>
      </c>
      <c r="J833" s="1376"/>
      <c r="K833" s="1376" t="str">
        <f t="shared" si="87"/>
        <v/>
      </c>
      <c r="L833" s="1089" t="s">
        <v>1482</v>
      </c>
      <c r="M833" s="1376">
        <v>816</v>
      </c>
      <c r="N833" s="1376"/>
      <c r="O833" s="1370" t="s">
        <v>743</v>
      </c>
      <c r="R833" s="1376" t="s">
        <v>1633</v>
      </c>
    </row>
    <row r="834" spans="1:18" s="1370" customFormat="1" x14ac:dyDescent="0.25">
      <c r="A834" s="1118" t="s">
        <v>1479</v>
      </c>
      <c r="B834" s="1089" t="str">
        <f t="shared" ref="B834:B840" ca="1" si="94">_xlfn.CONCAT(IFERROR(SUBSTITUTE(ADDRESS(1,MATCH(A834,INDIRECT("'"&amp;E834&amp;"'"&amp;"!A" &amp; $O$832 + 2 &amp; ":Z" &amp; $O$832+ 2),0),4),1,""),""),$O$832 + 2)</f>
        <v>H209</v>
      </c>
      <c r="C834" s="1089" t="str">
        <f t="shared" ref="C834:C840" ca="1" si="95">_xlfn.CONCAT(IFERROR(SUBSTITUTE(ADDRESS(1,MATCH(A834,INDIRECT("'"&amp;E834&amp;"'"&amp;"!A" &amp; $O$832 + 2 &amp; ":Z" &amp; $O$832+ 2),0),4),1,""),""),$O$832 + 3)</f>
        <v>H210</v>
      </c>
      <c r="D834" s="1089" t="s">
        <v>1448</v>
      </c>
      <c r="E834" s="1089" t="s">
        <v>1618</v>
      </c>
      <c r="I834" s="1026" t="str">
        <f t="shared" si="85"/>
        <v/>
      </c>
      <c r="J834" s="1376"/>
      <c r="K834" s="1376" t="str">
        <f t="shared" si="87"/>
        <v/>
      </c>
      <c r="L834" s="1089" t="s">
        <v>1479</v>
      </c>
      <c r="M834" s="1376">
        <v>817</v>
      </c>
      <c r="N834" s="1376"/>
      <c r="O834" s="1370">
        <f>'Configurable Tab'!I17</f>
        <v>222</v>
      </c>
      <c r="R834" s="1376" t="s">
        <v>1633</v>
      </c>
    </row>
    <row r="835" spans="1:18" s="1370" customFormat="1" x14ac:dyDescent="0.25">
      <c r="A835" s="1118" t="s">
        <v>1480</v>
      </c>
      <c r="B835" s="1089" t="str">
        <f t="shared" ca="1" si="94"/>
        <v>J209</v>
      </c>
      <c r="C835" s="1089" t="str">
        <f t="shared" ca="1" si="95"/>
        <v>J210</v>
      </c>
      <c r="D835" s="1089" t="s">
        <v>1448</v>
      </c>
      <c r="E835" s="1089" t="s">
        <v>1618</v>
      </c>
      <c r="I835" s="1026" t="str">
        <f t="shared" si="85"/>
        <v/>
      </c>
      <c r="J835" s="1376"/>
      <c r="K835" s="1376" t="str">
        <f t="shared" si="87"/>
        <v/>
      </c>
      <c r="L835" s="1089" t="s">
        <v>1480</v>
      </c>
      <c r="M835" s="1376">
        <v>818</v>
      </c>
      <c r="N835" s="1376"/>
      <c r="O835" s="1370" t="s">
        <v>1750</v>
      </c>
      <c r="R835" s="1376" t="s">
        <v>1633</v>
      </c>
    </row>
    <row r="836" spans="1:18" s="1370" customFormat="1" x14ac:dyDescent="0.25">
      <c r="A836" s="1118" t="s">
        <v>1496</v>
      </c>
      <c r="B836" s="1089" t="str">
        <f t="shared" ca="1" si="94"/>
        <v>L209</v>
      </c>
      <c r="C836" s="1089" t="str">
        <f t="shared" ca="1" si="95"/>
        <v>L210</v>
      </c>
      <c r="D836" s="1089" t="s">
        <v>1448</v>
      </c>
      <c r="E836" s="1089" t="s">
        <v>1618</v>
      </c>
      <c r="I836" s="1026" t="str">
        <f t="shared" ref="I836:I899" si="96">IF(J836&lt;&gt;"",A836,"")</f>
        <v/>
      </c>
      <c r="J836" s="1376"/>
      <c r="K836" s="1376" t="str">
        <f t="shared" ref="K836:K899" si="97">IF(J836&lt;&gt;"",E836,"")</f>
        <v/>
      </c>
      <c r="L836" s="1089" t="s">
        <v>1496</v>
      </c>
      <c r="M836" s="1376">
        <v>819</v>
      </c>
      <c r="N836" s="1376"/>
      <c r="R836" s="1376" t="s">
        <v>1633</v>
      </c>
    </row>
    <row r="837" spans="1:18" s="1370" customFormat="1" x14ac:dyDescent="0.25">
      <c r="A837" s="1118" t="s">
        <v>1481</v>
      </c>
      <c r="B837" s="1089" t="str">
        <f t="shared" ca="1" si="94"/>
        <v>N209</v>
      </c>
      <c r="C837" s="1089" t="str">
        <f t="shared" ca="1" si="95"/>
        <v>N210</v>
      </c>
      <c r="D837" s="1089" t="s">
        <v>1448</v>
      </c>
      <c r="E837" s="1089" t="s">
        <v>1618</v>
      </c>
      <c r="I837" s="1026" t="str">
        <f t="shared" si="96"/>
        <v/>
      </c>
      <c r="J837" s="1376"/>
      <c r="K837" s="1376" t="str">
        <f t="shared" si="97"/>
        <v/>
      </c>
      <c r="L837" s="1089" t="s">
        <v>1481</v>
      </c>
      <c r="M837" s="1376">
        <v>820</v>
      </c>
      <c r="N837" s="1376"/>
      <c r="R837" s="1376" t="s">
        <v>1633</v>
      </c>
    </row>
    <row r="838" spans="1:18" s="1370" customFormat="1" x14ac:dyDescent="0.25">
      <c r="A838" s="1118" t="s">
        <v>1588</v>
      </c>
      <c r="B838" s="1089" t="str">
        <f t="shared" ca="1" si="94"/>
        <v>P209</v>
      </c>
      <c r="C838" s="1089" t="str">
        <f t="shared" ca="1" si="95"/>
        <v>P210</v>
      </c>
      <c r="D838" s="1089" t="s">
        <v>1448</v>
      </c>
      <c r="E838" s="1089" t="s">
        <v>1618</v>
      </c>
      <c r="I838" s="1026" t="str">
        <f t="shared" si="96"/>
        <v>Qualifying Cycle</v>
      </c>
      <c r="J838" s="1376" t="str">
        <f t="shared" ref="J838:J900" si="98">IF(M838&lt;&gt;"",Q$1&amp;M838,"")</f>
        <v>821</v>
      </c>
      <c r="K838" s="1376" t="str">
        <f t="shared" si="97"/>
        <v>Incentives Worksheet</v>
      </c>
      <c r="L838" s="1089" t="s">
        <v>1588</v>
      </c>
      <c r="M838" s="1376">
        <v>821</v>
      </c>
      <c r="N838" s="1376"/>
      <c r="R838" s="1376" t="s">
        <v>1633</v>
      </c>
    </row>
    <row r="839" spans="1:18" s="1370" customFormat="1" x14ac:dyDescent="0.25">
      <c r="A839" s="1118" t="s">
        <v>1589</v>
      </c>
      <c r="B839" s="1089" t="str">
        <f t="shared" ca="1" si="94"/>
        <v>R209</v>
      </c>
      <c r="C839" s="1089" t="str">
        <f t="shared" ca="1" si="95"/>
        <v>R210</v>
      </c>
      <c r="D839" s="1089" t="s">
        <v>1448</v>
      </c>
      <c r="E839" s="1089" t="s">
        <v>1618</v>
      </c>
      <c r="I839" s="1026" t="str">
        <f t="shared" si="96"/>
        <v>Incentive Calendar</v>
      </c>
      <c r="J839" s="1376" t="str">
        <f t="shared" si="98"/>
        <v>822</v>
      </c>
      <c r="K839" s="1376" t="str">
        <f t="shared" si="97"/>
        <v>Incentives Worksheet</v>
      </c>
      <c r="L839" s="1089" t="s">
        <v>1589</v>
      </c>
      <c r="M839" s="1376">
        <v>822</v>
      </c>
      <c r="N839" s="1376"/>
      <c r="R839" s="1376" t="s">
        <v>1633</v>
      </c>
    </row>
    <row r="840" spans="1:18" s="1370" customFormat="1" x14ac:dyDescent="0.25">
      <c r="A840" s="1118" t="s">
        <v>1590</v>
      </c>
      <c r="B840" s="1089" t="str">
        <f t="shared" ca="1" si="94"/>
        <v>T209</v>
      </c>
      <c r="C840" s="1089" t="str">
        <f t="shared" ca="1" si="95"/>
        <v>T210</v>
      </c>
      <c r="D840" s="1089" t="s">
        <v>1448</v>
      </c>
      <c r="E840" s="1089" t="s">
        <v>1618</v>
      </c>
      <c r="I840" s="1026" t="str">
        <f t="shared" si="96"/>
        <v>Post to GL Payment Method Flag</v>
      </c>
      <c r="J840" s="1376" t="str">
        <f t="shared" si="98"/>
        <v>823</v>
      </c>
      <c r="K840" s="1376" t="str">
        <f t="shared" si="97"/>
        <v>Incentives Worksheet</v>
      </c>
      <c r="L840" s="1089" t="s">
        <v>1590</v>
      </c>
      <c r="M840" s="1376">
        <v>823</v>
      </c>
      <c r="N840" s="1376"/>
      <c r="R840" s="1376" t="s">
        <v>1633</v>
      </c>
    </row>
    <row r="841" spans="1:18" s="1370" customFormat="1" x14ac:dyDescent="0.25">
      <c r="A841" s="1118" t="s">
        <v>1484</v>
      </c>
      <c r="B841" s="1089" t="str">
        <f ca="1">IFERROR(_xlfn.CONCAT("C",MATCH(A841,INDIRECT("'"&amp;E841&amp;"'!C"&amp;$O$832&amp;":C"&amp;$O$834),0)+$O$832-1),"")</f>
        <v>C213</v>
      </c>
      <c r="C841" s="1089" t="str">
        <f ca="1">IFERROR(_xlfn.CONCAT("D",MATCH(A841,INDIRECT("'"&amp;E841&amp;"'!C"&amp;$O$832&amp;":C"&amp;$O$834),0)+$O$832-1),"")</f>
        <v>D213</v>
      </c>
      <c r="D841" s="1089" t="s">
        <v>1448</v>
      </c>
      <c r="E841" s="1089" t="s">
        <v>1618</v>
      </c>
      <c r="I841" s="1026" t="str">
        <f t="shared" si="96"/>
        <v/>
      </c>
      <c r="J841" s="1376"/>
      <c r="K841" s="1376" t="str">
        <f t="shared" si="97"/>
        <v/>
      </c>
      <c r="L841" s="1089" t="s">
        <v>1484</v>
      </c>
      <c r="M841" s="1376">
        <v>824</v>
      </c>
      <c r="N841" s="1376"/>
      <c r="R841" s="1376" t="s">
        <v>1633</v>
      </c>
    </row>
    <row r="842" spans="1:18" s="1370" customFormat="1" x14ac:dyDescent="0.25">
      <c r="A842" s="1118" t="s">
        <v>1485</v>
      </c>
      <c r="B842" s="1089" t="str">
        <f ca="1">IFERROR(_xlfn.CONCAT("C",MATCH(A842,INDIRECT("'"&amp;E842&amp;"'!C"&amp;$O$832&amp;":C"&amp;$O$834),0)+$O$832-1),"")</f>
        <v>C215</v>
      </c>
      <c r="C842" s="1089" t="str">
        <f ca="1">IFERROR(_xlfn.CONCAT("D",MATCH(A842,INDIRECT("'"&amp;E842&amp;"'!C"&amp;$O$832&amp;":C"&amp;$O$834),0)+$O$832-1),"")</f>
        <v>D215</v>
      </c>
      <c r="D842" s="1089" t="s">
        <v>1448</v>
      </c>
      <c r="E842" s="1089" t="s">
        <v>1618</v>
      </c>
      <c r="I842" s="1026" t="str">
        <f t="shared" si="96"/>
        <v/>
      </c>
      <c r="J842" s="1376"/>
      <c r="K842" s="1376" t="str">
        <f t="shared" si="97"/>
        <v/>
      </c>
      <c r="L842" s="1089" t="s">
        <v>1485</v>
      </c>
      <c r="M842" s="1376">
        <v>825</v>
      </c>
      <c r="N842" s="1376"/>
      <c r="R842" s="1376" t="s">
        <v>1633</v>
      </c>
    </row>
    <row r="843" spans="1:18" s="1370" customFormat="1" ht="30" x14ac:dyDescent="0.25">
      <c r="A843" s="1118" t="s">
        <v>1597</v>
      </c>
      <c r="B843" s="1089" t="str">
        <f ca="1">IFERROR(_xlfn.CONCAT("C",MATCH(A843,INDIRECT("'"&amp;E843&amp;"'!C"&amp;$O$832&amp;":C"&amp;$O$834),0)+$O$832-1),"")</f>
        <v>C219</v>
      </c>
      <c r="C843" s="1089" t="str">
        <f ca="1">IFERROR(_xlfn.CONCAT("D",MATCH(A843,INDIRECT("'"&amp;E843&amp;"'!C"&amp;$O$832&amp;":C"&amp;$O$834),0)+$O$832-1),"")</f>
        <v>D219</v>
      </c>
      <c r="D843" s="1089" t="s">
        <v>1448</v>
      </c>
      <c r="E843" s="1089" t="s">
        <v>1618</v>
      </c>
      <c r="I843" s="1026" t="str">
        <f t="shared" si="96"/>
        <v>Incentive Dates Match Agreement Dates Flag</v>
      </c>
      <c r="J843" s="1376" t="str">
        <f t="shared" si="98"/>
        <v>826</v>
      </c>
      <c r="K843" s="1376" t="str">
        <f t="shared" si="97"/>
        <v>Incentives Worksheet</v>
      </c>
      <c r="L843" s="1089" t="s">
        <v>1597</v>
      </c>
      <c r="M843" s="1376">
        <v>826</v>
      </c>
      <c r="N843" s="1376"/>
      <c r="R843" s="1376" t="s">
        <v>1633</v>
      </c>
    </row>
    <row r="844" spans="1:18" s="1370" customFormat="1" x14ac:dyDescent="0.25">
      <c r="A844" s="1118" t="s">
        <v>1594</v>
      </c>
      <c r="B844" s="1089" t="str">
        <f ca="1">_xlfn.CONCAT(IFERROR(SUBSTITUTE(ADDRESS(1,MATCH(A844,INDIRECT("'"&amp;E844&amp;"'"&amp;"!A" &amp; $O$832 + 12 &amp; ":Z" &amp; $O$832+ 12),0),4),1,""),""),$O$832 + 12)</f>
        <v>H219</v>
      </c>
      <c r="C844" s="1089" t="str">
        <f ca="1">_xlfn.CONCAT(IFERROR(SUBSTITUTE(ADDRESS(1,MATCH(A844,INDIRECT("'"&amp;E844&amp;"'"&amp;"!A" &amp; $O$832 + 12 &amp; ":Z" &amp; $O$832+ 12),0),4),1,""),""),$O$832 + 13)</f>
        <v>H220</v>
      </c>
      <c r="D844" s="1089" t="s">
        <v>1448</v>
      </c>
      <c r="E844" s="1089" t="s">
        <v>1618</v>
      </c>
      <c r="I844" s="1026" t="str">
        <f t="shared" si="96"/>
        <v>Include All Customers Flag</v>
      </c>
      <c r="J844" s="1376" t="str">
        <f t="shared" si="98"/>
        <v>827</v>
      </c>
      <c r="K844" s="1376" t="str">
        <f t="shared" si="97"/>
        <v>Incentives Worksheet</v>
      </c>
      <c r="L844" s="1089" t="s">
        <v>1594</v>
      </c>
      <c r="M844" s="1376">
        <v>827</v>
      </c>
      <c r="N844" s="1376"/>
      <c r="R844" s="1376" t="s">
        <v>1633</v>
      </c>
    </row>
    <row r="845" spans="1:18" s="1370" customFormat="1" x14ac:dyDescent="0.25">
      <c r="A845" s="1118" t="s">
        <v>1608</v>
      </c>
      <c r="B845" s="1089" t="str">
        <f ca="1">_xlfn.CONCAT(IFERROR(SUBSTITUTE(ADDRESS(1,MATCH(A845,INDIRECT("'"&amp;E845&amp;"'"&amp;"!A" &amp; $O$832 + 12 &amp; ":Z" &amp; $O$832+ 12),0),4),1,""),""),$O$832 + 12)</f>
        <v>J219</v>
      </c>
      <c r="C845" s="1089" t="str">
        <f ca="1">_xlfn.CONCAT(IFERROR(SUBSTITUTE(ADDRESS(1,MATCH(A845,INDIRECT("'"&amp;E845&amp;"'"&amp;"!A" &amp; $O$832 + 12 &amp; ":Z" &amp; $O$832+ 12),0),4),1,""),""),$O$832 + 13)</f>
        <v>J220</v>
      </c>
      <c r="D845" s="1089" t="s">
        <v>1448</v>
      </c>
      <c r="E845" s="1089" t="s">
        <v>1618</v>
      </c>
      <c r="I845" s="1026" t="str">
        <f t="shared" si="96"/>
        <v>Customer Aggregation</v>
      </c>
      <c r="J845" s="1376" t="str">
        <f t="shared" si="98"/>
        <v>828</v>
      </c>
      <c r="K845" s="1376" t="str">
        <f t="shared" si="97"/>
        <v>Incentives Worksheet</v>
      </c>
      <c r="L845" s="1089" t="s">
        <v>1608</v>
      </c>
      <c r="M845" s="1376">
        <v>828</v>
      </c>
      <c r="N845" s="1376"/>
      <c r="R845" s="1376" t="s">
        <v>1633</v>
      </c>
    </row>
    <row r="846" spans="1:18" s="1370" customFormat="1" x14ac:dyDescent="0.25">
      <c r="A846" s="1118" t="s">
        <v>1486</v>
      </c>
      <c r="B846" s="1089" t="str">
        <f ca="1">_xlfn.IFNA(_xlfn.CONCAT(SUBSTITUTE(ADDRESS(1,MATCH(A846,INDIRECT("'"&amp;E846&amp;"'"&amp;"!A" &amp; $O$832 + 5 &amp; ":Z" &amp; $O$832+ 5),0),4),1,""),$O$832 + 6),"")</f>
        <v>H213</v>
      </c>
      <c r="C846" s="1089" t="str">
        <f t="shared" ref="C846:C860" ca="1" si="99">_xlfn.IFNA(SUBSTITUTE(ADDRESS(1,MATCH(A846,INDIRECT("'"&amp;E846&amp;"'"&amp;"!A" &amp; $O$832 + 5 &amp; ":Z" &amp; $O$832+ 5),0),4),1,""),"")</f>
        <v>H</v>
      </c>
      <c r="D846" s="1089" t="s">
        <v>1455</v>
      </c>
      <c r="E846" s="1089" t="s">
        <v>1618</v>
      </c>
      <c r="I846" s="1026" t="str">
        <f t="shared" si="96"/>
        <v/>
      </c>
      <c r="J846" s="1376"/>
      <c r="K846" s="1376" t="str">
        <f t="shared" si="97"/>
        <v/>
      </c>
      <c r="L846" s="1089" t="s">
        <v>1486</v>
      </c>
      <c r="M846" s="1376">
        <v>829</v>
      </c>
      <c r="N846" s="1376"/>
      <c r="R846" s="1376" t="s">
        <v>1633</v>
      </c>
    </row>
    <row r="847" spans="1:18" s="1370" customFormat="1" x14ac:dyDescent="0.25">
      <c r="A847" s="1118" t="s">
        <v>1487</v>
      </c>
      <c r="B847" s="1089" t="str">
        <f ca="1">_xlfn.IFNA(_xlfn.CONCAT(SUBSTITUTE(ADDRESS(1,MATCH(A847,INDIRECT("'"&amp;E847&amp;"'"&amp;"!A" &amp; $O$832 + 5 &amp; ":Z" &amp; $O$832+ 5),0),4),1,""),$O$832 + 6),"")</f>
        <v>J213</v>
      </c>
      <c r="C847" s="1089" t="str">
        <f t="shared" ca="1" si="99"/>
        <v>J</v>
      </c>
      <c r="D847" s="1089" t="s">
        <v>1455</v>
      </c>
      <c r="E847" s="1089" t="s">
        <v>1618</v>
      </c>
      <c r="I847" s="1026" t="str">
        <f t="shared" si="96"/>
        <v/>
      </c>
      <c r="J847" s="1376"/>
      <c r="K847" s="1376" t="str">
        <f t="shared" si="97"/>
        <v/>
      </c>
      <c r="L847" s="1089" t="s">
        <v>1487</v>
      </c>
      <c r="M847" s="1376">
        <v>830</v>
      </c>
      <c r="N847" s="1376"/>
      <c r="R847" s="1376" t="s">
        <v>1633</v>
      </c>
    </row>
    <row r="848" spans="1:18" s="1370" customFormat="1" x14ac:dyDescent="0.25">
      <c r="A848" s="1118" t="s">
        <v>1488</v>
      </c>
      <c r="B848" s="1089" t="str">
        <f ca="1">_xlfn.IFNA(_xlfn.CONCAT(SUBSTITUTE(ADDRESS(1,MATCH(A848,INDIRECT("'"&amp;E848&amp;"'"&amp;"!A" &amp; $O$832 + 5 &amp; ":Z" &amp; $O$832+ 5),0),4),1,""),$O$832 + 6),"")</f>
        <v>L213</v>
      </c>
      <c r="C848" s="1089" t="str">
        <f t="shared" ca="1" si="99"/>
        <v>L</v>
      </c>
      <c r="D848" s="1089" t="s">
        <v>1455</v>
      </c>
      <c r="E848" s="1089" t="s">
        <v>1618</v>
      </c>
      <c r="I848" s="1026" t="str">
        <f t="shared" si="96"/>
        <v/>
      </c>
      <c r="J848" s="1376"/>
      <c r="K848" s="1376" t="str">
        <f t="shared" si="97"/>
        <v/>
      </c>
      <c r="L848" s="1089" t="s">
        <v>1488</v>
      </c>
      <c r="M848" s="1376">
        <v>831</v>
      </c>
      <c r="N848" s="1376"/>
      <c r="R848" s="1376" t="s">
        <v>1633</v>
      </c>
    </row>
    <row r="849" spans="1:18" s="1370" customFormat="1" x14ac:dyDescent="0.25">
      <c r="A849" s="1118" t="s">
        <v>1486</v>
      </c>
      <c r="B849" s="1089" t="str">
        <f ca="1">_xlfn.IFNA(_xlfn.CONCAT(SUBSTITUTE(ADDRESS(1,MATCH(A849,INDIRECT("'"&amp;E849&amp;"'"&amp;"!A" &amp; $O$832 + 5 &amp; ":Z" &amp; $O$832+ 5),0),4),1,""),$O$832 + 7),"")</f>
        <v>H214</v>
      </c>
      <c r="C849" s="1089" t="str">
        <f t="shared" ca="1" si="99"/>
        <v>H</v>
      </c>
      <c r="D849" s="1089" t="s">
        <v>1455</v>
      </c>
      <c r="E849" s="1089" t="s">
        <v>1618</v>
      </c>
      <c r="I849" s="1026" t="str">
        <f t="shared" si="96"/>
        <v/>
      </c>
      <c r="J849" s="1376"/>
      <c r="K849" s="1376" t="str">
        <f t="shared" si="97"/>
        <v/>
      </c>
      <c r="L849" s="1089" t="s">
        <v>1486</v>
      </c>
      <c r="M849" s="1376">
        <v>832</v>
      </c>
      <c r="N849" s="1376"/>
      <c r="R849" s="1376" t="s">
        <v>1633</v>
      </c>
    </row>
    <row r="850" spans="1:18" s="1370" customFormat="1" x14ac:dyDescent="0.25">
      <c r="A850" s="1118" t="s">
        <v>1487</v>
      </c>
      <c r="B850" s="1089" t="str">
        <f ca="1">_xlfn.IFNA(_xlfn.CONCAT(SUBSTITUTE(ADDRESS(1,MATCH(A850,INDIRECT("'"&amp;E850&amp;"'"&amp;"!A" &amp; $O$832 + 5 &amp; ":Z" &amp; $O$832+ 5),0),4),1,""),$O$832 + 7),"")</f>
        <v>J214</v>
      </c>
      <c r="C850" s="1089" t="str">
        <f t="shared" ca="1" si="99"/>
        <v>J</v>
      </c>
      <c r="D850" s="1089" t="s">
        <v>1455</v>
      </c>
      <c r="E850" s="1089" t="s">
        <v>1618</v>
      </c>
      <c r="I850" s="1026" t="str">
        <f t="shared" si="96"/>
        <v/>
      </c>
      <c r="J850" s="1376"/>
      <c r="K850" s="1376" t="str">
        <f t="shared" si="97"/>
        <v/>
      </c>
      <c r="L850" s="1089" t="s">
        <v>1487</v>
      </c>
      <c r="M850" s="1376">
        <v>833</v>
      </c>
      <c r="N850" s="1376"/>
      <c r="R850" s="1376" t="s">
        <v>1633</v>
      </c>
    </row>
    <row r="851" spans="1:18" s="1370" customFormat="1" x14ac:dyDescent="0.25">
      <c r="A851" s="1118" t="s">
        <v>1488</v>
      </c>
      <c r="B851" s="1089" t="str">
        <f ca="1">_xlfn.IFNA(_xlfn.CONCAT(SUBSTITUTE(ADDRESS(1,MATCH(A851,INDIRECT("'"&amp;E851&amp;"'"&amp;"!A" &amp; $O$832 + 5 &amp; ":Z" &amp; $O$832+ 5),0),4),1,""),$O$832 + 7),"")</f>
        <v>L214</v>
      </c>
      <c r="C851" s="1089" t="str">
        <f t="shared" ca="1" si="99"/>
        <v>L</v>
      </c>
      <c r="D851" s="1089" t="s">
        <v>1455</v>
      </c>
      <c r="E851" s="1089" t="s">
        <v>1618</v>
      </c>
      <c r="I851" s="1026" t="str">
        <f t="shared" si="96"/>
        <v/>
      </c>
      <c r="J851" s="1376"/>
      <c r="K851" s="1376" t="str">
        <f t="shared" si="97"/>
        <v/>
      </c>
      <c r="L851" s="1089" t="s">
        <v>1488</v>
      </c>
      <c r="M851" s="1376">
        <v>834</v>
      </c>
      <c r="N851" s="1376"/>
      <c r="R851" s="1376" t="s">
        <v>1633</v>
      </c>
    </row>
    <row r="852" spans="1:18" s="1370" customFormat="1" x14ac:dyDescent="0.25">
      <c r="A852" s="1118" t="s">
        <v>1486</v>
      </c>
      <c r="B852" s="1089" t="str">
        <f ca="1">_xlfn.IFNA(_xlfn.CONCAT(SUBSTITUTE(ADDRESS(1,MATCH(A852,INDIRECT("'"&amp;E852&amp;"'"&amp;"!A" &amp; $O$832 + 5 &amp; ":Z" &amp; $O$832+ 5),0),4),1,""),$O$832 + 8),"")</f>
        <v>H215</v>
      </c>
      <c r="C852" s="1089" t="str">
        <f t="shared" ca="1" si="99"/>
        <v>H</v>
      </c>
      <c r="D852" s="1089" t="s">
        <v>1455</v>
      </c>
      <c r="E852" s="1089" t="s">
        <v>1618</v>
      </c>
      <c r="I852" s="1026" t="str">
        <f t="shared" si="96"/>
        <v/>
      </c>
      <c r="J852" s="1376"/>
      <c r="K852" s="1376" t="str">
        <f t="shared" si="97"/>
        <v/>
      </c>
      <c r="L852" s="1089" t="s">
        <v>1486</v>
      </c>
      <c r="M852" s="1376">
        <v>835</v>
      </c>
      <c r="N852" s="1376"/>
      <c r="R852" s="1376" t="s">
        <v>1633</v>
      </c>
    </row>
    <row r="853" spans="1:18" s="1370" customFormat="1" x14ac:dyDescent="0.25">
      <c r="A853" s="1118" t="s">
        <v>1487</v>
      </c>
      <c r="B853" s="1089" t="str">
        <f ca="1">_xlfn.IFNA(_xlfn.CONCAT(SUBSTITUTE(ADDRESS(1,MATCH(A853,INDIRECT("'"&amp;E853&amp;"'"&amp;"!A" &amp; $O$832 + 5 &amp; ":Z" &amp; $O$832+ 5),0),4),1,""),$O$832 + 8),"")</f>
        <v>J215</v>
      </c>
      <c r="C853" s="1089" t="str">
        <f t="shared" ca="1" si="99"/>
        <v>J</v>
      </c>
      <c r="D853" s="1089" t="s">
        <v>1455</v>
      </c>
      <c r="E853" s="1089" t="s">
        <v>1618</v>
      </c>
      <c r="I853" s="1026" t="str">
        <f t="shared" si="96"/>
        <v/>
      </c>
      <c r="J853" s="1376"/>
      <c r="K853" s="1376" t="str">
        <f t="shared" si="97"/>
        <v/>
      </c>
      <c r="L853" s="1089" t="s">
        <v>1487</v>
      </c>
      <c r="M853" s="1376">
        <v>836</v>
      </c>
      <c r="N853" s="1376"/>
      <c r="R853" s="1376" t="s">
        <v>1633</v>
      </c>
    </row>
    <row r="854" spans="1:18" s="1370" customFormat="1" x14ac:dyDescent="0.25">
      <c r="A854" s="1118" t="s">
        <v>1488</v>
      </c>
      <c r="B854" s="1089" t="str">
        <f ca="1">_xlfn.IFNA(_xlfn.CONCAT(SUBSTITUTE(ADDRESS(1,MATCH(A854,INDIRECT("'"&amp;E854&amp;"'"&amp;"!A" &amp; $O$832 + 5 &amp; ":Z" &amp; $O$832+ 5),0),4),1,""),$O$832 + 8),"")</f>
        <v>L215</v>
      </c>
      <c r="C854" s="1089" t="str">
        <f t="shared" ca="1" si="99"/>
        <v>L</v>
      </c>
      <c r="D854" s="1089" t="s">
        <v>1455</v>
      </c>
      <c r="E854" s="1089" t="s">
        <v>1618</v>
      </c>
      <c r="I854" s="1026" t="str">
        <f t="shared" si="96"/>
        <v/>
      </c>
      <c r="J854" s="1376"/>
      <c r="K854" s="1376" t="str">
        <f t="shared" si="97"/>
        <v/>
      </c>
      <c r="L854" s="1089" t="s">
        <v>1488</v>
      </c>
      <c r="M854" s="1376">
        <v>837</v>
      </c>
      <c r="N854" s="1376"/>
      <c r="R854" s="1376" t="s">
        <v>1633</v>
      </c>
    </row>
    <row r="855" spans="1:18" s="1370" customFormat="1" x14ac:dyDescent="0.25">
      <c r="A855" s="1118" t="s">
        <v>1486</v>
      </c>
      <c r="B855" s="1089" t="str">
        <f ca="1">_xlfn.IFNA(_xlfn.CONCAT(SUBSTITUTE(ADDRESS(1,MATCH(A855,INDIRECT("'"&amp;E855&amp;"'"&amp;"!A" &amp; $O$832 + 5 &amp; ":Z" &amp; $O$832+ 5),0),4),1,""),$O$832 + 9),"")</f>
        <v>H216</v>
      </c>
      <c r="C855" s="1089" t="str">
        <f t="shared" ca="1" si="99"/>
        <v>H</v>
      </c>
      <c r="D855" s="1089" t="s">
        <v>1455</v>
      </c>
      <c r="E855" s="1089" t="s">
        <v>1618</v>
      </c>
      <c r="I855" s="1026" t="str">
        <f t="shared" si="96"/>
        <v/>
      </c>
      <c r="J855" s="1376"/>
      <c r="K855" s="1376" t="str">
        <f t="shared" si="97"/>
        <v/>
      </c>
      <c r="L855" s="1089" t="s">
        <v>1486</v>
      </c>
      <c r="M855" s="1376">
        <v>838</v>
      </c>
      <c r="N855" s="1376"/>
      <c r="R855" s="1376" t="s">
        <v>1633</v>
      </c>
    </row>
    <row r="856" spans="1:18" s="1370" customFormat="1" x14ac:dyDescent="0.25">
      <c r="A856" s="1118" t="s">
        <v>1487</v>
      </c>
      <c r="B856" s="1089" t="str">
        <f ca="1">_xlfn.IFNA(_xlfn.CONCAT(SUBSTITUTE(ADDRESS(1,MATCH(A856,INDIRECT("'"&amp;E856&amp;"'"&amp;"!A" &amp; $O$832 + 5 &amp; ":Z" &amp; $O$832+ 5),0),4),1,""),$O$832 + 9),"")</f>
        <v>J216</v>
      </c>
      <c r="C856" s="1089" t="str">
        <f t="shared" ca="1" si="99"/>
        <v>J</v>
      </c>
      <c r="D856" s="1089" t="s">
        <v>1455</v>
      </c>
      <c r="E856" s="1089" t="s">
        <v>1618</v>
      </c>
      <c r="I856" s="1026" t="str">
        <f t="shared" si="96"/>
        <v/>
      </c>
      <c r="J856" s="1376"/>
      <c r="K856" s="1376" t="str">
        <f t="shared" si="97"/>
        <v/>
      </c>
      <c r="L856" s="1089" t="s">
        <v>1487</v>
      </c>
      <c r="M856" s="1376">
        <v>839</v>
      </c>
      <c r="N856" s="1376"/>
      <c r="R856" s="1376" t="s">
        <v>1633</v>
      </c>
    </row>
    <row r="857" spans="1:18" s="1370" customFormat="1" x14ac:dyDescent="0.25">
      <c r="A857" s="1118" t="s">
        <v>1488</v>
      </c>
      <c r="B857" s="1089" t="str">
        <f ca="1">_xlfn.IFNA(_xlfn.CONCAT(SUBSTITUTE(ADDRESS(1,MATCH(A857,INDIRECT("'"&amp;E857&amp;"'"&amp;"!A" &amp; $O$832 + 5 &amp; ":Z" &amp; $O$832+ 5),0),4),1,""),$O$832 + 9),"")</f>
        <v>L216</v>
      </c>
      <c r="C857" s="1089" t="str">
        <f t="shared" ca="1" si="99"/>
        <v>L</v>
      </c>
      <c r="D857" s="1089" t="s">
        <v>1455</v>
      </c>
      <c r="E857" s="1089" t="s">
        <v>1618</v>
      </c>
      <c r="I857" s="1026" t="str">
        <f t="shared" si="96"/>
        <v/>
      </c>
      <c r="J857" s="1376"/>
      <c r="K857" s="1376" t="str">
        <f t="shared" si="97"/>
        <v/>
      </c>
      <c r="L857" s="1089" t="s">
        <v>1488</v>
      </c>
      <c r="M857" s="1376">
        <v>840</v>
      </c>
      <c r="N857" s="1376"/>
      <c r="R857" s="1376" t="s">
        <v>1633</v>
      </c>
    </row>
    <row r="858" spans="1:18" s="1370" customFormat="1" x14ac:dyDescent="0.25">
      <c r="A858" s="1118" t="s">
        <v>1486</v>
      </c>
      <c r="B858" s="1089" t="str">
        <f ca="1">_xlfn.IFNA(_xlfn.CONCAT(SUBSTITUTE(ADDRESS(1,MATCH(A858,INDIRECT("'"&amp;E858&amp;"'"&amp;"!A" &amp; $O$832 + 5 &amp; ":Z" &amp; $O$832+ 5),0),4),1,""),$O$832 + 10),"")</f>
        <v>H217</v>
      </c>
      <c r="C858" s="1089" t="str">
        <f t="shared" ca="1" si="99"/>
        <v>H</v>
      </c>
      <c r="D858" s="1089" t="s">
        <v>1455</v>
      </c>
      <c r="E858" s="1089" t="s">
        <v>1618</v>
      </c>
      <c r="I858" s="1026" t="str">
        <f t="shared" si="96"/>
        <v/>
      </c>
      <c r="J858" s="1376"/>
      <c r="K858" s="1376" t="str">
        <f t="shared" si="97"/>
        <v/>
      </c>
      <c r="L858" s="1089" t="s">
        <v>1486</v>
      </c>
      <c r="M858" s="1376">
        <v>841</v>
      </c>
      <c r="N858" s="1376"/>
      <c r="R858" s="1376" t="s">
        <v>1633</v>
      </c>
    </row>
    <row r="859" spans="1:18" s="1370" customFormat="1" x14ac:dyDescent="0.25">
      <c r="A859" s="1118" t="s">
        <v>1487</v>
      </c>
      <c r="B859" s="1089" t="str">
        <f ca="1">_xlfn.IFNA(_xlfn.CONCAT(SUBSTITUTE(ADDRESS(1,MATCH(A859,INDIRECT("'"&amp;E859&amp;"'"&amp;"!A" &amp; $O$832 + 5 &amp; ":Z" &amp; $O$832+ 5),0),4),1,""),$O$832 + 10),"")</f>
        <v>J217</v>
      </c>
      <c r="C859" s="1089" t="str">
        <f t="shared" ca="1" si="99"/>
        <v>J</v>
      </c>
      <c r="D859" s="1089" t="s">
        <v>1455</v>
      </c>
      <c r="E859" s="1089" t="s">
        <v>1618</v>
      </c>
      <c r="I859" s="1026" t="str">
        <f t="shared" si="96"/>
        <v/>
      </c>
      <c r="J859" s="1376"/>
      <c r="K859" s="1376" t="str">
        <f t="shared" si="97"/>
        <v/>
      </c>
      <c r="L859" s="1089" t="s">
        <v>1487</v>
      </c>
      <c r="M859" s="1376">
        <v>842</v>
      </c>
      <c r="N859" s="1376"/>
      <c r="R859" s="1376" t="s">
        <v>1633</v>
      </c>
    </row>
    <row r="860" spans="1:18" s="1370" customFormat="1" x14ac:dyDescent="0.25">
      <c r="A860" s="1118" t="s">
        <v>1488</v>
      </c>
      <c r="B860" s="1089" t="str">
        <f ca="1">_xlfn.IFNA(_xlfn.CONCAT(SUBSTITUTE(ADDRESS(1,MATCH(A860,INDIRECT("'"&amp;E860&amp;"'"&amp;"!A" &amp; $O$832 + 5 &amp; ":Z" &amp; $O$832+ 5),0),4),1,""),$O$832 + 10),"")</f>
        <v>L217</v>
      </c>
      <c r="C860" s="1089" t="str">
        <f t="shared" ca="1" si="99"/>
        <v>L</v>
      </c>
      <c r="D860" s="1089" t="s">
        <v>1455</v>
      </c>
      <c r="E860" s="1089" t="s">
        <v>1618</v>
      </c>
      <c r="I860" s="1026" t="str">
        <f t="shared" si="96"/>
        <v/>
      </c>
      <c r="J860" s="1376"/>
      <c r="K860" s="1376" t="str">
        <f t="shared" si="97"/>
        <v/>
      </c>
      <c r="L860" s="1089" t="s">
        <v>1488</v>
      </c>
      <c r="M860" s="1376">
        <v>843</v>
      </c>
      <c r="N860" s="1376"/>
      <c r="R860" s="1376" t="s">
        <v>1633</v>
      </c>
    </row>
    <row r="861" spans="1:18" s="1370" customFormat="1" x14ac:dyDescent="0.25">
      <c r="A861" s="1121" t="s">
        <v>1593</v>
      </c>
      <c r="B861" s="1089" t="str">
        <f ca="1">IFERROR(_xlfn.CONCAT("C",MATCH(A861,INDIRECT("'"&amp;E861&amp;"'!C"&amp;$O$862&amp;":C"&amp;$O$864),0)+$O$862-1),"")</f>
        <v>C227</v>
      </c>
      <c r="C861" s="1089" t="str">
        <f ca="1">IFERROR(_xlfn.CONCAT("D",MATCH(A861,INDIRECT("'"&amp;E861&amp;"'!C"&amp;$O$862&amp;":C"&amp;$O$864),0)+$O$862-1),"")</f>
        <v>D227</v>
      </c>
      <c r="D861" s="1089" t="s">
        <v>1448</v>
      </c>
      <c r="E861" s="1089" t="s">
        <v>1618</v>
      </c>
      <c r="I861" s="1026" t="str">
        <f t="shared" si="96"/>
        <v/>
      </c>
      <c r="J861" s="1376"/>
      <c r="K861" s="1376" t="str">
        <f t="shared" si="97"/>
        <v/>
      </c>
      <c r="L861" s="1089" t="s">
        <v>1593</v>
      </c>
      <c r="M861" s="1376">
        <v>844</v>
      </c>
      <c r="N861" s="1376"/>
      <c r="O861" s="1370" t="s">
        <v>742</v>
      </c>
      <c r="R861" s="1376" t="s">
        <v>1633</v>
      </c>
    </row>
    <row r="862" spans="1:18" s="1370" customFormat="1" x14ac:dyDescent="0.25">
      <c r="A862" s="1121" t="s">
        <v>1809</v>
      </c>
      <c r="B862" s="1089" t="str">
        <f ca="1">_xlfn.CONCAT(IFERROR(SUBSTITUTE(ADDRESS(1,MATCH(A862,INDIRECT("'"&amp;E862&amp;"'"&amp;"!A" &amp; $O$862 + 12 &amp; ":Z" &amp; $O$862+ 12),0),4),1,""),""),$O$862 + 12)</f>
        <v>T235</v>
      </c>
      <c r="C862" s="1089" t="str">
        <f ca="1">_xlfn.CONCAT(IFERROR(SUBSTITUTE(ADDRESS(1,MATCH(A862,INDIRECT("'"&amp;E862&amp;"'"&amp;"!A" &amp; $O$862 + 12 &amp; ":Z" &amp; $O$862+ 12),0),4),1,""),""),$O$862 + 13)</f>
        <v>T236</v>
      </c>
      <c r="D862" s="1089" t="s">
        <v>1448</v>
      </c>
      <c r="E862" s="1089" t="s">
        <v>1618</v>
      </c>
      <c r="I862" s="1026" t="str">
        <f t="shared" si="96"/>
        <v/>
      </c>
      <c r="J862" s="1376"/>
      <c r="K862" s="1376" t="str">
        <f t="shared" si="97"/>
        <v/>
      </c>
      <c r="L862" s="1089" t="s">
        <v>1809</v>
      </c>
      <c r="M862" s="1376">
        <v>845</v>
      </c>
      <c r="N862" s="1376"/>
      <c r="O862" s="1370">
        <f>'Configurable Tab'!H18</f>
        <v>223</v>
      </c>
      <c r="Q862" s="1370" t="s">
        <v>653</v>
      </c>
      <c r="R862" s="1376" t="s">
        <v>1633</v>
      </c>
    </row>
    <row r="863" spans="1:18" s="1370" customFormat="1" x14ac:dyDescent="0.25">
      <c r="A863" s="1121" t="s">
        <v>1482</v>
      </c>
      <c r="B863" s="1089" t="str">
        <f ca="1">IFERROR(_xlfn.CONCAT("C",MATCH(A863,INDIRECT("'"&amp;E863&amp;"'!C"&amp;$O$862&amp;":C"&amp;$O$864),0)+$O$862-1),"")</f>
        <v>C225</v>
      </c>
      <c r="C863" s="1089" t="str">
        <f ca="1">IFERROR(_xlfn.CONCAT("D",MATCH(A863,INDIRECT("'"&amp;E863&amp;"'!C"&amp;$O$862&amp;":C"&amp;$O$864),0)+$O$862-1),"")</f>
        <v>D225</v>
      </c>
      <c r="D863" s="1089" t="s">
        <v>1448</v>
      </c>
      <c r="E863" s="1089" t="s">
        <v>1618</v>
      </c>
      <c r="I863" s="1026" t="str">
        <f t="shared" si="96"/>
        <v/>
      </c>
      <c r="J863" s="1376"/>
      <c r="K863" s="1376" t="str">
        <f t="shared" si="97"/>
        <v/>
      </c>
      <c r="L863" s="1089" t="s">
        <v>1482</v>
      </c>
      <c r="M863" s="1376">
        <v>846</v>
      </c>
      <c r="N863" s="1376"/>
      <c r="O863" s="1370" t="s">
        <v>743</v>
      </c>
      <c r="R863" s="1376" t="s">
        <v>1633</v>
      </c>
    </row>
    <row r="864" spans="1:18" s="1370" customFormat="1" x14ac:dyDescent="0.25">
      <c r="A864" s="1121" t="s">
        <v>1479</v>
      </c>
      <c r="B864" s="1089" t="str">
        <f t="shared" ref="B864:B870" ca="1" si="100">_xlfn.CONCAT(IFERROR(SUBSTITUTE(ADDRESS(1,MATCH(A864,INDIRECT("'"&amp;E864&amp;"'"&amp;"!A" &amp; $O$862 + 2 &amp; ":Z" &amp; $O$862+ 2),0),4),1,""),""),$O$862 + 2)</f>
        <v>H225</v>
      </c>
      <c r="C864" s="1089" t="str">
        <f t="shared" ref="C864:C870" ca="1" si="101">_xlfn.CONCAT(IFERROR(SUBSTITUTE(ADDRESS(1,MATCH(A864,INDIRECT("'"&amp;E864&amp;"'"&amp;"!A" &amp; $O$862 + 2 &amp; ":Z" &amp; $O$862+ 2),0),4),1,""),""),$O$862 + 3)</f>
        <v>H226</v>
      </c>
      <c r="D864" s="1089" t="s">
        <v>1448</v>
      </c>
      <c r="E864" s="1089" t="s">
        <v>1618</v>
      </c>
      <c r="I864" s="1026" t="str">
        <f t="shared" si="96"/>
        <v/>
      </c>
      <c r="J864" s="1376"/>
      <c r="K864" s="1376" t="str">
        <f t="shared" si="97"/>
        <v/>
      </c>
      <c r="L864" s="1089" t="s">
        <v>1479</v>
      </c>
      <c r="M864" s="1376">
        <v>847</v>
      </c>
      <c r="N864" s="1376"/>
      <c r="O864" s="1370">
        <f>'Configurable Tab'!I18</f>
        <v>238</v>
      </c>
      <c r="R864" s="1376" t="s">
        <v>1633</v>
      </c>
    </row>
    <row r="865" spans="1:18" s="1370" customFormat="1" x14ac:dyDescent="0.25">
      <c r="A865" s="1121" t="s">
        <v>1480</v>
      </c>
      <c r="B865" s="1089" t="str">
        <f t="shared" ca="1" si="100"/>
        <v>J225</v>
      </c>
      <c r="C865" s="1089" t="str">
        <f t="shared" ca="1" si="101"/>
        <v>J226</v>
      </c>
      <c r="D865" s="1089" t="s">
        <v>1448</v>
      </c>
      <c r="E865" s="1089" t="s">
        <v>1618</v>
      </c>
      <c r="I865" s="1026" t="str">
        <f t="shared" si="96"/>
        <v/>
      </c>
      <c r="J865" s="1376"/>
      <c r="K865" s="1376" t="str">
        <f t="shared" si="97"/>
        <v/>
      </c>
      <c r="L865" s="1089" t="s">
        <v>1480</v>
      </c>
      <c r="M865" s="1376">
        <v>848</v>
      </c>
      <c r="N865" s="1376"/>
      <c r="O865" s="1370" t="s">
        <v>1751</v>
      </c>
      <c r="R865" s="1376" t="s">
        <v>1633</v>
      </c>
    </row>
    <row r="866" spans="1:18" s="1370" customFormat="1" x14ac:dyDescent="0.25">
      <c r="A866" s="1121" t="s">
        <v>1496</v>
      </c>
      <c r="B866" s="1089" t="str">
        <f t="shared" ca="1" si="100"/>
        <v>L225</v>
      </c>
      <c r="C866" s="1089" t="str">
        <f t="shared" ca="1" si="101"/>
        <v>L226</v>
      </c>
      <c r="D866" s="1089" t="s">
        <v>1448</v>
      </c>
      <c r="E866" s="1089" t="s">
        <v>1618</v>
      </c>
      <c r="I866" s="1026" t="str">
        <f t="shared" si="96"/>
        <v/>
      </c>
      <c r="J866" s="1376"/>
      <c r="K866" s="1376" t="str">
        <f t="shared" si="97"/>
        <v/>
      </c>
      <c r="L866" s="1089" t="s">
        <v>1496</v>
      </c>
      <c r="M866" s="1376">
        <v>849</v>
      </c>
      <c r="N866" s="1376"/>
      <c r="R866" s="1376" t="s">
        <v>1633</v>
      </c>
    </row>
    <row r="867" spans="1:18" s="1370" customFormat="1" x14ac:dyDescent="0.25">
      <c r="A867" s="1121" t="s">
        <v>1481</v>
      </c>
      <c r="B867" s="1089" t="str">
        <f t="shared" ca="1" si="100"/>
        <v>N225</v>
      </c>
      <c r="C867" s="1089" t="str">
        <f t="shared" ca="1" si="101"/>
        <v>N226</v>
      </c>
      <c r="D867" s="1089" t="s">
        <v>1448</v>
      </c>
      <c r="E867" s="1089" t="s">
        <v>1618</v>
      </c>
      <c r="I867" s="1026" t="str">
        <f t="shared" si="96"/>
        <v/>
      </c>
      <c r="J867" s="1376"/>
      <c r="K867" s="1376" t="str">
        <f t="shared" si="97"/>
        <v/>
      </c>
      <c r="L867" s="1089" t="s">
        <v>1481</v>
      </c>
      <c r="M867" s="1376">
        <v>850</v>
      </c>
      <c r="N867" s="1376"/>
      <c r="R867" s="1376" t="s">
        <v>1633</v>
      </c>
    </row>
    <row r="868" spans="1:18" s="1370" customFormat="1" x14ac:dyDescent="0.25">
      <c r="A868" s="1121" t="s">
        <v>1588</v>
      </c>
      <c r="B868" s="1089" t="str">
        <f t="shared" ca="1" si="100"/>
        <v>P225</v>
      </c>
      <c r="C868" s="1089" t="str">
        <f t="shared" ca="1" si="101"/>
        <v>P226</v>
      </c>
      <c r="D868" s="1089" t="s">
        <v>1448</v>
      </c>
      <c r="E868" s="1089" t="s">
        <v>1618</v>
      </c>
      <c r="I868" s="1026" t="str">
        <f t="shared" si="96"/>
        <v>Qualifying Cycle</v>
      </c>
      <c r="J868" s="1376" t="str">
        <f t="shared" si="98"/>
        <v>851</v>
      </c>
      <c r="K868" s="1376" t="str">
        <f t="shared" si="97"/>
        <v>Incentives Worksheet</v>
      </c>
      <c r="L868" s="1089" t="s">
        <v>1588</v>
      </c>
      <c r="M868" s="1376">
        <v>851</v>
      </c>
      <c r="N868" s="1376"/>
      <c r="R868" s="1376" t="s">
        <v>1633</v>
      </c>
    </row>
    <row r="869" spans="1:18" s="1370" customFormat="1" x14ac:dyDescent="0.25">
      <c r="A869" s="1121" t="s">
        <v>1589</v>
      </c>
      <c r="B869" s="1089" t="str">
        <f t="shared" ca="1" si="100"/>
        <v>R225</v>
      </c>
      <c r="C869" s="1089" t="str">
        <f t="shared" ca="1" si="101"/>
        <v>R226</v>
      </c>
      <c r="D869" s="1089" t="s">
        <v>1448</v>
      </c>
      <c r="E869" s="1089" t="s">
        <v>1618</v>
      </c>
      <c r="I869" s="1026" t="str">
        <f t="shared" si="96"/>
        <v>Incentive Calendar</v>
      </c>
      <c r="J869" s="1376" t="str">
        <f t="shared" si="98"/>
        <v>852</v>
      </c>
      <c r="K869" s="1376" t="str">
        <f t="shared" si="97"/>
        <v>Incentives Worksheet</v>
      </c>
      <c r="L869" s="1089" t="s">
        <v>1589</v>
      </c>
      <c r="M869" s="1376">
        <v>852</v>
      </c>
      <c r="N869" s="1376"/>
      <c r="R869" s="1376" t="s">
        <v>1633</v>
      </c>
    </row>
    <row r="870" spans="1:18" s="1370" customFormat="1" x14ac:dyDescent="0.25">
      <c r="A870" s="1121" t="s">
        <v>1590</v>
      </c>
      <c r="B870" s="1089" t="str">
        <f t="shared" ca="1" si="100"/>
        <v>T225</v>
      </c>
      <c r="C870" s="1089" t="str">
        <f t="shared" ca="1" si="101"/>
        <v>T226</v>
      </c>
      <c r="D870" s="1089" t="s">
        <v>1448</v>
      </c>
      <c r="E870" s="1089" t="s">
        <v>1618</v>
      </c>
      <c r="I870" s="1026" t="str">
        <f t="shared" si="96"/>
        <v>Post to GL Payment Method Flag</v>
      </c>
      <c r="J870" s="1376" t="str">
        <f t="shared" si="98"/>
        <v>853</v>
      </c>
      <c r="K870" s="1376" t="str">
        <f t="shared" si="97"/>
        <v>Incentives Worksheet</v>
      </c>
      <c r="L870" s="1089" t="s">
        <v>1590</v>
      </c>
      <c r="M870" s="1376">
        <v>853</v>
      </c>
      <c r="N870" s="1376"/>
      <c r="R870" s="1376" t="s">
        <v>1633</v>
      </c>
    </row>
    <row r="871" spans="1:18" s="1370" customFormat="1" x14ac:dyDescent="0.25">
      <c r="A871" s="1121" t="s">
        <v>1484</v>
      </c>
      <c r="B871" s="1089" t="str">
        <f ca="1">IFERROR(_xlfn.CONCAT("C",MATCH(A871,INDIRECT("'"&amp;E871&amp;"'!C"&amp;$O$862&amp;":C"&amp;$O$864),0)+$O$862-1),"")</f>
        <v>C229</v>
      </c>
      <c r="C871" s="1089" t="str">
        <f ca="1">IFERROR(_xlfn.CONCAT("D",MATCH(A871,INDIRECT("'"&amp;E871&amp;"'!C"&amp;$O$862&amp;":C"&amp;$O$864),0)+$O$862-1),"")</f>
        <v>D229</v>
      </c>
      <c r="D871" s="1089" t="s">
        <v>1448</v>
      </c>
      <c r="E871" s="1089" t="s">
        <v>1618</v>
      </c>
      <c r="I871" s="1026" t="str">
        <f t="shared" si="96"/>
        <v/>
      </c>
      <c r="J871" s="1376"/>
      <c r="K871" s="1376" t="str">
        <f t="shared" si="97"/>
        <v/>
      </c>
      <c r="L871" s="1089" t="s">
        <v>1484</v>
      </c>
      <c r="M871" s="1376">
        <v>854</v>
      </c>
      <c r="N871" s="1376"/>
      <c r="R871" s="1376" t="s">
        <v>1633</v>
      </c>
    </row>
    <row r="872" spans="1:18" s="1370" customFormat="1" x14ac:dyDescent="0.25">
      <c r="A872" s="1121" t="s">
        <v>1485</v>
      </c>
      <c r="B872" s="1089" t="str">
        <f ca="1">IFERROR(_xlfn.CONCAT("C",MATCH(A872,INDIRECT("'"&amp;E872&amp;"'!C"&amp;$O$862&amp;":C"&amp;$O$864),0)+$O$862-1),"")</f>
        <v>C231</v>
      </c>
      <c r="C872" s="1089" t="str">
        <f ca="1">IFERROR(_xlfn.CONCAT("D",MATCH(A872,INDIRECT("'"&amp;E872&amp;"'!C"&amp;$O$862&amp;":C"&amp;$O$864),0)+$O$862-1),"")</f>
        <v>D231</v>
      </c>
      <c r="D872" s="1089" t="s">
        <v>1448</v>
      </c>
      <c r="E872" s="1089" t="s">
        <v>1618</v>
      </c>
      <c r="I872" s="1026" t="str">
        <f t="shared" si="96"/>
        <v/>
      </c>
      <c r="J872" s="1376"/>
      <c r="K872" s="1376" t="str">
        <f t="shared" si="97"/>
        <v/>
      </c>
      <c r="L872" s="1089" t="s">
        <v>1485</v>
      </c>
      <c r="M872" s="1376">
        <v>855</v>
      </c>
      <c r="N872" s="1376"/>
      <c r="R872" s="1376" t="s">
        <v>1633</v>
      </c>
    </row>
    <row r="873" spans="1:18" s="1370" customFormat="1" ht="30" x14ac:dyDescent="0.25">
      <c r="A873" s="1121" t="s">
        <v>1597</v>
      </c>
      <c r="B873" s="1089" t="str">
        <f ca="1">IFERROR(_xlfn.CONCAT("C",MATCH(A873,INDIRECT("'"&amp;E873&amp;"'!C"&amp;$O$862&amp;":C"&amp;$O$864),0)+$O$862-1),"")</f>
        <v>C235</v>
      </c>
      <c r="C873" s="1089" t="str">
        <f ca="1">IFERROR(_xlfn.CONCAT("D",MATCH(A873,INDIRECT("'"&amp;E873&amp;"'!C"&amp;$O$862&amp;":C"&amp;$O$864),0)+$O$862-1),"")</f>
        <v>D235</v>
      </c>
      <c r="D873" s="1089" t="s">
        <v>1448</v>
      </c>
      <c r="E873" s="1089" t="s">
        <v>1618</v>
      </c>
      <c r="I873" s="1026" t="str">
        <f t="shared" si="96"/>
        <v>Incentive Dates Match Agreement Dates Flag</v>
      </c>
      <c r="J873" s="1376" t="str">
        <f t="shared" si="98"/>
        <v>856</v>
      </c>
      <c r="K873" s="1376" t="str">
        <f t="shared" si="97"/>
        <v>Incentives Worksheet</v>
      </c>
      <c r="L873" s="1089" t="s">
        <v>1597</v>
      </c>
      <c r="M873" s="1376">
        <v>856</v>
      </c>
      <c r="N873" s="1376"/>
      <c r="R873" s="1376" t="s">
        <v>1633</v>
      </c>
    </row>
    <row r="874" spans="1:18" s="1370" customFormat="1" x14ac:dyDescent="0.25">
      <c r="A874" s="1121" t="s">
        <v>1594</v>
      </c>
      <c r="B874" s="1089" t="str">
        <f ca="1">_xlfn.CONCAT(IFERROR(SUBSTITUTE(ADDRESS(1,MATCH(A874,INDIRECT("'"&amp;E874&amp;"'"&amp;"!A" &amp; $O$862 + 12 &amp; ":Z" &amp; $O$862+ 12),0),4),1,""),""),$O$862 + 12)</f>
        <v>H235</v>
      </c>
      <c r="C874" s="1089" t="str">
        <f ca="1">_xlfn.CONCAT(IFERROR(SUBSTITUTE(ADDRESS(1,MATCH(A874,INDIRECT("'"&amp;E874&amp;"'"&amp;"!A" &amp; $O$862 + 12 &amp; ":Z" &amp; $O$862+ 12),0),4),1,""),""),$O$862 + 13)</f>
        <v>H236</v>
      </c>
      <c r="D874" s="1089" t="s">
        <v>1448</v>
      </c>
      <c r="E874" s="1089" t="s">
        <v>1618</v>
      </c>
      <c r="I874" s="1026" t="str">
        <f t="shared" si="96"/>
        <v>Include All Customers Flag</v>
      </c>
      <c r="J874" s="1376" t="str">
        <f t="shared" si="98"/>
        <v>857</v>
      </c>
      <c r="K874" s="1376" t="str">
        <f t="shared" si="97"/>
        <v>Incentives Worksheet</v>
      </c>
      <c r="L874" s="1089" t="s">
        <v>1594</v>
      </c>
      <c r="M874" s="1376">
        <v>857</v>
      </c>
      <c r="N874" s="1376"/>
      <c r="R874" s="1376" t="s">
        <v>1633</v>
      </c>
    </row>
    <row r="875" spans="1:18" s="1370" customFormat="1" x14ac:dyDescent="0.25">
      <c r="A875" s="1121" t="s">
        <v>1608</v>
      </c>
      <c r="B875" s="1089" t="str">
        <f ca="1">_xlfn.CONCAT(IFERROR(SUBSTITUTE(ADDRESS(1,MATCH(A875,INDIRECT("'"&amp;E875&amp;"'"&amp;"!A" &amp; $O$862 + 12 &amp; ":Z" &amp; $O$862+ 12),0),4),1,""),""),$O$862 + 12)</f>
        <v>J235</v>
      </c>
      <c r="C875" s="1089" t="str">
        <f ca="1">_xlfn.CONCAT(IFERROR(SUBSTITUTE(ADDRESS(1,MATCH(A875,INDIRECT("'"&amp;E875&amp;"'"&amp;"!A" &amp; $O$862 + 12 &amp; ":Z" &amp; $O$862+ 12),0),4),1,""),""),$O$862 + 13)</f>
        <v>J236</v>
      </c>
      <c r="D875" s="1089" t="s">
        <v>1448</v>
      </c>
      <c r="E875" s="1089" t="s">
        <v>1618</v>
      </c>
      <c r="I875" s="1026" t="str">
        <f t="shared" si="96"/>
        <v>Customer Aggregation</v>
      </c>
      <c r="J875" s="1376" t="str">
        <f t="shared" si="98"/>
        <v>858</v>
      </c>
      <c r="K875" s="1376" t="str">
        <f t="shared" si="97"/>
        <v>Incentives Worksheet</v>
      </c>
      <c r="L875" s="1089" t="s">
        <v>1608</v>
      </c>
      <c r="M875" s="1376">
        <v>858</v>
      </c>
      <c r="N875" s="1376"/>
      <c r="R875" s="1376" t="s">
        <v>1633</v>
      </c>
    </row>
    <row r="876" spans="1:18" s="1370" customFormat="1" x14ac:dyDescent="0.25">
      <c r="A876" s="1121" t="s">
        <v>1486</v>
      </c>
      <c r="B876" s="1089" t="str">
        <f ca="1">_xlfn.IFNA(_xlfn.CONCAT(SUBSTITUTE(ADDRESS(1,MATCH(A876,INDIRECT("'"&amp;E876&amp;"'"&amp;"!A" &amp; $O$862 + 5 &amp; ":Z" &amp; $O$862+ 5),0),4),1,""),$O$862 + 6),"")</f>
        <v>H229</v>
      </c>
      <c r="C876" s="1089" t="str">
        <f t="shared" ref="C876:C890" ca="1" si="102">_xlfn.IFNA(SUBSTITUTE(ADDRESS(1,MATCH(A876,INDIRECT("'"&amp;E876&amp;"'"&amp;"!A" &amp; $O$862 + 5 &amp; ":Z" &amp; $O$862+ 5),0),4),1,""),"")</f>
        <v>H</v>
      </c>
      <c r="D876" s="1089" t="s">
        <v>1455</v>
      </c>
      <c r="E876" s="1089" t="s">
        <v>1618</v>
      </c>
      <c r="I876" s="1026" t="str">
        <f t="shared" si="96"/>
        <v/>
      </c>
      <c r="J876" s="1376"/>
      <c r="K876" s="1376" t="str">
        <f t="shared" si="97"/>
        <v/>
      </c>
      <c r="L876" s="1089" t="s">
        <v>1486</v>
      </c>
      <c r="M876" s="1376">
        <v>859</v>
      </c>
      <c r="N876" s="1376"/>
      <c r="R876" s="1376" t="s">
        <v>1633</v>
      </c>
    </row>
    <row r="877" spans="1:18" s="1370" customFormat="1" x14ac:dyDescent="0.25">
      <c r="A877" s="1121" t="s">
        <v>1487</v>
      </c>
      <c r="B877" s="1089" t="str">
        <f ca="1">_xlfn.IFNA(_xlfn.CONCAT(SUBSTITUTE(ADDRESS(1,MATCH(A877,INDIRECT("'"&amp;E877&amp;"'"&amp;"!A" &amp; $O$862 + 5 &amp; ":Z" &amp; $O$862+ 5),0),4),1,""),$O$862 + 6),"")</f>
        <v>J229</v>
      </c>
      <c r="C877" s="1089" t="str">
        <f t="shared" ca="1" si="102"/>
        <v>J</v>
      </c>
      <c r="D877" s="1089" t="s">
        <v>1455</v>
      </c>
      <c r="E877" s="1089" t="s">
        <v>1618</v>
      </c>
      <c r="I877" s="1026" t="str">
        <f t="shared" si="96"/>
        <v/>
      </c>
      <c r="J877" s="1376"/>
      <c r="K877" s="1376" t="str">
        <f t="shared" si="97"/>
        <v/>
      </c>
      <c r="L877" s="1089" t="s">
        <v>1487</v>
      </c>
      <c r="M877" s="1376">
        <v>860</v>
      </c>
      <c r="N877" s="1376"/>
      <c r="R877" s="1376" t="s">
        <v>1633</v>
      </c>
    </row>
    <row r="878" spans="1:18" s="1370" customFormat="1" x14ac:dyDescent="0.25">
      <c r="A878" s="1121" t="s">
        <v>1488</v>
      </c>
      <c r="B878" s="1089" t="str">
        <f ca="1">_xlfn.IFNA(_xlfn.CONCAT(SUBSTITUTE(ADDRESS(1,MATCH(A878,INDIRECT("'"&amp;E878&amp;"'"&amp;"!A" &amp; $O$862 + 5 &amp; ":Z" &amp; $O$862+ 5),0),4),1,""),$O$862 + 6),"")</f>
        <v>L229</v>
      </c>
      <c r="C878" s="1089" t="str">
        <f t="shared" ca="1" si="102"/>
        <v>L</v>
      </c>
      <c r="D878" s="1089" t="s">
        <v>1455</v>
      </c>
      <c r="E878" s="1089" t="s">
        <v>1618</v>
      </c>
      <c r="I878" s="1026" t="str">
        <f t="shared" si="96"/>
        <v/>
      </c>
      <c r="J878" s="1376"/>
      <c r="K878" s="1376" t="str">
        <f t="shared" si="97"/>
        <v/>
      </c>
      <c r="L878" s="1089" t="s">
        <v>1488</v>
      </c>
      <c r="M878" s="1376">
        <v>861</v>
      </c>
      <c r="N878" s="1376"/>
      <c r="R878" s="1376" t="s">
        <v>1633</v>
      </c>
    </row>
    <row r="879" spans="1:18" s="1370" customFormat="1" x14ac:dyDescent="0.25">
      <c r="A879" s="1121" t="s">
        <v>1486</v>
      </c>
      <c r="B879" s="1089" t="str">
        <f ca="1">_xlfn.IFNA(_xlfn.CONCAT(SUBSTITUTE(ADDRESS(1,MATCH(A879,INDIRECT("'"&amp;E879&amp;"'"&amp;"!A" &amp; $O$862 + 5 &amp; ":Z" &amp; $O$862+ 5),0),4),1,""),$O$862 + 7),"")</f>
        <v>H230</v>
      </c>
      <c r="C879" s="1089" t="str">
        <f t="shared" ca="1" si="102"/>
        <v>H</v>
      </c>
      <c r="D879" s="1089" t="s">
        <v>1455</v>
      </c>
      <c r="E879" s="1089" t="s">
        <v>1618</v>
      </c>
      <c r="I879" s="1026" t="str">
        <f t="shared" si="96"/>
        <v/>
      </c>
      <c r="J879" s="1376"/>
      <c r="K879" s="1376" t="str">
        <f t="shared" si="97"/>
        <v/>
      </c>
      <c r="L879" s="1089" t="s">
        <v>1486</v>
      </c>
      <c r="M879" s="1376">
        <v>862</v>
      </c>
      <c r="N879" s="1376"/>
      <c r="R879" s="1376" t="s">
        <v>1633</v>
      </c>
    </row>
    <row r="880" spans="1:18" s="1370" customFormat="1" x14ac:dyDescent="0.25">
      <c r="A880" s="1121" t="s">
        <v>1487</v>
      </c>
      <c r="B880" s="1089" t="str">
        <f ca="1">_xlfn.IFNA(_xlfn.CONCAT(SUBSTITUTE(ADDRESS(1,MATCH(A880,INDIRECT("'"&amp;E880&amp;"'"&amp;"!A" &amp; $O$862 + 5 &amp; ":Z" &amp; $O$862+ 5),0),4),1,""),$O$862 + 7),"")</f>
        <v>J230</v>
      </c>
      <c r="C880" s="1089" t="str">
        <f t="shared" ca="1" si="102"/>
        <v>J</v>
      </c>
      <c r="D880" s="1089" t="s">
        <v>1455</v>
      </c>
      <c r="E880" s="1089" t="s">
        <v>1618</v>
      </c>
      <c r="I880" s="1026" t="str">
        <f t="shared" si="96"/>
        <v/>
      </c>
      <c r="J880" s="1376"/>
      <c r="K880" s="1376" t="str">
        <f t="shared" si="97"/>
        <v/>
      </c>
      <c r="L880" s="1089" t="s">
        <v>1487</v>
      </c>
      <c r="M880" s="1376">
        <v>863</v>
      </c>
      <c r="N880" s="1376"/>
      <c r="R880" s="1376" t="s">
        <v>1633</v>
      </c>
    </row>
    <row r="881" spans="1:21" s="1370" customFormat="1" x14ac:dyDescent="0.25">
      <c r="A881" s="1121" t="s">
        <v>1488</v>
      </c>
      <c r="B881" s="1089" t="str">
        <f ca="1">_xlfn.IFNA(_xlfn.CONCAT(SUBSTITUTE(ADDRESS(1,MATCH(A881,INDIRECT("'"&amp;E881&amp;"'"&amp;"!A" &amp; $O$862 + 5 &amp; ":Z" &amp; $O$862+ 5),0),4),1,""),$O$862 + 7),"")</f>
        <v>L230</v>
      </c>
      <c r="C881" s="1089" t="str">
        <f t="shared" ca="1" si="102"/>
        <v>L</v>
      </c>
      <c r="D881" s="1089" t="s">
        <v>1455</v>
      </c>
      <c r="E881" s="1089" t="s">
        <v>1618</v>
      </c>
      <c r="I881" s="1026" t="str">
        <f t="shared" si="96"/>
        <v/>
      </c>
      <c r="J881" s="1376"/>
      <c r="K881" s="1376" t="str">
        <f t="shared" si="97"/>
        <v/>
      </c>
      <c r="L881" s="1089" t="s">
        <v>1488</v>
      </c>
      <c r="M881" s="1376">
        <v>864</v>
      </c>
      <c r="N881" s="1376"/>
      <c r="R881" s="1376" t="s">
        <v>1633</v>
      </c>
    </row>
    <row r="882" spans="1:21" s="1370" customFormat="1" x14ac:dyDescent="0.25">
      <c r="A882" s="1121" t="s">
        <v>1486</v>
      </c>
      <c r="B882" s="1089" t="str">
        <f ca="1">_xlfn.IFNA(_xlfn.CONCAT(SUBSTITUTE(ADDRESS(1,MATCH(A882,INDIRECT("'"&amp;E882&amp;"'"&amp;"!A" &amp; $O$862 + 5 &amp; ":Z" &amp; $O$862+ 5),0),4),1,""),$O$862 + 8),"")</f>
        <v>H231</v>
      </c>
      <c r="C882" s="1089" t="str">
        <f t="shared" ca="1" si="102"/>
        <v>H</v>
      </c>
      <c r="D882" s="1089" t="s">
        <v>1455</v>
      </c>
      <c r="E882" s="1089" t="s">
        <v>1618</v>
      </c>
      <c r="I882" s="1026" t="str">
        <f t="shared" si="96"/>
        <v/>
      </c>
      <c r="J882" s="1376"/>
      <c r="K882" s="1376" t="str">
        <f t="shared" si="97"/>
        <v/>
      </c>
      <c r="L882" s="1089" t="s">
        <v>1486</v>
      </c>
      <c r="M882" s="1376">
        <v>865</v>
      </c>
      <c r="N882" s="1376"/>
      <c r="R882" s="1376" t="s">
        <v>1633</v>
      </c>
    </row>
    <row r="883" spans="1:21" s="1370" customFormat="1" x14ac:dyDescent="0.25">
      <c r="A883" s="1121" t="s">
        <v>1487</v>
      </c>
      <c r="B883" s="1089" t="str">
        <f ca="1">_xlfn.IFNA(_xlfn.CONCAT(SUBSTITUTE(ADDRESS(1,MATCH(A883,INDIRECT("'"&amp;E883&amp;"'"&amp;"!A" &amp; $O$862 + 5 &amp; ":Z" &amp; $O$862+ 5),0),4),1,""),$O$862 + 8),"")</f>
        <v>J231</v>
      </c>
      <c r="C883" s="1089" t="str">
        <f t="shared" ca="1" si="102"/>
        <v>J</v>
      </c>
      <c r="D883" s="1089" t="s">
        <v>1455</v>
      </c>
      <c r="E883" s="1089" t="s">
        <v>1618</v>
      </c>
      <c r="I883" s="1026" t="str">
        <f t="shared" si="96"/>
        <v/>
      </c>
      <c r="J883" s="1376"/>
      <c r="K883" s="1376" t="str">
        <f t="shared" si="97"/>
        <v/>
      </c>
      <c r="L883" s="1089" t="s">
        <v>1487</v>
      </c>
      <c r="M883" s="1376">
        <v>866</v>
      </c>
      <c r="N883" s="1376"/>
      <c r="R883" s="1376" t="s">
        <v>1633</v>
      </c>
    </row>
    <row r="884" spans="1:21" s="1370" customFormat="1" x14ac:dyDescent="0.25">
      <c r="A884" s="1121" t="s">
        <v>1488</v>
      </c>
      <c r="B884" s="1089" t="str">
        <f ca="1">_xlfn.IFNA(_xlfn.CONCAT(SUBSTITUTE(ADDRESS(1,MATCH(A884,INDIRECT("'"&amp;E884&amp;"'"&amp;"!A" &amp; $O$862 + 5 &amp; ":Z" &amp; $O$862+ 5),0),4),1,""),$O$862 + 8),"")</f>
        <v>L231</v>
      </c>
      <c r="C884" s="1089" t="str">
        <f t="shared" ca="1" si="102"/>
        <v>L</v>
      </c>
      <c r="D884" s="1089" t="s">
        <v>1455</v>
      </c>
      <c r="E884" s="1089" t="s">
        <v>1618</v>
      </c>
      <c r="I884" s="1026" t="str">
        <f t="shared" si="96"/>
        <v/>
      </c>
      <c r="J884" s="1376"/>
      <c r="K884" s="1376" t="str">
        <f t="shared" si="97"/>
        <v/>
      </c>
      <c r="L884" s="1089" t="s">
        <v>1488</v>
      </c>
      <c r="M884" s="1376">
        <v>867</v>
      </c>
      <c r="N884" s="1376"/>
      <c r="R884" s="1376" t="s">
        <v>1633</v>
      </c>
    </row>
    <row r="885" spans="1:21" s="1370" customFormat="1" x14ac:dyDescent="0.25">
      <c r="A885" s="1121" t="s">
        <v>1486</v>
      </c>
      <c r="B885" s="1089" t="str">
        <f ca="1">_xlfn.IFNA(_xlfn.CONCAT(SUBSTITUTE(ADDRESS(1,MATCH(A885,INDIRECT("'"&amp;E885&amp;"'"&amp;"!A" &amp; $O$862 + 5 &amp; ":Z" &amp; $O$862+ 5),0),4),1,""),$O$862 + 9),"")</f>
        <v>H232</v>
      </c>
      <c r="C885" s="1089" t="str">
        <f t="shared" ca="1" si="102"/>
        <v>H</v>
      </c>
      <c r="D885" s="1089" t="s">
        <v>1455</v>
      </c>
      <c r="E885" s="1089" t="s">
        <v>1618</v>
      </c>
      <c r="I885" s="1026" t="str">
        <f t="shared" si="96"/>
        <v/>
      </c>
      <c r="J885" s="1376"/>
      <c r="K885" s="1376" t="str">
        <f t="shared" si="97"/>
        <v/>
      </c>
      <c r="L885" s="1089" t="s">
        <v>1486</v>
      </c>
      <c r="M885" s="1376">
        <v>868</v>
      </c>
      <c r="N885" s="1376"/>
      <c r="R885" s="1376" t="s">
        <v>1633</v>
      </c>
    </row>
    <row r="886" spans="1:21" s="1370" customFormat="1" x14ac:dyDescent="0.25">
      <c r="A886" s="1121" t="s">
        <v>1487</v>
      </c>
      <c r="B886" s="1089" t="str">
        <f ca="1">_xlfn.IFNA(_xlfn.CONCAT(SUBSTITUTE(ADDRESS(1,MATCH(A886,INDIRECT("'"&amp;E886&amp;"'"&amp;"!A" &amp; $O$862 + 5 &amp; ":Z" &amp; $O$862+ 5),0),4),1,""),$O$862 + 9),"")</f>
        <v>J232</v>
      </c>
      <c r="C886" s="1089" t="str">
        <f t="shared" ca="1" si="102"/>
        <v>J</v>
      </c>
      <c r="D886" s="1089" t="s">
        <v>1455</v>
      </c>
      <c r="E886" s="1089" t="s">
        <v>1618</v>
      </c>
      <c r="I886" s="1026" t="str">
        <f t="shared" si="96"/>
        <v/>
      </c>
      <c r="J886" s="1376"/>
      <c r="K886" s="1376" t="str">
        <f t="shared" si="97"/>
        <v/>
      </c>
      <c r="L886" s="1089" t="s">
        <v>1487</v>
      </c>
      <c r="M886" s="1376">
        <v>869</v>
      </c>
      <c r="N886" s="1376"/>
      <c r="R886" s="1376" t="s">
        <v>1633</v>
      </c>
    </row>
    <row r="887" spans="1:21" s="1370" customFormat="1" x14ac:dyDescent="0.25">
      <c r="A887" s="1121" t="s">
        <v>1488</v>
      </c>
      <c r="B887" s="1089" t="str">
        <f ca="1">_xlfn.IFNA(_xlfn.CONCAT(SUBSTITUTE(ADDRESS(1,MATCH(A887,INDIRECT("'"&amp;E887&amp;"'"&amp;"!A" &amp; $O$862 + 5 &amp; ":Z" &amp; $O$862+ 5),0),4),1,""),$O$862 + 9),"")</f>
        <v>L232</v>
      </c>
      <c r="C887" s="1089" t="str">
        <f t="shared" ca="1" si="102"/>
        <v>L</v>
      </c>
      <c r="D887" s="1089" t="s">
        <v>1455</v>
      </c>
      <c r="E887" s="1089" t="s">
        <v>1618</v>
      </c>
      <c r="I887" s="1026" t="str">
        <f t="shared" si="96"/>
        <v/>
      </c>
      <c r="J887" s="1376"/>
      <c r="K887" s="1376" t="str">
        <f t="shared" si="97"/>
        <v/>
      </c>
      <c r="L887" s="1089" t="s">
        <v>1488</v>
      </c>
      <c r="M887" s="1376">
        <v>870</v>
      </c>
      <c r="N887" s="1376"/>
      <c r="R887" s="1376" t="s">
        <v>1633</v>
      </c>
    </row>
    <row r="888" spans="1:21" s="1370" customFormat="1" x14ac:dyDescent="0.25">
      <c r="A888" s="1121" t="s">
        <v>1486</v>
      </c>
      <c r="B888" s="1089" t="str">
        <f ca="1">_xlfn.IFNA(_xlfn.CONCAT(SUBSTITUTE(ADDRESS(1,MATCH(A888,INDIRECT("'"&amp;E888&amp;"'"&amp;"!A" &amp; $O$862 + 5 &amp; ":Z" &amp; $O$862+ 5),0),4),1,""),$O$862 + 10),"")</f>
        <v>H233</v>
      </c>
      <c r="C888" s="1089" t="str">
        <f t="shared" ca="1" si="102"/>
        <v>H</v>
      </c>
      <c r="D888" s="1089" t="s">
        <v>1455</v>
      </c>
      <c r="E888" s="1089" t="s">
        <v>1618</v>
      </c>
      <c r="I888" s="1026" t="str">
        <f t="shared" si="96"/>
        <v/>
      </c>
      <c r="J888" s="1376"/>
      <c r="K888" s="1376" t="str">
        <f t="shared" si="97"/>
        <v/>
      </c>
      <c r="L888" s="1089" t="s">
        <v>1486</v>
      </c>
      <c r="M888" s="1376">
        <v>871</v>
      </c>
      <c r="N888" s="1376"/>
      <c r="R888" s="1376" t="s">
        <v>1633</v>
      </c>
    </row>
    <row r="889" spans="1:21" s="1370" customFormat="1" x14ac:dyDescent="0.25">
      <c r="A889" s="1121" t="s">
        <v>1487</v>
      </c>
      <c r="B889" s="1089" t="str">
        <f ca="1">_xlfn.IFNA(_xlfn.CONCAT(SUBSTITUTE(ADDRESS(1,MATCH(A889,INDIRECT("'"&amp;E889&amp;"'"&amp;"!A" &amp; $O$862 + 5 &amp; ":Z" &amp; $O$862+ 5),0),4),1,""),$O$862 + 10),"")</f>
        <v>J233</v>
      </c>
      <c r="C889" s="1089" t="str">
        <f t="shared" ca="1" si="102"/>
        <v>J</v>
      </c>
      <c r="D889" s="1089" t="s">
        <v>1455</v>
      </c>
      <c r="E889" s="1089" t="s">
        <v>1618</v>
      </c>
      <c r="I889" s="1026" t="str">
        <f t="shared" si="96"/>
        <v/>
      </c>
      <c r="J889" s="1376"/>
      <c r="K889" s="1376" t="str">
        <f t="shared" si="97"/>
        <v/>
      </c>
      <c r="L889" s="1089" t="s">
        <v>1487</v>
      </c>
      <c r="M889" s="1376">
        <v>872</v>
      </c>
      <c r="N889" s="1376"/>
      <c r="R889" s="1376" t="s">
        <v>1633</v>
      </c>
    </row>
    <row r="890" spans="1:21" s="1370" customFormat="1" x14ac:dyDescent="0.25">
      <c r="A890" s="1121" t="s">
        <v>1488</v>
      </c>
      <c r="B890" s="1089" t="str">
        <f ca="1">_xlfn.IFNA(_xlfn.CONCAT(SUBSTITUTE(ADDRESS(1,MATCH(A890,INDIRECT("'"&amp;E890&amp;"'"&amp;"!A" &amp; $O$862 + 5 &amp; ":Z" &amp; $O$862+ 5),0),4),1,""),$O$862 + 10),"")</f>
        <v>L233</v>
      </c>
      <c r="C890" s="1089" t="str">
        <f t="shared" ca="1" si="102"/>
        <v>L</v>
      </c>
      <c r="D890" s="1089" t="s">
        <v>1455</v>
      </c>
      <c r="E890" s="1089" t="s">
        <v>1618</v>
      </c>
      <c r="I890" s="1026" t="str">
        <f t="shared" si="96"/>
        <v/>
      </c>
      <c r="J890" s="1376"/>
      <c r="K890" s="1376" t="str">
        <f t="shared" si="97"/>
        <v/>
      </c>
      <c r="L890" s="1089" t="s">
        <v>1488</v>
      </c>
      <c r="M890" s="1376">
        <v>873</v>
      </c>
      <c r="N890" s="1376"/>
      <c r="R890" s="1376" t="s">
        <v>1633</v>
      </c>
    </row>
    <row r="891" spans="1:21" s="1370" customFormat="1" x14ac:dyDescent="0.25">
      <c r="A891" s="1118" t="s">
        <v>1593</v>
      </c>
      <c r="B891" s="1089" t="str">
        <f ca="1">IFERROR(_xlfn.CONCAT("C",MATCH(A891,INDIRECT("'"&amp;E891&amp;"'!C"&amp;$O$892&amp;":C"&amp;$O$894),0)+$O$892-1),"")</f>
        <v>C243</v>
      </c>
      <c r="C891" s="1089" t="str">
        <f ca="1">IFERROR(_xlfn.CONCAT("D",MATCH(A891,INDIRECT("'"&amp;E891&amp;"'!C"&amp;$O$892&amp;":C"&amp;$O$894),0)+$O$892-1),"")</f>
        <v>D243</v>
      </c>
      <c r="D891" s="1089" t="s">
        <v>1448</v>
      </c>
      <c r="E891" s="1089" t="s">
        <v>1618</v>
      </c>
      <c r="I891" s="1026" t="str">
        <f t="shared" si="96"/>
        <v/>
      </c>
      <c r="J891" s="1376"/>
      <c r="K891" s="1376" t="str">
        <f t="shared" si="97"/>
        <v/>
      </c>
      <c r="L891" s="1089" t="s">
        <v>1593</v>
      </c>
      <c r="M891" s="1376">
        <v>874</v>
      </c>
      <c r="N891" s="1376"/>
      <c r="O891" s="1370" t="s">
        <v>742</v>
      </c>
      <c r="R891" s="1376" t="s">
        <v>397</v>
      </c>
    </row>
    <row r="892" spans="1:21" s="1370" customFormat="1" x14ac:dyDescent="0.25">
      <c r="A892" s="1118" t="s">
        <v>1809</v>
      </c>
      <c r="B892" s="1089" t="str">
        <f ca="1">_xlfn.CONCAT(IFERROR(SUBSTITUTE(ADDRESS(1,MATCH(A892,INDIRECT("'"&amp;E892&amp;"'"&amp;"!A" &amp; $O$892 + 11 &amp; ":Z" &amp; $O$892+ 11),0),4),1,""),""),$O$892 + 11)</f>
        <v>T250</v>
      </c>
      <c r="C892" s="1089" t="str">
        <f ca="1">_xlfn.CONCAT(IFERROR(SUBSTITUTE(ADDRESS(1,MATCH(A892,INDIRECT("'"&amp;E892&amp;"'"&amp;"!A" &amp; $O$892 + 11 &amp; ":Z" &amp; $O$892+ 11),0),4),1,""),""),$O$892 + 12)</f>
        <v>T251</v>
      </c>
      <c r="D892" s="1089" t="s">
        <v>1448</v>
      </c>
      <c r="E892" s="1089" t="s">
        <v>1618</v>
      </c>
      <c r="I892" s="1026" t="str">
        <f t="shared" si="96"/>
        <v/>
      </c>
      <c r="J892" s="1376"/>
      <c r="K892" s="1376" t="str">
        <f t="shared" si="97"/>
        <v/>
      </c>
      <c r="L892" s="1089" t="s">
        <v>1809</v>
      </c>
      <c r="M892" s="1376">
        <v>875</v>
      </c>
      <c r="N892" s="1376"/>
      <c r="O892" s="1370">
        <f>'Configurable Tab'!H19</f>
        <v>239</v>
      </c>
      <c r="Q892" s="1370" t="s">
        <v>653</v>
      </c>
      <c r="R892" s="1376" t="s">
        <v>397</v>
      </c>
      <c r="T892" s="1370" t="str">
        <f>IF(P892="Yes",L892,"")</f>
        <v/>
      </c>
      <c r="U892" s="1370" t="str">
        <f>IF(Q892="Yes",M892,"")</f>
        <v/>
      </c>
    </row>
    <row r="893" spans="1:21" s="1370" customFormat="1" x14ac:dyDescent="0.25">
      <c r="A893" s="1118" t="s">
        <v>1482</v>
      </c>
      <c r="B893" s="1089" t="str">
        <f ca="1">IFERROR(_xlfn.CONCAT("C",MATCH(A893,INDIRECT("'"&amp;E893&amp;"'!C"&amp;$O$892&amp;":C"&amp;$O$894),0)+$O$892-1),"")</f>
        <v>C241</v>
      </c>
      <c r="C893" s="1089" t="str">
        <f ca="1">IFERROR(_xlfn.CONCAT("D",MATCH(A893,INDIRECT("'"&amp;E893&amp;"'!C"&amp;$O$892&amp;":C"&amp;$O$894),0)+$O$892-1),"")</f>
        <v>D241</v>
      </c>
      <c r="D893" s="1089" t="s">
        <v>1448</v>
      </c>
      <c r="E893" s="1089" t="s">
        <v>1618</v>
      </c>
      <c r="I893" s="1026" t="str">
        <f t="shared" si="96"/>
        <v/>
      </c>
      <c r="J893" s="1376"/>
      <c r="K893" s="1376" t="str">
        <f t="shared" si="97"/>
        <v/>
      </c>
      <c r="L893" s="1089" t="s">
        <v>1482</v>
      </c>
      <c r="M893" s="1376">
        <v>876</v>
      </c>
      <c r="N893" s="1376"/>
      <c r="O893" s="1370" t="s">
        <v>743</v>
      </c>
      <c r="R893" s="1376" t="s">
        <v>397</v>
      </c>
    </row>
    <row r="894" spans="1:21" s="1370" customFormat="1" x14ac:dyDescent="0.25">
      <c r="A894" s="1118" t="s">
        <v>1479</v>
      </c>
      <c r="B894" s="1089" t="str">
        <f t="shared" ref="B894:B900" ca="1" si="103">_xlfn.CONCAT(IFERROR(SUBSTITUTE(ADDRESS(1,MATCH(A894,INDIRECT("'"&amp;E894&amp;"'"&amp;"!A" &amp; $O$892 + 2 &amp; ":Z" &amp; $O$892+ 2),0),4),1,""),""),$O$892 + 2)</f>
        <v>H241</v>
      </c>
      <c r="C894" s="1089" t="str">
        <f t="shared" ref="C894:C900" ca="1" si="104">_xlfn.CONCAT(IFERROR(SUBSTITUTE(ADDRESS(1,MATCH(A894,INDIRECT("'"&amp;E894&amp;"'"&amp;"!A" &amp; $O$892 + 2 &amp; ":Z" &amp; $O$892+ 2),0),4),1,""),""),$O$892 + 3)</f>
        <v>H242</v>
      </c>
      <c r="D894" s="1089" t="s">
        <v>1448</v>
      </c>
      <c r="E894" s="1089" t="s">
        <v>1618</v>
      </c>
      <c r="I894" s="1026" t="str">
        <f t="shared" si="96"/>
        <v/>
      </c>
      <c r="J894" s="1376"/>
      <c r="K894" s="1376" t="str">
        <f t="shared" si="97"/>
        <v/>
      </c>
      <c r="L894" s="1089" t="s">
        <v>1479</v>
      </c>
      <c r="M894" s="1376">
        <v>877</v>
      </c>
      <c r="N894" s="1376"/>
      <c r="O894" s="1370">
        <f>'Configurable Tab'!I19</f>
        <v>252</v>
      </c>
      <c r="R894" s="1376" t="s">
        <v>397</v>
      </c>
    </row>
    <row r="895" spans="1:21" s="1370" customFormat="1" x14ac:dyDescent="0.25">
      <c r="A895" s="1118" t="s">
        <v>1480</v>
      </c>
      <c r="B895" s="1089" t="str">
        <f t="shared" ca="1" si="103"/>
        <v>J241</v>
      </c>
      <c r="C895" s="1089" t="str">
        <f t="shared" ca="1" si="104"/>
        <v>J242</v>
      </c>
      <c r="D895" s="1089" t="s">
        <v>1448</v>
      </c>
      <c r="E895" s="1089" t="s">
        <v>1618</v>
      </c>
      <c r="I895" s="1026" t="str">
        <f t="shared" si="96"/>
        <v/>
      </c>
      <c r="J895" s="1376"/>
      <c r="K895" s="1376" t="str">
        <f t="shared" si="97"/>
        <v/>
      </c>
      <c r="L895" s="1089" t="s">
        <v>1480</v>
      </c>
      <c r="M895" s="1376">
        <v>878</v>
      </c>
      <c r="N895" s="1376"/>
      <c r="O895" s="1370" t="s">
        <v>1752</v>
      </c>
      <c r="R895" s="1376" t="s">
        <v>397</v>
      </c>
    </row>
    <row r="896" spans="1:21" s="1370" customFormat="1" x14ac:dyDescent="0.25">
      <c r="A896" s="1118" t="s">
        <v>1496</v>
      </c>
      <c r="B896" s="1089" t="str">
        <f t="shared" ca="1" si="103"/>
        <v>L241</v>
      </c>
      <c r="C896" s="1089" t="str">
        <f t="shared" ca="1" si="104"/>
        <v>L242</v>
      </c>
      <c r="D896" s="1089" t="s">
        <v>1448</v>
      </c>
      <c r="E896" s="1089" t="s">
        <v>1618</v>
      </c>
      <c r="I896" s="1026" t="str">
        <f t="shared" si="96"/>
        <v/>
      </c>
      <c r="J896" s="1376"/>
      <c r="K896" s="1376" t="str">
        <f t="shared" si="97"/>
        <v/>
      </c>
      <c r="L896" s="1089" t="s">
        <v>1496</v>
      </c>
      <c r="M896" s="1376">
        <v>879</v>
      </c>
      <c r="N896" s="1376"/>
      <c r="R896" s="1376" t="s">
        <v>397</v>
      </c>
    </row>
    <row r="897" spans="1:18" s="1370" customFormat="1" x14ac:dyDescent="0.25">
      <c r="A897" s="1118" t="s">
        <v>1481</v>
      </c>
      <c r="B897" s="1089" t="str">
        <f t="shared" ca="1" si="103"/>
        <v>N241</v>
      </c>
      <c r="C897" s="1089" t="str">
        <f t="shared" ca="1" si="104"/>
        <v>N242</v>
      </c>
      <c r="D897" s="1089" t="s">
        <v>1448</v>
      </c>
      <c r="E897" s="1089" t="s">
        <v>1618</v>
      </c>
      <c r="I897" s="1026" t="str">
        <f t="shared" si="96"/>
        <v/>
      </c>
      <c r="J897" s="1376"/>
      <c r="K897" s="1376" t="str">
        <f t="shared" si="97"/>
        <v/>
      </c>
      <c r="L897" s="1089" t="s">
        <v>1481</v>
      </c>
      <c r="M897" s="1376">
        <v>880</v>
      </c>
      <c r="N897" s="1376"/>
      <c r="R897" s="1376" t="s">
        <v>397</v>
      </c>
    </row>
    <row r="898" spans="1:18" s="1370" customFormat="1" x14ac:dyDescent="0.25">
      <c r="A898" s="1118" t="s">
        <v>1588</v>
      </c>
      <c r="B898" s="1089" t="str">
        <f t="shared" ca="1" si="103"/>
        <v>P241</v>
      </c>
      <c r="C898" s="1089" t="str">
        <f t="shared" ca="1" si="104"/>
        <v>P242</v>
      </c>
      <c r="D898" s="1089" t="s">
        <v>1448</v>
      </c>
      <c r="E898" s="1089" t="s">
        <v>1618</v>
      </c>
      <c r="I898" s="1026" t="str">
        <f t="shared" si="96"/>
        <v>Qualifying Cycle</v>
      </c>
      <c r="J898" s="1376" t="str">
        <f t="shared" si="98"/>
        <v>881</v>
      </c>
      <c r="K898" s="1376" t="str">
        <f t="shared" si="97"/>
        <v>Incentives Worksheet</v>
      </c>
      <c r="L898" s="1089" t="s">
        <v>1588</v>
      </c>
      <c r="M898" s="1376">
        <v>881</v>
      </c>
      <c r="N898" s="1376"/>
      <c r="R898" s="1376" t="s">
        <v>397</v>
      </c>
    </row>
    <row r="899" spans="1:18" s="1370" customFormat="1" x14ac:dyDescent="0.25">
      <c r="A899" s="1118" t="s">
        <v>1589</v>
      </c>
      <c r="B899" s="1089" t="str">
        <f t="shared" ca="1" si="103"/>
        <v>R241</v>
      </c>
      <c r="C899" s="1089" t="str">
        <f t="shared" ca="1" si="104"/>
        <v>R242</v>
      </c>
      <c r="D899" s="1089" t="s">
        <v>1448</v>
      </c>
      <c r="E899" s="1089" t="s">
        <v>1618</v>
      </c>
      <c r="I899" s="1026" t="str">
        <f t="shared" si="96"/>
        <v>Incentive Calendar</v>
      </c>
      <c r="J899" s="1376" t="str">
        <f t="shared" si="98"/>
        <v>882</v>
      </c>
      <c r="K899" s="1376" t="str">
        <f t="shared" si="97"/>
        <v>Incentives Worksheet</v>
      </c>
      <c r="L899" s="1089" t="s">
        <v>1589</v>
      </c>
      <c r="M899" s="1376">
        <v>882</v>
      </c>
      <c r="N899" s="1376"/>
      <c r="R899" s="1376" t="s">
        <v>397</v>
      </c>
    </row>
    <row r="900" spans="1:18" s="1370" customFormat="1" x14ac:dyDescent="0.25">
      <c r="A900" s="1118" t="s">
        <v>1590</v>
      </c>
      <c r="B900" s="1089" t="str">
        <f t="shared" ca="1" si="103"/>
        <v>T241</v>
      </c>
      <c r="C900" s="1089" t="str">
        <f t="shared" ca="1" si="104"/>
        <v>T242</v>
      </c>
      <c r="D900" s="1089" t="s">
        <v>1448</v>
      </c>
      <c r="E900" s="1089" t="s">
        <v>1618</v>
      </c>
      <c r="I900" s="1026" t="str">
        <f t="shared" ref="I900:I963" si="105">IF(J900&lt;&gt;"",A900,"")</f>
        <v>Post to GL Payment Method Flag</v>
      </c>
      <c r="J900" s="1376" t="str">
        <f t="shared" si="98"/>
        <v>883</v>
      </c>
      <c r="K900" s="1376" t="str">
        <f t="shared" ref="K900:K963" si="106">IF(J900&lt;&gt;"",E900,"")</f>
        <v>Incentives Worksheet</v>
      </c>
      <c r="L900" s="1089" t="s">
        <v>1590</v>
      </c>
      <c r="M900" s="1376">
        <v>883</v>
      </c>
      <c r="N900" s="1376"/>
      <c r="R900" s="1376" t="s">
        <v>397</v>
      </c>
    </row>
    <row r="901" spans="1:18" s="1370" customFormat="1" x14ac:dyDescent="0.25">
      <c r="A901" s="1118" t="s">
        <v>1484</v>
      </c>
      <c r="B901" s="1089" t="str">
        <f ca="1">IFERROR(_xlfn.CONCAT("C",MATCH(A901,INDIRECT("'"&amp;E901&amp;"'!C"&amp;$O$892&amp;":C"&amp;$O$894),0)+$O$892-1),"")</f>
        <v>C245</v>
      </c>
      <c r="C901" s="1089" t="str">
        <f ca="1">IFERROR(_xlfn.CONCAT("D",MATCH(A901,INDIRECT("'"&amp;E901&amp;"'!C"&amp;$O$892&amp;":C"&amp;$O$894),0)+$O$892-1),"")</f>
        <v>D245</v>
      </c>
      <c r="D901" s="1089" t="s">
        <v>1448</v>
      </c>
      <c r="E901" s="1089" t="s">
        <v>1618</v>
      </c>
      <c r="I901" s="1026" t="str">
        <f t="shared" si="105"/>
        <v/>
      </c>
      <c r="J901" s="1376"/>
      <c r="K901" s="1376" t="str">
        <f t="shared" si="106"/>
        <v/>
      </c>
      <c r="L901" s="1089" t="s">
        <v>1484</v>
      </c>
      <c r="M901" s="1376">
        <v>884</v>
      </c>
      <c r="N901" s="1376"/>
      <c r="R901" s="1376" t="s">
        <v>397</v>
      </c>
    </row>
    <row r="902" spans="1:18" s="1370" customFormat="1" x14ac:dyDescent="0.25">
      <c r="A902" s="1118" t="s">
        <v>1485</v>
      </c>
      <c r="B902" s="1089" t="str">
        <f ca="1">IFERROR(_xlfn.CONCAT("C",MATCH(A902,INDIRECT("'"&amp;E902&amp;"'!C"&amp;$O$892&amp;":C"&amp;$O$894),0)+$O$892-1),"")</f>
        <v>C247</v>
      </c>
      <c r="C902" s="1089" t="str">
        <f ca="1">IFERROR(_xlfn.CONCAT("D",MATCH(A902,INDIRECT("'"&amp;E902&amp;"'!C"&amp;$O$892&amp;":C"&amp;$O$894),0)+$O$892-1),"")</f>
        <v>D247</v>
      </c>
      <c r="D902" s="1089" t="s">
        <v>1448</v>
      </c>
      <c r="E902" s="1089" t="s">
        <v>1618</v>
      </c>
      <c r="I902" s="1026" t="str">
        <f t="shared" si="105"/>
        <v/>
      </c>
      <c r="J902" s="1376"/>
      <c r="K902" s="1376" t="str">
        <f t="shared" si="106"/>
        <v/>
      </c>
      <c r="L902" s="1089" t="s">
        <v>1485</v>
      </c>
      <c r="M902" s="1376">
        <v>885</v>
      </c>
      <c r="N902" s="1376"/>
      <c r="R902" s="1376" t="s">
        <v>397</v>
      </c>
    </row>
    <row r="903" spans="1:18" s="1370" customFormat="1" ht="30" x14ac:dyDescent="0.25">
      <c r="A903" s="1112" t="s">
        <v>1597</v>
      </c>
      <c r="B903" s="1089" t="str">
        <f ca="1">IFERROR(_xlfn.CONCAT("C",MATCH(A903,INDIRECT("'"&amp;E903&amp;"'!C"&amp;$O$892&amp;":C"&amp;$O$894),0)+$O$892-1),"")</f>
        <v>C249</v>
      </c>
      <c r="C903" s="1089" t="str">
        <f ca="1">IFERROR(_xlfn.CONCAT("D",MATCH(A903,INDIRECT("'"&amp;E903&amp;"'!C"&amp;$O$892&amp;":C"&amp;$O$894),0)+$O$892-1),"")</f>
        <v>D249</v>
      </c>
      <c r="D903" s="1089" t="s">
        <v>1448</v>
      </c>
      <c r="E903" s="1089" t="s">
        <v>1618</v>
      </c>
      <c r="I903" s="1026" t="str">
        <f t="shared" si="105"/>
        <v>Incentive Dates Match Agreement Dates Flag</v>
      </c>
      <c r="J903" s="1376" t="str">
        <f t="shared" ref="J903:J962" si="107">IF(M903&lt;&gt;"",Q$1&amp;M903,"")</f>
        <v>886</v>
      </c>
      <c r="K903" s="1376" t="str">
        <f t="shared" si="106"/>
        <v>Incentives Worksheet</v>
      </c>
      <c r="L903" s="1090" t="s">
        <v>1597</v>
      </c>
      <c r="M903" s="1376">
        <v>886</v>
      </c>
      <c r="N903" s="1376"/>
      <c r="R903" s="1376" t="s">
        <v>397</v>
      </c>
    </row>
    <row r="904" spans="1:18" s="1370" customFormat="1" x14ac:dyDescent="0.25">
      <c r="A904" s="1118" t="s">
        <v>1594</v>
      </c>
      <c r="B904" s="1089" t="str">
        <f ca="1">_xlfn.CONCAT(IFERROR(SUBSTITUTE(ADDRESS(1,MATCH(A904,INDIRECT("'"&amp;E904&amp;"'"&amp;"!A" &amp; $O$892 + 8 &amp; ":Z" &amp; $O$892+ 8),0),4),1,""),""),$O$892 + 8)</f>
        <v>H247</v>
      </c>
      <c r="C904" s="1089" t="str">
        <f ca="1">_xlfn.CONCAT(IFERROR(SUBSTITUTE(ADDRESS(1,MATCH(A904,INDIRECT("'"&amp;E904&amp;"'"&amp;"!A" &amp; $O$892 + 8 &amp; ":Z" &amp; $O$892+ 8),0),4),1,""),""),$O$892 + 9)</f>
        <v>H248</v>
      </c>
      <c r="D904" s="1089" t="s">
        <v>1448</v>
      </c>
      <c r="E904" s="1089" t="s">
        <v>1618</v>
      </c>
      <c r="I904" s="1026" t="str">
        <f t="shared" si="105"/>
        <v>Include All Customers Flag</v>
      </c>
      <c r="J904" s="1376" t="str">
        <f t="shared" si="107"/>
        <v>887</v>
      </c>
      <c r="K904" s="1376" t="str">
        <f t="shared" si="106"/>
        <v>Incentives Worksheet</v>
      </c>
      <c r="L904" s="1089" t="s">
        <v>1594</v>
      </c>
      <c r="M904" s="1376">
        <v>887</v>
      </c>
      <c r="N904" s="1376"/>
      <c r="R904" s="1376" t="s">
        <v>397</v>
      </c>
    </row>
    <row r="905" spans="1:18" s="1370" customFormat="1" x14ac:dyDescent="0.25">
      <c r="A905" s="1118" t="s">
        <v>1608</v>
      </c>
      <c r="B905" s="1089" t="str">
        <f ca="1">_xlfn.CONCAT(IFERROR(SUBSTITUTE(ADDRESS(1,MATCH(A905,INDIRECT("'"&amp;E905&amp;"'"&amp;"!A" &amp; $O$892 + 8 &amp; ":Z" &amp; $O$892+ 8),0),4),1,""),""),$O$892 + 8)</f>
        <v>J247</v>
      </c>
      <c r="C905" s="1089" t="str">
        <f ca="1">_xlfn.CONCAT(IFERROR(SUBSTITUTE(ADDRESS(1,MATCH(A905,INDIRECT("'"&amp;E905&amp;"'"&amp;"!A" &amp; $O$892 + 8 &amp; ":Z" &amp; $O$892+ 8),0),4),1,""),""),$O$892 + 9)</f>
        <v>J248</v>
      </c>
      <c r="D905" s="1089" t="s">
        <v>1448</v>
      </c>
      <c r="E905" s="1089" t="s">
        <v>1618</v>
      </c>
      <c r="I905" s="1026" t="str">
        <f t="shared" si="105"/>
        <v>Customer Aggregation</v>
      </c>
      <c r="J905" s="1376" t="str">
        <f t="shared" si="107"/>
        <v>888</v>
      </c>
      <c r="K905" s="1376" t="str">
        <f t="shared" si="106"/>
        <v>Incentives Worksheet</v>
      </c>
      <c r="L905" s="1089" t="s">
        <v>1608</v>
      </c>
      <c r="M905" s="1376">
        <v>888</v>
      </c>
      <c r="N905" s="1376"/>
      <c r="R905" s="1376" t="s">
        <v>397</v>
      </c>
    </row>
    <row r="906" spans="1:18" s="1370" customFormat="1" x14ac:dyDescent="0.25">
      <c r="A906" s="1118" t="s">
        <v>1486</v>
      </c>
      <c r="B906" s="1089" t="str">
        <f ca="1">_xlfn.CONCAT(IFERROR(SUBSTITUTE(ADDRESS(1,MATCH(A906,INDIRECT("'"&amp;E906&amp;"'"&amp;"!A" &amp; $O$892 + 5 &amp; ":Z" &amp; $O$892+ 5),0),4),1,""),""),$O$892 + 5)</f>
        <v>H244</v>
      </c>
      <c r="C906" s="1089" t="str">
        <f ca="1">_xlfn.CONCAT(IFERROR(SUBSTITUTE(ADDRESS(1,MATCH(A906,INDIRECT("'"&amp;E906&amp;"'"&amp;"!A" &amp; $O$892 + 5 &amp; ":Z" &amp; $O$892+ 5),0),4),1,""),""),$O$892 + 6)</f>
        <v>H245</v>
      </c>
      <c r="D906" s="1089" t="s">
        <v>1448</v>
      </c>
      <c r="E906" s="1089" t="s">
        <v>1618</v>
      </c>
      <c r="I906" s="1026" t="str">
        <f t="shared" si="105"/>
        <v/>
      </c>
      <c r="J906" s="1376"/>
      <c r="K906" s="1376" t="str">
        <f t="shared" si="106"/>
        <v/>
      </c>
      <c r="L906" s="1089" t="s">
        <v>1486</v>
      </c>
      <c r="M906" s="1376">
        <v>889</v>
      </c>
      <c r="N906" s="1376"/>
      <c r="R906" s="1376" t="s">
        <v>397</v>
      </c>
    </row>
    <row r="907" spans="1:18" s="1370" customFormat="1" x14ac:dyDescent="0.25">
      <c r="A907" s="1118" t="s">
        <v>1487</v>
      </c>
      <c r="B907" s="1089" t="str">
        <f ca="1">_xlfn.CONCAT(IFERROR(SUBSTITUTE(ADDRESS(1,MATCH(A907,INDIRECT("'"&amp;E907&amp;"'"&amp;"!A" &amp; $O$892 + 5 &amp; ":Z" &amp; $O$892+ 5),0),4),1,""),""),$O$892 + 5)</f>
        <v>J244</v>
      </c>
      <c r="C907" s="1089" t="str">
        <f ca="1">_xlfn.CONCAT(IFERROR(SUBSTITUTE(ADDRESS(1,MATCH(A907,INDIRECT("'"&amp;E907&amp;"'"&amp;"!A" &amp; $O$892 + 5 &amp; ":Z" &amp; $O$892+ 5),0),4),1,""),""),$O$892 + 6)</f>
        <v>J245</v>
      </c>
      <c r="D907" s="1089" t="s">
        <v>1448</v>
      </c>
      <c r="E907" s="1089" t="s">
        <v>1618</v>
      </c>
      <c r="I907" s="1026" t="str">
        <f t="shared" si="105"/>
        <v/>
      </c>
      <c r="J907" s="1376"/>
      <c r="K907" s="1376" t="str">
        <f t="shared" si="106"/>
        <v/>
      </c>
      <c r="L907" s="1089" t="s">
        <v>1487</v>
      </c>
      <c r="M907" s="1376">
        <v>890</v>
      </c>
      <c r="N907" s="1376"/>
      <c r="R907" s="1376" t="s">
        <v>397</v>
      </c>
    </row>
    <row r="908" spans="1:18" s="1370" customFormat="1" x14ac:dyDescent="0.25">
      <c r="A908" s="1118" t="s">
        <v>1488</v>
      </c>
      <c r="B908" s="1089" t="str">
        <f ca="1">_xlfn.CONCAT(IFERROR(SUBSTITUTE(ADDRESS(1,MATCH(A908,INDIRECT("'"&amp;E908&amp;"'"&amp;"!A" &amp; $O$892 + 5 &amp; ":Z" &amp; $O$892+ 5),0),4),1,""),""),$O$892 + 5)</f>
        <v>L244</v>
      </c>
      <c r="C908" s="1089" t="str">
        <f ca="1">_xlfn.CONCAT(IFERROR(SUBSTITUTE(ADDRESS(1,MATCH(A908,INDIRECT("'"&amp;E908&amp;"'"&amp;"!A" &amp; $O$892 + 5 &amp; ":Z" &amp; $O$892+ 5),0),4),1,""),""),$O$892 + 6)</f>
        <v>L245</v>
      </c>
      <c r="D908" s="1089" t="s">
        <v>1448</v>
      </c>
      <c r="E908" s="1089" t="s">
        <v>1618</v>
      </c>
      <c r="I908" s="1026" t="str">
        <f t="shared" si="105"/>
        <v/>
      </c>
      <c r="J908" s="1376"/>
      <c r="K908" s="1376" t="str">
        <f t="shared" si="106"/>
        <v/>
      </c>
      <c r="L908" s="1089" t="s">
        <v>1488</v>
      </c>
      <c r="M908" s="1376">
        <v>891</v>
      </c>
      <c r="N908" s="1376"/>
      <c r="R908" s="1376" t="s">
        <v>397</v>
      </c>
    </row>
    <row r="909" spans="1:18" s="1370" customFormat="1" x14ac:dyDescent="0.25">
      <c r="A909" s="1118" t="s">
        <v>1610</v>
      </c>
      <c r="B909" s="1089" t="str">
        <f ca="1">_xlfn.CONCAT(IFERROR(SUBSTITUTE(ADDRESS(1,MATCH(A909,INDIRECT("'"&amp;E909&amp;"'"&amp;"!A" &amp; $O$892 + 8 &amp; ":Z" &amp; $O$892+ 8),0),4),1,""),""),$O$892 + 8)</f>
        <v>P247</v>
      </c>
      <c r="C909" s="1089" t="str">
        <f ca="1">_xlfn.CONCAT(IFERROR(SUBSTITUTE(ADDRESS(1,MATCH(A909,INDIRECT("'"&amp;E909&amp;"'"&amp;"!A" &amp; $O$892 + 8 &amp; ":Z" &amp; $O$892+ 8),0),4),1,""),""),$O$892 + 9)</f>
        <v>P248</v>
      </c>
      <c r="D909" s="1089" t="s">
        <v>1448</v>
      </c>
      <c r="E909" s="1089" t="s">
        <v>1618</v>
      </c>
      <c r="I909" s="1026" t="str">
        <f t="shared" si="105"/>
        <v>Weekly Threshold Flag</v>
      </c>
      <c r="J909" s="1376" t="str">
        <f t="shared" si="107"/>
        <v>892</v>
      </c>
      <c r="K909" s="1376" t="str">
        <f t="shared" si="106"/>
        <v>Incentives Worksheet</v>
      </c>
      <c r="L909" s="1089" t="s">
        <v>1610</v>
      </c>
      <c r="M909" s="1376">
        <v>892</v>
      </c>
      <c r="N909" s="1376"/>
      <c r="R909" s="1376" t="s">
        <v>397</v>
      </c>
    </row>
    <row r="910" spans="1:18" s="1370" customFormat="1" x14ac:dyDescent="0.25">
      <c r="A910" s="1278" t="s">
        <v>1593</v>
      </c>
      <c r="B910" s="1089" t="str">
        <f ca="1">IFERROR(_xlfn.CONCAT("C",MATCH(A910,INDIRECT("'"&amp;E910&amp;"'!C"&amp;$O$911&amp;":C"&amp;$O$913),0)+$O$911-1),"")</f>
        <v>C257</v>
      </c>
      <c r="C910" s="1089" t="str">
        <f ca="1">IFERROR(_xlfn.CONCAT("D",MATCH(A910,INDIRECT("'"&amp;E910&amp;"'!C"&amp;$O$911&amp;":C"&amp;$O$913),0)+$O$911-1),"")</f>
        <v>D257</v>
      </c>
      <c r="D910" s="1089" t="s">
        <v>1448</v>
      </c>
      <c r="E910" s="1089" t="s">
        <v>1618</v>
      </c>
      <c r="I910" s="1026" t="str">
        <f t="shared" si="105"/>
        <v/>
      </c>
      <c r="J910" s="1376"/>
      <c r="K910" s="1376" t="str">
        <f t="shared" si="106"/>
        <v/>
      </c>
      <c r="L910" s="1089" t="s">
        <v>1593</v>
      </c>
      <c r="M910" s="1376">
        <v>893</v>
      </c>
      <c r="N910" s="1376"/>
      <c r="O910" s="1370" t="s">
        <v>742</v>
      </c>
      <c r="R910" s="1376" t="s">
        <v>397</v>
      </c>
    </row>
    <row r="911" spans="1:18" s="1370" customFormat="1" x14ac:dyDescent="0.25">
      <c r="A911" s="1278" t="s">
        <v>1809</v>
      </c>
      <c r="B911" s="1089" t="str">
        <f ca="1">_xlfn.CONCAT(IFERROR(SUBSTITUTE(ADDRESS(1,MATCH(A911,INDIRECT("'"&amp;E911&amp;"'"&amp;"!A" &amp; $O$911 + 11 &amp; ":Z" &amp; $O$911 + 11),0),4),1,""),""),$O$911 + 11)</f>
        <v>T264</v>
      </c>
      <c r="C911" s="1089" t="str">
        <f ca="1">_xlfn.CONCAT(IFERROR(SUBSTITUTE(ADDRESS(1,MATCH(A911,INDIRECT("'"&amp;E911&amp;"'"&amp;"!A" &amp; $O$911 + 11 &amp; ":Z" &amp; $O$911 + 11),0),4),1,""),""),$O$911 + 12)</f>
        <v>T265</v>
      </c>
      <c r="D911" s="1089" t="s">
        <v>1448</v>
      </c>
      <c r="E911" s="1089" t="s">
        <v>1618</v>
      </c>
      <c r="I911" s="1026" t="str">
        <f t="shared" si="105"/>
        <v/>
      </c>
      <c r="J911" s="1376"/>
      <c r="K911" s="1376" t="str">
        <f t="shared" si="106"/>
        <v/>
      </c>
      <c r="L911" s="1089" t="s">
        <v>1809</v>
      </c>
      <c r="M911" s="1376">
        <v>894</v>
      </c>
      <c r="N911" s="1376"/>
      <c r="O911" s="1370">
        <f>'Configurable Tab'!H20</f>
        <v>253</v>
      </c>
      <c r="Q911" s="1370" t="s">
        <v>653</v>
      </c>
      <c r="R911" s="1376" t="s">
        <v>397</v>
      </c>
    </row>
    <row r="912" spans="1:18" s="1370" customFormat="1" x14ac:dyDescent="0.25">
      <c r="A912" s="1278" t="s">
        <v>1482</v>
      </c>
      <c r="B912" s="1089" t="str">
        <f ca="1">IFERROR(_xlfn.CONCAT("C",MATCH(A912,INDIRECT("'"&amp;E912&amp;"'!C"&amp;$O$911&amp;":C"&amp;$O$913),0)+$O$911-1),"")</f>
        <v>C255</v>
      </c>
      <c r="C912" s="1089" t="str">
        <f ca="1">IFERROR(_xlfn.CONCAT("D",MATCH(A912,INDIRECT("'"&amp;E912&amp;"'!C"&amp;$O$911&amp;":C"&amp;$O$913),0)+$O$911-1),"")</f>
        <v>D255</v>
      </c>
      <c r="D912" s="1089" t="s">
        <v>1448</v>
      </c>
      <c r="E912" s="1089" t="s">
        <v>1618</v>
      </c>
      <c r="I912" s="1026" t="str">
        <f t="shared" si="105"/>
        <v/>
      </c>
      <c r="J912" s="1376"/>
      <c r="K912" s="1376" t="str">
        <f t="shared" si="106"/>
        <v/>
      </c>
      <c r="L912" s="1089" t="s">
        <v>1482</v>
      </c>
      <c r="M912" s="1376">
        <v>895</v>
      </c>
      <c r="N912" s="1376"/>
      <c r="O912" s="1370" t="s">
        <v>743</v>
      </c>
      <c r="R912" s="1376" t="s">
        <v>397</v>
      </c>
    </row>
    <row r="913" spans="1:18" s="1370" customFormat="1" x14ac:dyDescent="0.25">
      <c r="A913" s="1278" t="s">
        <v>1479</v>
      </c>
      <c r="B913" s="1089" t="str">
        <f t="shared" ref="B913:B919" ca="1" si="108">_xlfn.CONCAT(IFERROR(SUBSTITUTE(ADDRESS(1,MATCH(A913,INDIRECT("'"&amp;E913&amp;"'"&amp;"!A" &amp; $O$911 + 2 &amp; ":Z" &amp; $O$911 + 2),0),4),1,""),""),$O$911 + 2)</f>
        <v>H255</v>
      </c>
      <c r="C913" s="1089" t="str">
        <f t="shared" ref="C913:C919" ca="1" si="109">_xlfn.CONCAT(IFERROR(SUBSTITUTE(ADDRESS(1,MATCH(A913,INDIRECT("'"&amp;E913&amp;"'"&amp;"!A" &amp; $O$911 + 2 &amp; ":Z" &amp; $O$911 + 2),0),4),1,""),""),$O$911 + 3)</f>
        <v>H256</v>
      </c>
      <c r="D913" s="1089" t="s">
        <v>1448</v>
      </c>
      <c r="E913" s="1089" t="s">
        <v>1618</v>
      </c>
      <c r="I913" s="1026" t="str">
        <f t="shared" si="105"/>
        <v/>
      </c>
      <c r="J913" s="1376"/>
      <c r="K913" s="1376" t="str">
        <f t="shared" si="106"/>
        <v/>
      </c>
      <c r="L913" s="1089" t="s">
        <v>1479</v>
      </c>
      <c r="M913" s="1376">
        <v>896</v>
      </c>
      <c r="N913" s="1376"/>
      <c r="O913" s="1370">
        <f>'Configurable Tab'!I20</f>
        <v>266</v>
      </c>
      <c r="R913" s="1376" t="s">
        <v>397</v>
      </c>
    </row>
    <row r="914" spans="1:18" s="1370" customFormat="1" x14ac:dyDescent="0.25">
      <c r="A914" s="1278" t="s">
        <v>1480</v>
      </c>
      <c r="B914" s="1089" t="str">
        <f t="shared" ca="1" si="108"/>
        <v>J255</v>
      </c>
      <c r="C914" s="1089" t="str">
        <f t="shared" ca="1" si="109"/>
        <v>J256</v>
      </c>
      <c r="D914" s="1089" t="s">
        <v>1448</v>
      </c>
      <c r="E914" s="1089" t="s">
        <v>1618</v>
      </c>
      <c r="I914" s="1026" t="str">
        <f t="shared" si="105"/>
        <v/>
      </c>
      <c r="J914" s="1376"/>
      <c r="K914" s="1376" t="str">
        <f t="shared" si="106"/>
        <v/>
      </c>
      <c r="L914" s="1089" t="s">
        <v>1480</v>
      </c>
      <c r="M914" s="1376">
        <v>897</v>
      </c>
      <c r="N914" s="1376"/>
      <c r="O914" s="1370" t="s">
        <v>1810</v>
      </c>
      <c r="R914" s="1376" t="s">
        <v>397</v>
      </c>
    </row>
    <row r="915" spans="1:18" s="1370" customFormat="1" x14ac:dyDescent="0.25">
      <c r="A915" s="1278" t="s">
        <v>1496</v>
      </c>
      <c r="B915" s="1089" t="str">
        <f t="shared" ca="1" si="108"/>
        <v>L255</v>
      </c>
      <c r="C915" s="1089" t="str">
        <f t="shared" ca="1" si="109"/>
        <v>L256</v>
      </c>
      <c r="D915" s="1089" t="s">
        <v>1448</v>
      </c>
      <c r="E915" s="1089" t="s">
        <v>1618</v>
      </c>
      <c r="I915" s="1026" t="str">
        <f t="shared" si="105"/>
        <v/>
      </c>
      <c r="J915" s="1376"/>
      <c r="K915" s="1376" t="str">
        <f t="shared" si="106"/>
        <v/>
      </c>
      <c r="L915" s="1089" t="s">
        <v>1496</v>
      </c>
      <c r="M915" s="1376">
        <v>898</v>
      </c>
      <c r="N915" s="1376"/>
      <c r="R915" s="1376" t="s">
        <v>397</v>
      </c>
    </row>
    <row r="916" spans="1:18" s="1370" customFormat="1" x14ac:dyDescent="0.25">
      <c r="A916" s="1278" t="s">
        <v>1481</v>
      </c>
      <c r="B916" s="1089" t="str">
        <f t="shared" ca="1" si="108"/>
        <v>N255</v>
      </c>
      <c r="C916" s="1089" t="str">
        <f t="shared" ca="1" si="109"/>
        <v>N256</v>
      </c>
      <c r="D916" s="1089" t="s">
        <v>1448</v>
      </c>
      <c r="E916" s="1089" t="s">
        <v>1618</v>
      </c>
      <c r="I916" s="1026" t="str">
        <f t="shared" si="105"/>
        <v/>
      </c>
      <c r="J916" s="1376"/>
      <c r="K916" s="1376" t="str">
        <f t="shared" si="106"/>
        <v/>
      </c>
      <c r="L916" s="1089" t="s">
        <v>1481</v>
      </c>
      <c r="M916" s="1376">
        <v>899</v>
      </c>
      <c r="N916" s="1376"/>
      <c r="R916" s="1376" t="s">
        <v>397</v>
      </c>
    </row>
    <row r="917" spans="1:18" s="1370" customFormat="1" x14ac:dyDescent="0.25">
      <c r="A917" s="1278" t="s">
        <v>1588</v>
      </c>
      <c r="B917" s="1089" t="str">
        <f t="shared" ca="1" si="108"/>
        <v>P255</v>
      </c>
      <c r="C917" s="1089" t="str">
        <f t="shared" ca="1" si="109"/>
        <v>P256</v>
      </c>
      <c r="D917" s="1089" t="s">
        <v>1448</v>
      </c>
      <c r="E917" s="1089" t="s">
        <v>1618</v>
      </c>
      <c r="I917" s="1026" t="str">
        <f t="shared" si="105"/>
        <v>Qualifying Cycle</v>
      </c>
      <c r="J917" s="1376" t="str">
        <f t="shared" si="107"/>
        <v>900</v>
      </c>
      <c r="K917" s="1376" t="str">
        <f t="shared" si="106"/>
        <v>Incentives Worksheet</v>
      </c>
      <c r="L917" s="1089" t="s">
        <v>1588</v>
      </c>
      <c r="M917" s="1376">
        <v>900</v>
      </c>
      <c r="N917" s="1376"/>
      <c r="R917" s="1376" t="s">
        <v>397</v>
      </c>
    </row>
    <row r="918" spans="1:18" s="1370" customFormat="1" x14ac:dyDescent="0.25">
      <c r="A918" s="1278" t="s">
        <v>1589</v>
      </c>
      <c r="B918" s="1089" t="str">
        <f t="shared" ca="1" si="108"/>
        <v>R255</v>
      </c>
      <c r="C918" s="1089" t="str">
        <f t="shared" ca="1" si="109"/>
        <v>R256</v>
      </c>
      <c r="D918" s="1089" t="s">
        <v>1448</v>
      </c>
      <c r="E918" s="1089" t="s">
        <v>1618</v>
      </c>
      <c r="I918" s="1026" t="str">
        <f t="shared" si="105"/>
        <v>Incentive Calendar</v>
      </c>
      <c r="J918" s="1376" t="str">
        <f t="shared" si="107"/>
        <v>901</v>
      </c>
      <c r="K918" s="1376" t="str">
        <f t="shared" si="106"/>
        <v>Incentives Worksheet</v>
      </c>
      <c r="L918" s="1089" t="s">
        <v>1589</v>
      </c>
      <c r="M918" s="1376">
        <v>901</v>
      </c>
      <c r="N918" s="1376"/>
      <c r="R918" s="1376" t="s">
        <v>397</v>
      </c>
    </row>
    <row r="919" spans="1:18" s="1370" customFormat="1" x14ac:dyDescent="0.25">
      <c r="A919" s="1278" t="s">
        <v>1590</v>
      </c>
      <c r="B919" s="1089" t="str">
        <f t="shared" ca="1" si="108"/>
        <v>T255</v>
      </c>
      <c r="C919" s="1089" t="str">
        <f t="shared" ca="1" si="109"/>
        <v>T256</v>
      </c>
      <c r="D919" s="1089" t="s">
        <v>1448</v>
      </c>
      <c r="E919" s="1089" t="s">
        <v>1618</v>
      </c>
      <c r="I919" s="1026" t="str">
        <f t="shared" si="105"/>
        <v>Post to GL Payment Method Flag</v>
      </c>
      <c r="J919" s="1376" t="str">
        <f t="shared" si="107"/>
        <v>902</v>
      </c>
      <c r="K919" s="1376" t="str">
        <f t="shared" si="106"/>
        <v>Incentives Worksheet</v>
      </c>
      <c r="L919" s="1089" t="s">
        <v>1590</v>
      </c>
      <c r="M919" s="1376">
        <v>902</v>
      </c>
      <c r="N919" s="1376"/>
      <c r="R919" s="1376" t="s">
        <v>397</v>
      </c>
    </row>
    <row r="920" spans="1:18" s="1370" customFormat="1" x14ac:dyDescent="0.25">
      <c r="A920" s="1278" t="s">
        <v>1484</v>
      </c>
      <c r="B920" s="1089" t="str">
        <f ca="1">IFERROR(_xlfn.CONCAT("C",MATCH(A920,INDIRECT("'"&amp;E920&amp;"'!C"&amp;$O$911&amp;":C"&amp;$O$913),0)+$O$911-1),"")</f>
        <v>C259</v>
      </c>
      <c r="C920" s="1089" t="str">
        <f ca="1">IFERROR(_xlfn.CONCAT("D",MATCH(A920,INDIRECT("'"&amp;E920&amp;"'!C"&amp;$O$911&amp;":C"&amp;$O$913),0)+$O$911-1),"")</f>
        <v>D259</v>
      </c>
      <c r="D920" s="1089" t="s">
        <v>1448</v>
      </c>
      <c r="E920" s="1089" t="s">
        <v>1618</v>
      </c>
      <c r="I920" s="1026" t="str">
        <f t="shared" si="105"/>
        <v/>
      </c>
      <c r="J920" s="1376"/>
      <c r="K920" s="1376" t="str">
        <f t="shared" si="106"/>
        <v/>
      </c>
      <c r="L920" s="1089" t="s">
        <v>1484</v>
      </c>
      <c r="M920" s="1376">
        <v>903</v>
      </c>
      <c r="N920" s="1376"/>
      <c r="R920" s="1376" t="s">
        <v>397</v>
      </c>
    </row>
    <row r="921" spans="1:18" s="1370" customFormat="1" x14ac:dyDescent="0.25">
      <c r="A921" s="1278" t="s">
        <v>1485</v>
      </c>
      <c r="B921" s="1089" t="str">
        <f ca="1">IFERROR(_xlfn.CONCAT("C",MATCH(A921,INDIRECT("'"&amp;E921&amp;"'!C"&amp;$O$911&amp;":C"&amp;$O$913),0)+$O$911-1),"")</f>
        <v>C261</v>
      </c>
      <c r="C921" s="1089" t="str">
        <f ca="1">IFERROR(_xlfn.CONCAT("D",MATCH(A921,INDIRECT("'"&amp;E921&amp;"'!C"&amp;$O$911&amp;":C"&amp;$O$913),0)+$O$911-1),"")</f>
        <v>D261</v>
      </c>
      <c r="D921" s="1089" t="s">
        <v>1448</v>
      </c>
      <c r="E921" s="1089" t="s">
        <v>1618</v>
      </c>
      <c r="I921" s="1026" t="str">
        <f t="shared" si="105"/>
        <v/>
      </c>
      <c r="J921" s="1376"/>
      <c r="K921" s="1376" t="str">
        <f t="shared" si="106"/>
        <v/>
      </c>
      <c r="L921" s="1089" t="s">
        <v>1485</v>
      </c>
      <c r="M921" s="1376">
        <v>904</v>
      </c>
      <c r="N921" s="1376"/>
      <c r="R921" s="1376" t="s">
        <v>397</v>
      </c>
    </row>
    <row r="922" spans="1:18" s="1370" customFormat="1" ht="30" x14ac:dyDescent="0.25">
      <c r="A922" s="1299" t="s">
        <v>1597</v>
      </c>
      <c r="B922" s="1089" t="str">
        <f ca="1">IFERROR(_xlfn.CONCAT("C",MATCH(A922,INDIRECT("'"&amp;E922&amp;"'!C"&amp;$O$911&amp;":C"&amp;$O$913),0)+$O$911-1),"")</f>
        <v>C263</v>
      </c>
      <c r="C922" s="1089" t="str">
        <f ca="1">IFERROR(_xlfn.CONCAT("D",MATCH(A922,INDIRECT("'"&amp;E922&amp;"'!C"&amp;$O$911&amp;":C"&amp;$O$913),0)+$O$911-1),"")</f>
        <v>D263</v>
      </c>
      <c r="D922" s="1089" t="s">
        <v>1448</v>
      </c>
      <c r="E922" s="1089" t="s">
        <v>1618</v>
      </c>
      <c r="I922" s="1026" t="str">
        <f t="shared" si="105"/>
        <v>Incentive Dates Match Agreement Dates Flag</v>
      </c>
      <c r="J922" s="1376" t="str">
        <f t="shared" si="107"/>
        <v>905</v>
      </c>
      <c r="K922" s="1376" t="str">
        <f t="shared" si="106"/>
        <v>Incentives Worksheet</v>
      </c>
      <c r="L922" s="1090" t="s">
        <v>1597</v>
      </c>
      <c r="M922" s="1376">
        <v>905</v>
      </c>
      <c r="N922" s="1376"/>
      <c r="R922" s="1376" t="s">
        <v>397</v>
      </c>
    </row>
    <row r="923" spans="1:18" s="1370" customFormat="1" x14ac:dyDescent="0.25">
      <c r="A923" s="1278" t="s">
        <v>1594</v>
      </c>
      <c r="B923" s="1089" t="str">
        <f ca="1">_xlfn.CONCAT(IFERROR(SUBSTITUTE(ADDRESS(1,MATCH(A923,INDIRECT("'"&amp;E923&amp;"'"&amp;"!A" &amp; $O$911 + 8 &amp; ":Z" &amp; $O$911 + 8),0),4),1,""),""),$O$911 + 8)</f>
        <v>H261</v>
      </c>
      <c r="C923" s="1089" t="str">
        <f ca="1">_xlfn.CONCAT(IFERROR(SUBSTITUTE(ADDRESS(1,MATCH(A923,INDIRECT("'"&amp;E923&amp;"'"&amp;"!A" &amp; $O$911 + 8 &amp; ":Z" &amp; $O$911 + 8),0),4),1,""),""),$O$911 + 9)</f>
        <v>H262</v>
      </c>
      <c r="D923" s="1089" t="s">
        <v>1448</v>
      </c>
      <c r="E923" s="1089" t="s">
        <v>1618</v>
      </c>
      <c r="I923" s="1026" t="str">
        <f t="shared" si="105"/>
        <v>Include All Customers Flag</v>
      </c>
      <c r="J923" s="1376" t="str">
        <f t="shared" si="107"/>
        <v>906</v>
      </c>
      <c r="K923" s="1376" t="str">
        <f t="shared" si="106"/>
        <v>Incentives Worksheet</v>
      </c>
      <c r="L923" s="1089" t="s">
        <v>1594</v>
      </c>
      <c r="M923" s="1376">
        <v>906</v>
      </c>
      <c r="N923" s="1376"/>
      <c r="R923" s="1376" t="s">
        <v>397</v>
      </c>
    </row>
    <row r="924" spans="1:18" s="1370" customFormat="1" x14ac:dyDescent="0.25">
      <c r="A924" s="1278" t="s">
        <v>1608</v>
      </c>
      <c r="B924" s="1089" t="str">
        <f ca="1">_xlfn.CONCAT(IFERROR(SUBSTITUTE(ADDRESS(1,MATCH(A924,INDIRECT("'"&amp;E924&amp;"'"&amp;"!A" &amp; $O$911 + 8 &amp; ":Z" &amp; $O$911 + 8),0),4),1,""),""),$O$911 + 8)</f>
        <v>J261</v>
      </c>
      <c r="C924" s="1089" t="str">
        <f ca="1">_xlfn.CONCAT(IFERROR(SUBSTITUTE(ADDRESS(1,MATCH(A924,INDIRECT("'"&amp;E924&amp;"'"&amp;"!A" &amp; $O$911 + 8 &amp; ":Z" &amp; $O$911 + 8),0),4),1,""),""),$O$911 + 9)</f>
        <v>J262</v>
      </c>
      <c r="D924" s="1089" t="s">
        <v>1448</v>
      </c>
      <c r="E924" s="1089" t="s">
        <v>1618</v>
      </c>
      <c r="I924" s="1026" t="str">
        <f t="shared" si="105"/>
        <v>Customer Aggregation</v>
      </c>
      <c r="J924" s="1376" t="str">
        <f t="shared" si="107"/>
        <v>907</v>
      </c>
      <c r="K924" s="1376" t="str">
        <f t="shared" si="106"/>
        <v>Incentives Worksheet</v>
      </c>
      <c r="L924" s="1089" t="s">
        <v>1608</v>
      </c>
      <c r="M924" s="1376">
        <v>907</v>
      </c>
      <c r="N924" s="1376"/>
      <c r="R924" s="1376" t="s">
        <v>397</v>
      </c>
    </row>
    <row r="925" spans="1:18" s="1370" customFormat="1" x14ac:dyDescent="0.25">
      <c r="A925" s="1278" t="s">
        <v>1486</v>
      </c>
      <c r="B925" s="1089" t="str">
        <f ca="1">_xlfn.CONCAT(IFERROR(SUBSTITUTE(ADDRESS(1,MATCH(A925,INDIRECT("'"&amp;E925&amp;"'"&amp;"!A" &amp; $O$911 + 5 &amp; ":Z" &amp; $O$911 + 5),0),4),1,""),""),$O$911 + 5)</f>
        <v>H258</v>
      </c>
      <c r="C925" s="1089" t="str">
        <f ca="1">_xlfn.CONCAT(IFERROR(SUBSTITUTE(ADDRESS(1,MATCH(A925,INDIRECT("'"&amp;E925&amp;"'"&amp;"!A" &amp; $O$911 + 5 &amp; ":Z" &amp; $O$911 + 5),0),4),1,""),""),$O$911 + 6)</f>
        <v>H259</v>
      </c>
      <c r="D925" s="1089" t="s">
        <v>1448</v>
      </c>
      <c r="E925" s="1089" t="s">
        <v>1618</v>
      </c>
      <c r="I925" s="1026" t="str">
        <f t="shared" si="105"/>
        <v/>
      </c>
      <c r="J925" s="1376"/>
      <c r="K925" s="1376" t="str">
        <f t="shared" si="106"/>
        <v/>
      </c>
      <c r="L925" s="1089" t="s">
        <v>1486</v>
      </c>
      <c r="M925" s="1376">
        <v>908</v>
      </c>
      <c r="N925" s="1376"/>
      <c r="R925" s="1376" t="s">
        <v>397</v>
      </c>
    </row>
    <row r="926" spans="1:18" s="1370" customFormat="1" x14ac:dyDescent="0.25">
      <c r="A926" s="1278" t="s">
        <v>1487</v>
      </c>
      <c r="B926" s="1089" t="str">
        <f ca="1">_xlfn.CONCAT(IFERROR(SUBSTITUTE(ADDRESS(1,MATCH(A926,INDIRECT("'"&amp;E926&amp;"'"&amp;"!A" &amp; $O$911 + 5 &amp; ":Z" &amp; $O$911 + 5),0),4),1,""),""),$O$911 + 5)</f>
        <v>J258</v>
      </c>
      <c r="C926" s="1089" t="str">
        <f ca="1">_xlfn.CONCAT(IFERROR(SUBSTITUTE(ADDRESS(1,MATCH(A926,INDIRECT("'"&amp;E926&amp;"'"&amp;"!A" &amp; $O$911 + 5 &amp; ":Z" &amp; $O$911 + 5),0),4),1,""),""),$O$911 + 6)</f>
        <v>J259</v>
      </c>
      <c r="D926" s="1089" t="s">
        <v>1448</v>
      </c>
      <c r="E926" s="1089" t="s">
        <v>1618</v>
      </c>
      <c r="I926" s="1026" t="str">
        <f t="shared" si="105"/>
        <v/>
      </c>
      <c r="J926" s="1376"/>
      <c r="K926" s="1376" t="str">
        <f t="shared" si="106"/>
        <v/>
      </c>
      <c r="L926" s="1089" t="s">
        <v>1487</v>
      </c>
      <c r="M926" s="1376">
        <v>909</v>
      </c>
      <c r="N926" s="1376"/>
      <c r="R926" s="1376" t="s">
        <v>397</v>
      </c>
    </row>
    <row r="927" spans="1:18" s="1370" customFormat="1" x14ac:dyDescent="0.25">
      <c r="A927" s="1278" t="s">
        <v>1488</v>
      </c>
      <c r="B927" s="1089" t="str">
        <f ca="1">_xlfn.CONCAT(IFERROR(SUBSTITUTE(ADDRESS(1,MATCH(A927,INDIRECT("'"&amp;E927&amp;"'"&amp;"!A" &amp; $O$911 + 5 &amp; ":Z" &amp; $O$911 + 5),0),4),1,""),""),$O$911 + 5)</f>
        <v>L258</v>
      </c>
      <c r="C927" s="1089" t="str">
        <f ca="1">_xlfn.CONCAT(IFERROR(SUBSTITUTE(ADDRESS(1,MATCH(A927,INDIRECT("'"&amp;E927&amp;"'"&amp;"!A" &amp; $O$911 + 5 &amp; ":Z" &amp; $O$911 + 5),0),4),1,""),""),$O$911 + 6)</f>
        <v>L259</v>
      </c>
      <c r="D927" s="1089" t="s">
        <v>1448</v>
      </c>
      <c r="E927" s="1089" t="s">
        <v>1618</v>
      </c>
      <c r="I927" s="1026" t="str">
        <f t="shared" si="105"/>
        <v/>
      </c>
      <c r="J927" s="1376"/>
      <c r="K927" s="1376" t="str">
        <f t="shared" si="106"/>
        <v/>
      </c>
      <c r="L927" s="1089" t="s">
        <v>1488</v>
      </c>
      <c r="M927" s="1376">
        <v>910</v>
      </c>
      <c r="N927" s="1376"/>
      <c r="R927" s="1376" t="s">
        <v>397</v>
      </c>
    </row>
    <row r="928" spans="1:18" s="1370" customFormat="1" x14ac:dyDescent="0.25">
      <c r="A928" s="1278" t="s">
        <v>1610</v>
      </c>
      <c r="B928" s="1089" t="str">
        <f ca="1">_xlfn.CONCAT(IFERROR(SUBSTITUTE(ADDRESS(1,MATCH(A928,INDIRECT("'"&amp;E928&amp;"'"&amp;"!A" &amp; $O$911 + 8 &amp; ":Z" &amp; $O$911 + 8),0),4),1,""),""),$O$911 + 8)</f>
        <v>P261</v>
      </c>
      <c r="C928" s="1089" t="str">
        <f ca="1">_xlfn.CONCAT(IFERROR(SUBSTITUTE(ADDRESS(1,MATCH(A928,INDIRECT("'"&amp;E928&amp;"'"&amp;"!A" &amp; $O$911 + 8 &amp; ":Z" &amp; $O$911 + 8),0),4),1,""),""),$O$911 + 9)</f>
        <v>P262</v>
      </c>
      <c r="D928" s="1089" t="s">
        <v>1448</v>
      </c>
      <c r="E928" s="1089" t="s">
        <v>1618</v>
      </c>
      <c r="I928" s="1026" t="str">
        <f t="shared" si="105"/>
        <v>Weekly Threshold Flag</v>
      </c>
      <c r="J928" s="1376" t="str">
        <f t="shared" si="107"/>
        <v>911</v>
      </c>
      <c r="K928" s="1376" t="str">
        <f t="shared" si="106"/>
        <v>Incentives Worksheet</v>
      </c>
      <c r="L928" s="1089" t="s">
        <v>1610</v>
      </c>
      <c r="M928" s="1376">
        <v>911</v>
      </c>
      <c r="N928" s="1376"/>
      <c r="R928" s="1376" t="s">
        <v>397</v>
      </c>
    </row>
    <row r="929" spans="1:18" s="1370" customFormat="1" x14ac:dyDescent="0.25">
      <c r="A929" s="1300" t="s">
        <v>1593</v>
      </c>
      <c r="B929" s="1089" t="str">
        <f ca="1">IFERROR(_xlfn.CONCAT("C",MATCH(A929,INDIRECT("'"&amp;E929&amp;"'!C"&amp;$O$930&amp;":C"&amp;$O$932),0)+$O$930-1),"")</f>
        <v>C271</v>
      </c>
      <c r="C929" s="1089" t="str">
        <f ca="1">IFERROR(_xlfn.CONCAT("D",MATCH(A929,INDIRECT("'"&amp;E929&amp;"'!C"&amp;$O$930&amp;":C"&amp;$O$932),0)+$O$930-1),"")</f>
        <v>D271</v>
      </c>
      <c r="D929" s="1089" t="s">
        <v>1448</v>
      </c>
      <c r="E929" s="1089" t="s">
        <v>1618</v>
      </c>
      <c r="I929" s="1026" t="str">
        <f t="shared" si="105"/>
        <v/>
      </c>
      <c r="J929" s="1376"/>
      <c r="K929" s="1376" t="str">
        <f t="shared" si="106"/>
        <v/>
      </c>
      <c r="L929" s="1089" t="s">
        <v>1593</v>
      </c>
      <c r="M929" s="1376">
        <v>912</v>
      </c>
      <c r="N929" s="1376"/>
      <c r="O929" s="1370" t="s">
        <v>742</v>
      </c>
      <c r="R929" s="1376" t="s">
        <v>397</v>
      </c>
    </row>
    <row r="930" spans="1:18" s="1370" customFormat="1" x14ac:dyDescent="0.25">
      <c r="A930" s="1300" t="s">
        <v>1809</v>
      </c>
      <c r="B930" s="1089" t="str">
        <f ca="1">_xlfn.CONCAT(IFERROR(SUBSTITUTE(ADDRESS(1,MATCH(A930,INDIRECT("'"&amp;E930&amp;"'"&amp;"!A" &amp; $O$930 + 11 &amp; ":Z" &amp; $O$930 + 11),0),4),1,""),""),$O$930 + 11)</f>
        <v>T278</v>
      </c>
      <c r="C930" s="1089" t="str">
        <f ca="1">_xlfn.CONCAT(IFERROR(SUBSTITUTE(ADDRESS(1,MATCH(A930,INDIRECT("'"&amp;E930&amp;"'"&amp;"!A" &amp; $O$930 + 11 &amp; ":Z" &amp; $O$930 + 11),0),4),1,""),""),$O$930 + 12)</f>
        <v>T279</v>
      </c>
      <c r="D930" s="1089" t="s">
        <v>1448</v>
      </c>
      <c r="E930" s="1089" t="s">
        <v>1618</v>
      </c>
      <c r="I930" s="1026" t="str">
        <f t="shared" si="105"/>
        <v/>
      </c>
      <c r="J930" s="1376"/>
      <c r="K930" s="1376" t="str">
        <f t="shared" si="106"/>
        <v/>
      </c>
      <c r="L930" s="1089" t="s">
        <v>1809</v>
      </c>
      <c r="M930" s="1376">
        <v>913</v>
      </c>
      <c r="N930" s="1376"/>
      <c r="O930" s="1370">
        <f>'Configurable Tab'!H21</f>
        <v>267</v>
      </c>
      <c r="Q930" s="1370" t="s">
        <v>653</v>
      </c>
      <c r="R930" s="1376" t="s">
        <v>397</v>
      </c>
    </row>
    <row r="931" spans="1:18" s="1370" customFormat="1" x14ac:dyDescent="0.25">
      <c r="A931" s="1300" t="s">
        <v>1482</v>
      </c>
      <c r="B931" s="1089" t="str">
        <f ca="1">IFERROR(_xlfn.CONCAT("C",MATCH(A931,INDIRECT("'"&amp;E931&amp;"'!C"&amp;$O$930&amp;":C"&amp;$O$932),0)+$O$930-1),"")</f>
        <v>C269</v>
      </c>
      <c r="C931" s="1089" t="str">
        <f ca="1">IFERROR(_xlfn.CONCAT("D",MATCH(A931,INDIRECT("'"&amp;E931&amp;"'!C"&amp;$O$930&amp;":C"&amp;$O$932),0)+$O$930-1),"")</f>
        <v>D269</v>
      </c>
      <c r="D931" s="1089" t="s">
        <v>1448</v>
      </c>
      <c r="E931" s="1089" t="s">
        <v>1618</v>
      </c>
      <c r="I931" s="1026" t="str">
        <f t="shared" si="105"/>
        <v/>
      </c>
      <c r="J931" s="1376"/>
      <c r="K931" s="1376" t="str">
        <f t="shared" si="106"/>
        <v/>
      </c>
      <c r="L931" s="1089" t="s">
        <v>1482</v>
      </c>
      <c r="M931" s="1376">
        <v>914</v>
      </c>
      <c r="N931" s="1376"/>
      <c r="O931" s="1370" t="s">
        <v>743</v>
      </c>
      <c r="R931" s="1376" t="s">
        <v>397</v>
      </c>
    </row>
    <row r="932" spans="1:18" s="1370" customFormat="1" x14ac:dyDescent="0.25">
      <c r="A932" s="1300" t="s">
        <v>1479</v>
      </c>
      <c r="B932" s="1089" t="str">
        <f t="shared" ref="B932:B938" ca="1" si="110">_xlfn.CONCAT(IFERROR(SUBSTITUTE(ADDRESS(1,MATCH(A932,INDIRECT("'"&amp;E932&amp;"'"&amp;"!A" &amp; $O$930 + 2 &amp; ":Z" &amp; $O$930 + 2),0),4),1,""),""),$O$930 + 2)</f>
        <v>H269</v>
      </c>
      <c r="C932" s="1089" t="str">
        <f t="shared" ref="C932:C938" ca="1" si="111">_xlfn.CONCAT(IFERROR(SUBSTITUTE(ADDRESS(1,MATCH(A932,INDIRECT("'"&amp;E932&amp;"'"&amp;"!A" &amp; $O$930 + 2 &amp; ":Z" &amp; $O$930 + 2),0),4),1,""),""),$O$930 + 3)</f>
        <v>H270</v>
      </c>
      <c r="D932" s="1089" t="s">
        <v>1448</v>
      </c>
      <c r="E932" s="1089" t="s">
        <v>1618</v>
      </c>
      <c r="I932" s="1026" t="str">
        <f t="shared" si="105"/>
        <v/>
      </c>
      <c r="J932" s="1376"/>
      <c r="K932" s="1376" t="str">
        <f t="shared" si="106"/>
        <v/>
      </c>
      <c r="L932" s="1089" t="s">
        <v>1479</v>
      </c>
      <c r="M932" s="1376">
        <v>915</v>
      </c>
      <c r="N932" s="1376"/>
      <c r="O932" s="1370">
        <f>'Configurable Tab'!I21</f>
        <v>280</v>
      </c>
      <c r="R932" s="1376" t="s">
        <v>397</v>
      </c>
    </row>
    <row r="933" spans="1:18" s="1370" customFormat="1" x14ac:dyDescent="0.25">
      <c r="A933" s="1300" t="s">
        <v>1480</v>
      </c>
      <c r="B933" s="1089" t="str">
        <f t="shared" ca="1" si="110"/>
        <v>J269</v>
      </c>
      <c r="C933" s="1089" t="str">
        <f t="shared" ca="1" si="111"/>
        <v>J270</v>
      </c>
      <c r="D933" s="1089" t="s">
        <v>1448</v>
      </c>
      <c r="E933" s="1089" t="s">
        <v>1618</v>
      </c>
      <c r="I933" s="1026" t="str">
        <f t="shared" si="105"/>
        <v/>
      </c>
      <c r="J933" s="1376"/>
      <c r="K933" s="1376" t="str">
        <f t="shared" si="106"/>
        <v/>
      </c>
      <c r="L933" s="1089" t="s">
        <v>1480</v>
      </c>
      <c r="M933" s="1376">
        <v>916</v>
      </c>
      <c r="N933" s="1376"/>
      <c r="O933" s="1370" t="s">
        <v>1811</v>
      </c>
      <c r="R933" s="1376" t="s">
        <v>397</v>
      </c>
    </row>
    <row r="934" spans="1:18" s="1370" customFormat="1" x14ac:dyDescent="0.25">
      <c r="A934" s="1300" t="s">
        <v>1496</v>
      </c>
      <c r="B934" s="1089" t="str">
        <f t="shared" ca="1" si="110"/>
        <v>L269</v>
      </c>
      <c r="C934" s="1089" t="str">
        <f t="shared" ca="1" si="111"/>
        <v>L270</v>
      </c>
      <c r="D934" s="1089" t="s">
        <v>1448</v>
      </c>
      <c r="E934" s="1089" t="s">
        <v>1618</v>
      </c>
      <c r="I934" s="1026" t="str">
        <f t="shared" si="105"/>
        <v/>
      </c>
      <c r="J934" s="1376"/>
      <c r="K934" s="1376" t="str">
        <f t="shared" si="106"/>
        <v/>
      </c>
      <c r="L934" s="1089" t="s">
        <v>1496</v>
      </c>
      <c r="M934" s="1376">
        <v>917</v>
      </c>
      <c r="N934" s="1376"/>
      <c r="R934" s="1376" t="s">
        <v>397</v>
      </c>
    </row>
    <row r="935" spans="1:18" s="1370" customFormat="1" x14ac:dyDescent="0.25">
      <c r="A935" s="1300" t="s">
        <v>1481</v>
      </c>
      <c r="B935" s="1089" t="str">
        <f t="shared" ca="1" si="110"/>
        <v>N269</v>
      </c>
      <c r="C935" s="1089" t="str">
        <f t="shared" ca="1" si="111"/>
        <v>N270</v>
      </c>
      <c r="D935" s="1089" t="s">
        <v>1448</v>
      </c>
      <c r="E935" s="1089" t="s">
        <v>1618</v>
      </c>
      <c r="I935" s="1026" t="str">
        <f t="shared" si="105"/>
        <v/>
      </c>
      <c r="J935" s="1376"/>
      <c r="K935" s="1376" t="str">
        <f t="shared" si="106"/>
        <v/>
      </c>
      <c r="L935" s="1089" t="s">
        <v>1481</v>
      </c>
      <c r="M935" s="1376">
        <v>918</v>
      </c>
      <c r="N935" s="1376"/>
      <c r="R935" s="1376" t="s">
        <v>397</v>
      </c>
    </row>
    <row r="936" spans="1:18" s="1370" customFormat="1" x14ac:dyDescent="0.25">
      <c r="A936" s="1300" t="s">
        <v>1588</v>
      </c>
      <c r="B936" s="1089" t="str">
        <f t="shared" ca="1" si="110"/>
        <v>P269</v>
      </c>
      <c r="C936" s="1089" t="str">
        <f t="shared" ca="1" si="111"/>
        <v>P270</v>
      </c>
      <c r="D936" s="1089" t="s">
        <v>1448</v>
      </c>
      <c r="E936" s="1089" t="s">
        <v>1618</v>
      </c>
      <c r="I936" s="1026" t="str">
        <f t="shared" si="105"/>
        <v>Qualifying Cycle</v>
      </c>
      <c r="J936" s="1376" t="str">
        <f t="shared" si="107"/>
        <v>919</v>
      </c>
      <c r="K936" s="1376" t="str">
        <f t="shared" si="106"/>
        <v>Incentives Worksheet</v>
      </c>
      <c r="L936" s="1089" t="s">
        <v>1588</v>
      </c>
      <c r="M936" s="1376">
        <v>919</v>
      </c>
      <c r="N936" s="1376"/>
      <c r="R936" s="1376" t="s">
        <v>397</v>
      </c>
    </row>
    <row r="937" spans="1:18" s="1370" customFormat="1" x14ac:dyDescent="0.25">
      <c r="A937" s="1300" t="s">
        <v>1589</v>
      </c>
      <c r="B937" s="1089" t="str">
        <f t="shared" ca="1" si="110"/>
        <v>R269</v>
      </c>
      <c r="C937" s="1089" t="str">
        <f t="shared" ca="1" si="111"/>
        <v>R270</v>
      </c>
      <c r="D937" s="1089" t="s">
        <v>1448</v>
      </c>
      <c r="E937" s="1089" t="s">
        <v>1618</v>
      </c>
      <c r="I937" s="1026" t="str">
        <f t="shared" si="105"/>
        <v>Incentive Calendar</v>
      </c>
      <c r="J937" s="1376" t="str">
        <f t="shared" si="107"/>
        <v>920</v>
      </c>
      <c r="K937" s="1376" t="str">
        <f t="shared" si="106"/>
        <v>Incentives Worksheet</v>
      </c>
      <c r="L937" s="1089" t="s">
        <v>1589</v>
      </c>
      <c r="M937" s="1376">
        <v>920</v>
      </c>
      <c r="N937" s="1376"/>
      <c r="R937" s="1376" t="s">
        <v>397</v>
      </c>
    </row>
    <row r="938" spans="1:18" s="1370" customFormat="1" x14ac:dyDescent="0.25">
      <c r="A938" s="1300" t="s">
        <v>1590</v>
      </c>
      <c r="B938" s="1089" t="str">
        <f t="shared" ca="1" si="110"/>
        <v>T269</v>
      </c>
      <c r="C938" s="1089" t="str">
        <f t="shared" ca="1" si="111"/>
        <v>T270</v>
      </c>
      <c r="D938" s="1089" t="s">
        <v>1448</v>
      </c>
      <c r="E938" s="1089" t="s">
        <v>1618</v>
      </c>
      <c r="I938" s="1026" t="str">
        <f t="shared" si="105"/>
        <v>Post to GL Payment Method Flag</v>
      </c>
      <c r="J938" s="1376" t="str">
        <f t="shared" si="107"/>
        <v>921</v>
      </c>
      <c r="K938" s="1376" t="str">
        <f t="shared" si="106"/>
        <v>Incentives Worksheet</v>
      </c>
      <c r="L938" s="1089" t="s">
        <v>1590</v>
      </c>
      <c r="M938" s="1376">
        <v>921</v>
      </c>
      <c r="N938" s="1376"/>
      <c r="R938" s="1376" t="s">
        <v>397</v>
      </c>
    </row>
    <row r="939" spans="1:18" s="1370" customFormat="1" x14ac:dyDescent="0.25">
      <c r="A939" s="1300" t="s">
        <v>1484</v>
      </c>
      <c r="B939" s="1089" t="str">
        <f ca="1">IFERROR(_xlfn.CONCAT("C",MATCH(A939,INDIRECT("'"&amp;E939&amp;"'!C"&amp;$O$930&amp;":C"&amp;$O$932),0)+$O$930-1),"")</f>
        <v>C273</v>
      </c>
      <c r="C939" s="1089" t="str">
        <f ca="1">IFERROR(_xlfn.CONCAT("D",MATCH(A939,INDIRECT("'"&amp;E939&amp;"'!C"&amp;$O$930&amp;":C"&amp;$O$932),0)+$O$930-1),"")</f>
        <v>D273</v>
      </c>
      <c r="D939" s="1089" t="s">
        <v>1448</v>
      </c>
      <c r="E939" s="1089" t="s">
        <v>1618</v>
      </c>
      <c r="I939" s="1026" t="str">
        <f t="shared" si="105"/>
        <v/>
      </c>
      <c r="J939" s="1376"/>
      <c r="K939" s="1376" t="str">
        <f t="shared" si="106"/>
        <v/>
      </c>
      <c r="L939" s="1089" t="s">
        <v>1484</v>
      </c>
      <c r="M939" s="1376">
        <v>922</v>
      </c>
      <c r="N939" s="1376"/>
      <c r="R939" s="1376" t="s">
        <v>397</v>
      </c>
    </row>
    <row r="940" spans="1:18" s="1370" customFormat="1" x14ac:dyDescent="0.25">
      <c r="A940" s="1300" t="s">
        <v>1485</v>
      </c>
      <c r="B940" s="1089" t="str">
        <f ca="1">IFERROR(_xlfn.CONCAT("C",MATCH(A940,INDIRECT("'"&amp;E940&amp;"'!C"&amp;$O$930&amp;":C"&amp;$O$932),0)+$O$930-1),"")</f>
        <v>C275</v>
      </c>
      <c r="C940" s="1089" t="str">
        <f ca="1">IFERROR(_xlfn.CONCAT("D",MATCH(A940,INDIRECT("'"&amp;E940&amp;"'!C"&amp;$O$930&amp;":C"&amp;$O$932),0)+$O$930-1),"")</f>
        <v>D275</v>
      </c>
      <c r="D940" s="1089" t="s">
        <v>1448</v>
      </c>
      <c r="E940" s="1089" t="s">
        <v>1618</v>
      </c>
      <c r="I940" s="1026" t="str">
        <f t="shared" si="105"/>
        <v/>
      </c>
      <c r="J940" s="1376"/>
      <c r="K940" s="1376" t="str">
        <f t="shared" si="106"/>
        <v/>
      </c>
      <c r="L940" s="1089" t="s">
        <v>1485</v>
      </c>
      <c r="M940" s="1376">
        <v>923</v>
      </c>
      <c r="N940" s="1376"/>
      <c r="R940" s="1376" t="s">
        <v>397</v>
      </c>
    </row>
    <row r="941" spans="1:18" s="1370" customFormat="1" ht="30" x14ac:dyDescent="0.25">
      <c r="A941" s="1301" t="s">
        <v>1597</v>
      </c>
      <c r="B941" s="1089" t="str">
        <f ca="1">IFERROR(_xlfn.CONCAT("C",MATCH(A941,INDIRECT("'"&amp;E941&amp;"'!C"&amp;$O$930&amp;":C"&amp;$O$932),0)+$O$930-1),"")</f>
        <v>C277</v>
      </c>
      <c r="C941" s="1089" t="str">
        <f ca="1">IFERROR(_xlfn.CONCAT("D",MATCH(A941,INDIRECT("'"&amp;E941&amp;"'!C"&amp;$O$930&amp;":C"&amp;$O$932),0)+$O$930-1),"")</f>
        <v>D277</v>
      </c>
      <c r="D941" s="1089" t="s">
        <v>1448</v>
      </c>
      <c r="E941" s="1089" t="s">
        <v>1618</v>
      </c>
      <c r="I941" s="1026" t="str">
        <f t="shared" si="105"/>
        <v>Incentive Dates Match Agreement Dates Flag</v>
      </c>
      <c r="J941" s="1376" t="str">
        <f t="shared" si="107"/>
        <v>924</v>
      </c>
      <c r="K941" s="1376" t="str">
        <f t="shared" si="106"/>
        <v>Incentives Worksheet</v>
      </c>
      <c r="L941" s="1090" t="s">
        <v>1597</v>
      </c>
      <c r="M941" s="1376">
        <v>924</v>
      </c>
      <c r="N941" s="1376"/>
      <c r="R941" s="1376" t="s">
        <v>397</v>
      </c>
    </row>
    <row r="942" spans="1:18" s="1370" customFormat="1" x14ac:dyDescent="0.25">
      <c r="A942" s="1300" t="s">
        <v>1594</v>
      </c>
      <c r="B942" s="1089" t="str">
        <f ca="1">_xlfn.CONCAT(IFERROR(SUBSTITUTE(ADDRESS(1,MATCH(A942,INDIRECT("'"&amp;E942&amp;"'"&amp;"!A" &amp; $O$930 + 8 &amp; ":Z" &amp; $O$930 + 8),0),4),1,""),""),$O$930 + 8)</f>
        <v>H275</v>
      </c>
      <c r="C942" s="1089" t="str">
        <f ca="1">_xlfn.CONCAT(IFERROR(SUBSTITUTE(ADDRESS(1,MATCH(A942,INDIRECT("'"&amp;E942&amp;"'"&amp;"!A" &amp; $O$930 + 8 &amp; ":Z" &amp; $O$930 + 8),0),4),1,""),""),$O$930 + 9)</f>
        <v>H276</v>
      </c>
      <c r="D942" s="1089" t="s">
        <v>1448</v>
      </c>
      <c r="E942" s="1089" t="s">
        <v>1618</v>
      </c>
      <c r="I942" s="1026" t="str">
        <f t="shared" si="105"/>
        <v>Include All Customers Flag</v>
      </c>
      <c r="J942" s="1376" t="str">
        <f t="shared" si="107"/>
        <v>925</v>
      </c>
      <c r="K942" s="1376" t="str">
        <f t="shared" si="106"/>
        <v>Incentives Worksheet</v>
      </c>
      <c r="L942" s="1089" t="s">
        <v>1594</v>
      </c>
      <c r="M942" s="1376">
        <v>925</v>
      </c>
      <c r="N942" s="1376"/>
      <c r="R942" s="1376" t="s">
        <v>397</v>
      </c>
    </row>
    <row r="943" spans="1:18" s="1370" customFormat="1" x14ac:dyDescent="0.25">
      <c r="A943" s="1300" t="s">
        <v>1608</v>
      </c>
      <c r="B943" s="1089" t="str">
        <f ca="1">_xlfn.CONCAT(IFERROR(SUBSTITUTE(ADDRESS(1,MATCH(A943,INDIRECT("'"&amp;E943&amp;"'"&amp;"!A" &amp; $O$930 + 8 &amp; ":Z" &amp; $O$930 + 8),0),4),1,""),""),$O$930 + 8)</f>
        <v>J275</v>
      </c>
      <c r="C943" s="1089" t="str">
        <f ca="1">_xlfn.CONCAT(IFERROR(SUBSTITUTE(ADDRESS(1,MATCH(A943,INDIRECT("'"&amp;E943&amp;"'"&amp;"!A" &amp; $O$930 + 8 &amp; ":Z" &amp; $O$930 + 8),0),4),1,""),""),$O$930 + 9)</f>
        <v>J276</v>
      </c>
      <c r="D943" s="1089" t="s">
        <v>1448</v>
      </c>
      <c r="E943" s="1089" t="s">
        <v>1618</v>
      </c>
      <c r="I943" s="1026" t="str">
        <f t="shared" si="105"/>
        <v>Customer Aggregation</v>
      </c>
      <c r="J943" s="1376" t="str">
        <f t="shared" si="107"/>
        <v>926</v>
      </c>
      <c r="K943" s="1376" t="str">
        <f t="shared" si="106"/>
        <v>Incentives Worksheet</v>
      </c>
      <c r="L943" s="1089" t="s">
        <v>1608</v>
      </c>
      <c r="M943" s="1376">
        <v>926</v>
      </c>
      <c r="N943" s="1376"/>
      <c r="R943" s="1376" t="s">
        <v>397</v>
      </c>
    </row>
    <row r="944" spans="1:18" s="1370" customFormat="1" x14ac:dyDescent="0.25">
      <c r="A944" s="1300" t="s">
        <v>1486</v>
      </c>
      <c r="B944" s="1089" t="str">
        <f ca="1">_xlfn.CONCAT(IFERROR(SUBSTITUTE(ADDRESS(1,MATCH(A944,INDIRECT("'"&amp;E944&amp;"'"&amp;"!A" &amp; $O$930 + 5 &amp; ":Z" &amp; $O$930 + 5),0),4),1,""),""),$O$930 + 5)</f>
        <v>H272</v>
      </c>
      <c r="C944" s="1089" t="str">
        <f ca="1">_xlfn.CONCAT(IFERROR(SUBSTITUTE(ADDRESS(1,MATCH(A944,INDIRECT("'"&amp;E944&amp;"'"&amp;"!A" &amp; $O$930 + 5 &amp; ":Z" &amp; $O$930 + 5),0),4),1,""),""),$O$930 + 6)</f>
        <v>H273</v>
      </c>
      <c r="D944" s="1089" t="s">
        <v>1448</v>
      </c>
      <c r="E944" s="1089" t="s">
        <v>1618</v>
      </c>
      <c r="I944" s="1026" t="str">
        <f t="shared" si="105"/>
        <v/>
      </c>
      <c r="J944" s="1376"/>
      <c r="K944" s="1376" t="str">
        <f t="shared" si="106"/>
        <v/>
      </c>
      <c r="L944" s="1089" t="s">
        <v>1486</v>
      </c>
      <c r="M944" s="1376">
        <v>927</v>
      </c>
      <c r="N944" s="1376"/>
      <c r="R944" s="1376" t="s">
        <v>397</v>
      </c>
    </row>
    <row r="945" spans="1:18" s="1370" customFormat="1" x14ac:dyDescent="0.25">
      <c r="A945" s="1300" t="s">
        <v>1487</v>
      </c>
      <c r="B945" s="1089" t="str">
        <f ca="1">_xlfn.CONCAT(IFERROR(SUBSTITUTE(ADDRESS(1,MATCH(A945,INDIRECT("'"&amp;E945&amp;"'"&amp;"!A" &amp; $O$930 + 5 &amp; ":Z" &amp; $O$930 + 5),0),4),1,""),""),$O$930 + 5)</f>
        <v>J272</v>
      </c>
      <c r="C945" s="1089" t="str">
        <f ca="1">_xlfn.CONCAT(IFERROR(SUBSTITUTE(ADDRESS(1,MATCH(A945,INDIRECT("'"&amp;E945&amp;"'"&amp;"!A" &amp; $O$930 + 5 &amp; ":Z" &amp; $O$930 + 5),0),4),1,""),""),$O$930 + 6)</f>
        <v>J273</v>
      </c>
      <c r="D945" s="1089" t="s">
        <v>1448</v>
      </c>
      <c r="E945" s="1089" t="s">
        <v>1618</v>
      </c>
      <c r="I945" s="1026" t="str">
        <f t="shared" si="105"/>
        <v/>
      </c>
      <c r="J945" s="1376"/>
      <c r="K945" s="1376" t="str">
        <f t="shared" si="106"/>
        <v/>
      </c>
      <c r="L945" s="1089" t="s">
        <v>1487</v>
      </c>
      <c r="M945" s="1376">
        <v>928</v>
      </c>
      <c r="N945" s="1376"/>
      <c r="R945" s="1376" t="s">
        <v>397</v>
      </c>
    </row>
    <row r="946" spans="1:18" s="1370" customFormat="1" x14ac:dyDescent="0.25">
      <c r="A946" s="1300" t="s">
        <v>1488</v>
      </c>
      <c r="B946" s="1089" t="str">
        <f ca="1">_xlfn.CONCAT(IFERROR(SUBSTITUTE(ADDRESS(1,MATCH(A946,INDIRECT("'"&amp;E946&amp;"'"&amp;"!A" &amp; $O$930 + 5 &amp; ":Z" &amp; $O$930 + 5),0),4),1,""),""),$O$930 + 5)</f>
        <v>L272</v>
      </c>
      <c r="C946" s="1089" t="str">
        <f ca="1">_xlfn.CONCAT(IFERROR(SUBSTITUTE(ADDRESS(1,MATCH(A946,INDIRECT("'"&amp;E946&amp;"'"&amp;"!A" &amp; $O$930 + 5 &amp; ":Z" &amp; $O$930 + 5),0),4),1,""),""),$O$930 + 6)</f>
        <v>L273</v>
      </c>
      <c r="D946" s="1089" t="s">
        <v>1448</v>
      </c>
      <c r="E946" s="1089" t="s">
        <v>1618</v>
      </c>
      <c r="I946" s="1026" t="str">
        <f t="shared" si="105"/>
        <v/>
      </c>
      <c r="J946" s="1376"/>
      <c r="K946" s="1376" t="str">
        <f t="shared" si="106"/>
        <v/>
      </c>
      <c r="L946" s="1089" t="s">
        <v>1488</v>
      </c>
      <c r="M946" s="1376">
        <v>929</v>
      </c>
      <c r="N946" s="1376"/>
      <c r="R946" s="1376" t="s">
        <v>397</v>
      </c>
    </row>
    <row r="947" spans="1:18" s="1370" customFormat="1" x14ac:dyDescent="0.25">
      <c r="A947" s="1300" t="s">
        <v>1610</v>
      </c>
      <c r="B947" s="1089" t="str">
        <f ca="1">_xlfn.CONCAT(IFERROR(SUBSTITUTE(ADDRESS(1,MATCH(A947,INDIRECT("'"&amp;E947&amp;"'"&amp;"!A" &amp; $O$930 + 8 &amp; ":Z" &amp; $O$930 + 8),0),4),1,""),""),$O$930 + 8)</f>
        <v>P275</v>
      </c>
      <c r="C947" s="1089" t="str">
        <f ca="1">_xlfn.CONCAT(IFERROR(SUBSTITUTE(ADDRESS(1,MATCH(A947,INDIRECT("'"&amp;E947&amp;"'"&amp;"!A" &amp; $O$930 + 8 &amp; ":Z" &amp; $O$930 + 8),0),4),1,""),""),$O$930 + 9)</f>
        <v>P276</v>
      </c>
      <c r="D947" s="1089" t="s">
        <v>1448</v>
      </c>
      <c r="E947" s="1089" t="s">
        <v>1618</v>
      </c>
      <c r="I947" s="1026" t="str">
        <f t="shared" si="105"/>
        <v>Weekly Threshold Flag</v>
      </c>
      <c r="J947" s="1376" t="str">
        <f t="shared" si="107"/>
        <v>930</v>
      </c>
      <c r="K947" s="1376" t="str">
        <f t="shared" si="106"/>
        <v>Incentives Worksheet</v>
      </c>
      <c r="L947" s="1089" t="s">
        <v>1610</v>
      </c>
      <c r="M947" s="1376">
        <v>930</v>
      </c>
      <c r="N947" s="1376"/>
      <c r="R947" s="1376" t="s">
        <v>397</v>
      </c>
    </row>
    <row r="948" spans="1:18" s="1370" customFormat="1" x14ac:dyDescent="0.25">
      <c r="A948" s="1278" t="s">
        <v>1593</v>
      </c>
      <c r="B948" s="1089" t="str">
        <f ca="1">IFERROR(_xlfn.CONCAT("C",MATCH(A948,INDIRECT("'"&amp;E948&amp;"'!C"&amp;$O$949&amp;":C"&amp;$O$951),0)+$O$949-1),"")</f>
        <v>C285</v>
      </c>
      <c r="C948" s="1089" t="str">
        <f ca="1">IFERROR(_xlfn.CONCAT("D",MATCH(A948,INDIRECT("'"&amp;E948&amp;"'!C"&amp;$O$949&amp;":C"&amp;$O$951),0)+$O$949-1),"")</f>
        <v>D285</v>
      </c>
      <c r="D948" s="1089" t="s">
        <v>1448</v>
      </c>
      <c r="E948" s="1089" t="s">
        <v>1618</v>
      </c>
      <c r="I948" s="1026" t="str">
        <f t="shared" si="105"/>
        <v/>
      </c>
      <c r="J948" s="1376"/>
      <c r="K948" s="1376" t="str">
        <f t="shared" si="106"/>
        <v/>
      </c>
      <c r="L948" s="1089" t="s">
        <v>1593</v>
      </c>
      <c r="M948" s="1376">
        <v>931</v>
      </c>
      <c r="N948" s="1376"/>
      <c r="O948" s="1370" t="s">
        <v>742</v>
      </c>
      <c r="R948" s="1376" t="s">
        <v>397</v>
      </c>
    </row>
    <row r="949" spans="1:18" s="1370" customFormat="1" x14ac:dyDescent="0.25">
      <c r="A949" s="1278" t="s">
        <v>1809</v>
      </c>
      <c r="B949" s="1089" t="str">
        <f ca="1">_xlfn.CONCAT(IFERROR(SUBSTITUTE(ADDRESS(1,MATCH(A949,INDIRECT("'"&amp;E949&amp;"'"&amp;"!A" &amp; $O$949 + 11 &amp; ":Z" &amp; $O$949 + 11),0),4),1,""),""),$O$949 + 11)</f>
        <v>T292</v>
      </c>
      <c r="C949" s="1089" t="str">
        <f ca="1">_xlfn.CONCAT(IFERROR(SUBSTITUTE(ADDRESS(1,MATCH(A949,INDIRECT("'"&amp;E949&amp;"'"&amp;"!A" &amp; $O$949 + 11 &amp; ":Z" &amp; $O$949 + 11),0),4),1,""),""),$O$949 + 12)</f>
        <v>T293</v>
      </c>
      <c r="D949" s="1089" t="s">
        <v>1448</v>
      </c>
      <c r="E949" s="1089" t="s">
        <v>1618</v>
      </c>
      <c r="I949" s="1026" t="str">
        <f t="shared" si="105"/>
        <v/>
      </c>
      <c r="J949" s="1376"/>
      <c r="K949" s="1376" t="str">
        <f t="shared" si="106"/>
        <v/>
      </c>
      <c r="L949" s="1089" t="s">
        <v>1809</v>
      </c>
      <c r="M949" s="1376">
        <v>932</v>
      </c>
      <c r="N949" s="1376"/>
      <c r="O949" s="1370">
        <f>'Configurable Tab'!H22</f>
        <v>281</v>
      </c>
      <c r="Q949" s="1370" t="s">
        <v>653</v>
      </c>
      <c r="R949" s="1376" t="s">
        <v>397</v>
      </c>
    </row>
    <row r="950" spans="1:18" s="1370" customFormat="1" x14ac:dyDescent="0.25">
      <c r="A950" s="1278" t="s">
        <v>1482</v>
      </c>
      <c r="B950" s="1089" t="str">
        <f ca="1">IFERROR(_xlfn.CONCAT("C",MATCH(A950,INDIRECT("'"&amp;E950&amp;"'!C"&amp;$O$949&amp;":C"&amp;$O$951),0)+$O$949-1),"")</f>
        <v>C283</v>
      </c>
      <c r="C950" s="1089" t="str">
        <f ca="1">IFERROR(_xlfn.CONCAT("D",MATCH(A950,INDIRECT("'"&amp;E950&amp;"'!C"&amp;$O$949&amp;":C"&amp;$O$951),0)+$O$949-1),"")</f>
        <v>D283</v>
      </c>
      <c r="D950" s="1089" t="s">
        <v>1448</v>
      </c>
      <c r="E950" s="1089" t="s">
        <v>1618</v>
      </c>
      <c r="I950" s="1026" t="str">
        <f t="shared" si="105"/>
        <v/>
      </c>
      <c r="J950" s="1376"/>
      <c r="K950" s="1376" t="str">
        <f t="shared" si="106"/>
        <v/>
      </c>
      <c r="L950" s="1089" t="s">
        <v>1482</v>
      </c>
      <c r="M950" s="1376">
        <v>933</v>
      </c>
      <c r="N950" s="1376"/>
      <c r="O950" s="1370" t="s">
        <v>743</v>
      </c>
      <c r="R950" s="1376" t="s">
        <v>397</v>
      </c>
    </row>
    <row r="951" spans="1:18" s="1370" customFormat="1" x14ac:dyDescent="0.25">
      <c r="A951" s="1278" t="s">
        <v>1479</v>
      </c>
      <c r="B951" s="1089" t="str">
        <f t="shared" ref="B951:B957" ca="1" si="112">_xlfn.CONCAT(IFERROR(SUBSTITUTE(ADDRESS(1,MATCH(A951,INDIRECT("'"&amp;E951&amp;"'"&amp;"!A" &amp; $O$949 + 2 &amp; ":Z" &amp; $O$949 + 2),0),4),1,""),""),$O$949 + 2)</f>
        <v>H283</v>
      </c>
      <c r="C951" s="1089" t="str">
        <f t="shared" ref="C951:C957" ca="1" si="113">_xlfn.CONCAT(IFERROR(SUBSTITUTE(ADDRESS(1,MATCH(A951,INDIRECT("'"&amp;E951&amp;"'"&amp;"!A" &amp; $O$949 + 2 &amp; ":Z" &amp; $O$949 + 2),0),4),1,""),""),$O$949 + 3)</f>
        <v>H284</v>
      </c>
      <c r="D951" s="1089" t="s">
        <v>1448</v>
      </c>
      <c r="E951" s="1089" t="s">
        <v>1618</v>
      </c>
      <c r="I951" s="1026" t="str">
        <f t="shared" si="105"/>
        <v/>
      </c>
      <c r="J951" s="1376"/>
      <c r="K951" s="1376" t="str">
        <f t="shared" si="106"/>
        <v/>
      </c>
      <c r="L951" s="1089" t="s">
        <v>1479</v>
      </c>
      <c r="M951" s="1376">
        <v>934</v>
      </c>
      <c r="N951" s="1376"/>
      <c r="O951" s="1370">
        <f>'Configurable Tab'!I22</f>
        <v>294</v>
      </c>
      <c r="R951" s="1376" t="s">
        <v>397</v>
      </c>
    </row>
    <row r="952" spans="1:18" s="1370" customFormat="1" x14ac:dyDescent="0.25">
      <c r="A952" s="1278" t="s">
        <v>1480</v>
      </c>
      <c r="B952" s="1089" t="str">
        <f t="shared" ca="1" si="112"/>
        <v>J283</v>
      </c>
      <c r="C952" s="1089" t="str">
        <f t="shared" ca="1" si="113"/>
        <v>J284</v>
      </c>
      <c r="D952" s="1089" t="s">
        <v>1448</v>
      </c>
      <c r="E952" s="1089" t="s">
        <v>1618</v>
      </c>
      <c r="I952" s="1026" t="str">
        <f t="shared" si="105"/>
        <v/>
      </c>
      <c r="J952" s="1376"/>
      <c r="K952" s="1376" t="str">
        <f t="shared" si="106"/>
        <v/>
      </c>
      <c r="L952" s="1089" t="s">
        <v>1480</v>
      </c>
      <c r="M952" s="1376">
        <v>935</v>
      </c>
      <c r="N952" s="1376"/>
      <c r="O952" s="1370" t="s">
        <v>1812</v>
      </c>
      <c r="R952" s="1376" t="s">
        <v>397</v>
      </c>
    </row>
    <row r="953" spans="1:18" s="1370" customFormat="1" x14ac:dyDescent="0.25">
      <c r="A953" s="1278" t="s">
        <v>1496</v>
      </c>
      <c r="B953" s="1089" t="str">
        <f t="shared" ca="1" si="112"/>
        <v>L283</v>
      </c>
      <c r="C953" s="1089" t="str">
        <f t="shared" ca="1" si="113"/>
        <v>L284</v>
      </c>
      <c r="D953" s="1089" t="s">
        <v>1448</v>
      </c>
      <c r="E953" s="1089" t="s">
        <v>1618</v>
      </c>
      <c r="I953" s="1026" t="str">
        <f t="shared" si="105"/>
        <v/>
      </c>
      <c r="J953" s="1376"/>
      <c r="K953" s="1376" t="str">
        <f t="shared" si="106"/>
        <v/>
      </c>
      <c r="L953" s="1089" t="s">
        <v>1496</v>
      </c>
      <c r="M953" s="1376">
        <v>936</v>
      </c>
      <c r="N953" s="1376"/>
      <c r="R953" s="1376" t="s">
        <v>397</v>
      </c>
    </row>
    <row r="954" spans="1:18" s="1370" customFormat="1" x14ac:dyDescent="0.25">
      <c r="A954" s="1278" t="s">
        <v>1481</v>
      </c>
      <c r="B954" s="1089" t="str">
        <f t="shared" ca="1" si="112"/>
        <v>N283</v>
      </c>
      <c r="C954" s="1089" t="str">
        <f t="shared" ca="1" si="113"/>
        <v>N284</v>
      </c>
      <c r="D954" s="1089" t="s">
        <v>1448</v>
      </c>
      <c r="E954" s="1089" t="s">
        <v>1618</v>
      </c>
      <c r="I954" s="1026" t="str">
        <f t="shared" si="105"/>
        <v/>
      </c>
      <c r="J954" s="1376"/>
      <c r="K954" s="1376" t="str">
        <f t="shared" si="106"/>
        <v/>
      </c>
      <c r="L954" s="1089" t="s">
        <v>1481</v>
      </c>
      <c r="M954" s="1376">
        <v>937</v>
      </c>
      <c r="N954" s="1376"/>
      <c r="R954" s="1376" t="s">
        <v>397</v>
      </c>
    </row>
    <row r="955" spans="1:18" s="1370" customFormat="1" x14ac:dyDescent="0.25">
      <c r="A955" s="1278" t="s">
        <v>1588</v>
      </c>
      <c r="B955" s="1089" t="str">
        <f t="shared" ca="1" si="112"/>
        <v>P283</v>
      </c>
      <c r="C955" s="1089" t="str">
        <f t="shared" ca="1" si="113"/>
        <v>P284</v>
      </c>
      <c r="D955" s="1089" t="s">
        <v>1448</v>
      </c>
      <c r="E955" s="1089" t="s">
        <v>1618</v>
      </c>
      <c r="I955" s="1026" t="str">
        <f t="shared" si="105"/>
        <v>Qualifying Cycle</v>
      </c>
      <c r="J955" s="1376" t="str">
        <f t="shared" si="107"/>
        <v>938</v>
      </c>
      <c r="K955" s="1376" t="str">
        <f t="shared" si="106"/>
        <v>Incentives Worksheet</v>
      </c>
      <c r="L955" s="1089" t="s">
        <v>1588</v>
      </c>
      <c r="M955" s="1376">
        <v>938</v>
      </c>
      <c r="N955" s="1376"/>
      <c r="R955" s="1376" t="s">
        <v>397</v>
      </c>
    </row>
    <row r="956" spans="1:18" s="1370" customFormat="1" x14ac:dyDescent="0.25">
      <c r="A956" s="1278" t="s">
        <v>1589</v>
      </c>
      <c r="B956" s="1089" t="str">
        <f t="shared" ca="1" si="112"/>
        <v>R283</v>
      </c>
      <c r="C956" s="1089" t="str">
        <f t="shared" ca="1" si="113"/>
        <v>R284</v>
      </c>
      <c r="D956" s="1089" t="s">
        <v>1448</v>
      </c>
      <c r="E956" s="1089" t="s">
        <v>1618</v>
      </c>
      <c r="I956" s="1026" t="str">
        <f t="shared" si="105"/>
        <v>Incentive Calendar</v>
      </c>
      <c r="J956" s="1376" t="str">
        <f t="shared" si="107"/>
        <v>939</v>
      </c>
      <c r="K956" s="1376" t="str">
        <f t="shared" si="106"/>
        <v>Incentives Worksheet</v>
      </c>
      <c r="L956" s="1089" t="s">
        <v>1589</v>
      </c>
      <c r="M956" s="1376">
        <v>939</v>
      </c>
      <c r="N956" s="1376"/>
      <c r="R956" s="1376" t="s">
        <v>397</v>
      </c>
    </row>
    <row r="957" spans="1:18" s="1370" customFormat="1" x14ac:dyDescent="0.25">
      <c r="A957" s="1278" t="s">
        <v>1590</v>
      </c>
      <c r="B957" s="1089" t="str">
        <f t="shared" ca="1" si="112"/>
        <v>T283</v>
      </c>
      <c r="C957" s="1089" t="str">
        <f t="shared" ca="1" si="113"/>
        <v>T284</v>
      </c>
      <c r="D957" s="1089" t="s">
        <v>1448</v>
      </c>
      <c r="E957" s="1089" t="s">
        <v>1618</v>
      </c>
      <c r="I957" s="1026" t="str">
        <f t="shared" si="105"/>
        <v>Post to GL Payment Method Flag</v>
      </c>
      <c r="J957" s="1376" t="str">
        <f t="shared" si="107"/>
        <v>940</v>
      </c>
      <c r="K957" s="1376" t="str">
        <f t="shared" si="106"/>
        <v>Incentives Worksheet</v>
      </c>
      <c r="L957" s="1089" t="s">
        <v>1590</v>
      </c>
      <c r="M957" s="1376">
        <v>940</v>
      </c>
      <c r="N957" s="1376"/>
      <c r="R957" s="1376" t="s">
        <v>397</v>
      </c>
    </row>
    <row r="958" spans="1:18" s="1370" customFormat="1" x14ac:dyDescent="0.25">
      <c r="A958" s="1278" t="s">
        <v>1484</v>
      </c>
      <c r="B958" s="1089" t="str">
        <f ca="1">IFERROR(_xlfn.CONCAT("C",MATCH(A958,INDIRECT("'"&amp;E958&amp;"'!C"&amp;$O$949&amp;":C"&amp;$O$951),0)+$O$949-1),"")</f>
        <v>C287</v>
      </c>
      <c r="C958" s="1089" t="str">
        <f ca="1">IFERROR(_xlfn.CONCAT("D",MATCH(A958,INDIRECT("'"&amp;E958&amp;"'!C"&amp;$O$949&amp;":C"&amp;$O$951),0)+$O$949-1),"")</f>
        <v>D287</v>
      </c>
      <c r="D958" s="1089" t="s">
        <v>1448</v>
      </c>
      <c r="E958" s="1089" t="s">
        <v>1618</v>
      </c>
      <c r="I958" s="1026" t="str">
        <f t="shared" si="105"/>
        <v/>
      </c>
      <c r="J958" s="1376"/>
      <c r="K958" s="1376" t="str">
        <f t="shared" si="106"/>
        <v/>
      </c>
      <c r="L958" s="1089" t="s">
        <v>1484</v>
      </c>
      <c r="M958" s="1376">
        <v>941</v>
      </c>
      <c r="N958" s="1376"/>
      <c r="R958" s="1376" t="s">
        <v>397</v>
      </c>
    </row>
    <row r="959" spans="1:18" s="1370" customFormat="1" x14ac:dyDescent="0.25">
      <c r="A959" s="1278" t="s">
        <v>1485</v>
      </c>
      <c r="B959" s="1089" t="str">
        <f ca="1">IFERROR(_xlfn.CONCAT("C",MATCH(A959,INDIRECT("'"&amp;E959&amp;"'!C"&amp;$O$949&amp;":C"&amp;$O$951),0)+$O$949-1),"")</f>
        <v>C289</v>
      </c>
      <c r="C959" s="1089" t="str">
        <f ca="1">IFERROR(_xlfn.CONCAT("D",MATCH(A959,INDIRECT("'"&amp;E959&amp;"'!C"&amp;$O$949&amp;":C"&amp;$O$951),0)+$O$949-1),"")</f>
        <v>D289</v>
      </c>
      <c r="D959" s="1089" t="s">
        <v>1448</v>
      </c>
      <c r="E959" s="1089" t="s">
        <v>1618</v>
      </c>
      <c r="I959" s="1026" t="str">
        <f t="shared" si="105"/>
        <v/>
      </c>
      <c r="J959" s="1376"/>
      <c r="K959" s="1376" t="str">
        <f t="shared" si="106"/>
        <v/>
      </c>
      <c r="L959" s="1089" t="s">
        <v>1485</v>
      </c>
      <c r="M959" s="1376">
        <v>942</v>
      </c>
      <c r="N959" s="1376"/>
      <c r="R959" s="1376" t="s">
        <v>397</v>
      </c>
    </row>
    <row r="960" spans="1:18" s="1370" customFormat="1" ht="30" x14ac:dyDescent="0.25">
      <c r="A960" s="1299" t="s">
        <v>1597</v>
      </c>
      <c r="B960" s="1089" t="str">
        <f ca="1">IFERROR(_xlfn.CONCAT("C",MATCH(A960,INDIRECT("'"&amp;E960&amp;"'!C"&amp;$O$949&amp;":C"&amp;$O$951),0)+$O$949-1),"")</f>
        <v>C291</v>
      </c>
      <c r="C960" s="1089" t="str">
        <f ca="1">IFERROR(_xlfn.CONCAT("D",MATCH(A960,INDIRECT("'"&amp;E960&amp;"'!C"&amp;$O$949&amp;":C"&amp;$O$951),0)+$O$949-1),"")</f>
        <v>D291</v>
      </c>
      <c r="D960" s="1089" t="s">
        <v>1448</v>
      </c>
      <c r="E960" s="1089" t="s">
        <v>1618</v>
      </c>
      <c r="I960" s="1026" t="str">
        <f t="shared" si="105"/>
        <v>Incentive Dates Match Agreement Dates Flag</v>
      </c>
      <c r="J960" s="1376" t="str">
        <f t="shared" si="107"/>
        <v>943</v>
      </c>
      <c r="K960" s="1376" t="str">
        <f t="shared" si="106"/>
        <v>Incentives Worksheet</v>
      </c>
      <c r="L960" s="1090" t="s">
        <v>1597</v>
      </c>
      <c r="M960" s="1376">
        <v>943</v>
      </c>
      <c r="N960" s="1376"/>
      <c r="R960" s="1376" t="s">
        <v>397</v>
      </c>
    </row>
    <row r="961" spans="1:18" s="1370" customFormat="1" x14ac:dyDescent="0.25">
      <c r="A961" s="1278" t="s">
        <v>1594</v>
      </c>
      <c r="B961" s="1089" t="str">
        <f ca="1">_xlfn.CONCAT(IFERROR(SUBSTITUTE(ADDRESS(1,MATCH(A961,INDIRECT("'"&amp;E961&amp;"'"&amp;"!A" &amp; $O$949 + 8 &amp; ":Z" &amp; $O$949 + 8),0),4),1,""),""),$O$949 + 8)</f>
        <v>H289</v>
      </c>
      <c r="C961" s="1089" t="str">
        <f ca="1">_xlfn.CONCAT(IFERROR(SUBSTITUTE(ADDRESS(1,MATCH(A961,INDIRECT("'"&amp;E961&amp;"'"&amp;"!A" &amp; $O$949 + 8 &amp; ":Z" &amp; $O$949 + 8),0),4),1,""),""),$O$949 + 9)</f>
        <v>H290</v>
      </c>
      <c r="D961" s="1089" t="s">
        <v>1448</v>
      </c>
      <c r="E961" s="1089" t="s">
        <v>1618</v>
      </c>
      <c r="I961" s="1026" t="str">
        <f t="shared" si="105"/>
        <v>Include All Customers Flag</v>
      </c>
      <c r="J961" s="1376" t="str">
        <f t="shared" si="107"/>
        <v>944</v>
      </c>
      <c r="K961" s="1376" t="str">
        <f t="shared" si="106"/>
        <v>Incentives Worksheet</v>
      </c>
      <c r="L961" s="1089" t="s">
        <v>1594</v>
      </c>
      <c r="M961" s="1376">
        <v>944</v>
      </c>
      <c r="N961" s="1376"/>
      <c r="R961" s="1376" t="s">
        <v>397</v>
      </c>
    </row>
    <row r="962" spans="1:18" s="1370" customFormat="1" x14ac:dyDescent="0.25">
      <c r="A962" s="1278" t="s">
        <v>1608</v>
      </c>
      <c r="B962" s="1089" t="str">
        <f ca="1">_xlfn.CONCAT(IFERROR(SUBSTITUTE(ADDRESS(1,MATCH(A962,INDIRECT("'"&amp;E962&amp;"'"&amp;"!A" &amp; $O$949 + 8 &amp; ":Z" &amp; $O$949 + 8),0),4),1,""),""),$O$949 + 8)</f>
        <v>J289</v>
      </c>
      <c r="C962" s="1089" t="str">
        <f ca="1">_xlfn.CONCAT(IFERROR(SUBSTITUTE(ADDRESS(1,MATCH(A962,INDIRECT("'"&amp;E962&amp;"'"&amp;"!A" &amp; $O$949 + 8 &amp; ":Z" &amp; $O$949 + 8),0),4),1,""),""),$O$949 + 9)</f>
        <v>J290</v>
      </c>
      <c r="D962" s="1089" t="s">
        <v>1448</v>
      </c>
      <c r="E962" s="1089" t="s">
        <v>1618</v>
      </c>
      <c r="I962" s="1026" t="str">
        <f t="shared" si="105"/>
        <v>Customer Aggregation</v>
      </c>
      <c r="J962" s="1376" t="str">
        <f t="shared" si="107"/>
        <v>945</v>
      </c>
      <c r="K962" s="1376" t="str">
        <f t="shared" si="106"/>
        <v>Incentives Worksheet</v>
      </c>
      <c r="L962" s="1089" t="s">
        <v>1608</v>
      </c>
      <c r="M962" s="1376">
        <v>945</v>
      </c>
      <c r="N962" s="1376"/>
      <c r="R962" s="1376" t="s">
        <v>397</v>
      </c>
    </row>
    <row r="963" spans="1:18" s="1370" customFormat="1" x14ac:dyDescent="0.25">
      <c r="A963" s="1278" t="s">
        <v>1486</v>
      </c>
      <c r="B963" s="1089" t="str">
        <f ca="1">_xlfn.CONCAT(IFERROR(SUBSTITUTE(ADDRESS(1,MATCH(A963,INDIRECT("'"&amp;E963&amp;"'"&amp;"!A" &amp; $O$949 + 5 &amp; ":Z" &amp; $O$949 + 5),0),4),1,""),""),$O$949 + 5)</f>
        <v>H286</v>
      </c>
      <c r="C963" s="1089" t="str">
        <f ca="1">_xlfn.CONCAT(IFERROR(SUBSTITUTE(ADDRESS(1,MATCH(A963,INDIRECT("'"&amp;E963&amp;"'"&amp;"!A" &amp; $O$949 + 5 &amp; ":Z" &amp; $O$949 + 5),0),4),1,""),""),$O$949 + 6)</f>
        <v>H287</v>
      </c>
      <c r="D963" s="1089" t="s">
        <v>1448</v>
      </c>
      <c r="E963" s="1089" t="s">
        <v>1618</v>
      </c>
      <c r="I963" s="1026" t="str">
        <f t="shared" si="105"/>
        <v/>
      </c>
      <c r="J963" s="1376"/>
      <c r="K963" s="1376" t="str">
        <f t="shared" si="106"/>
        <v/>
      </c>
      <c r="L963" s="1089" t="s">
        <v>1486</v>
      </c>
      <c r="M963" s="1376">
        <v>946</v>
      </c>
      <c r="N963" s="1376"/>
      <c r="R963" s="1376" t="s">
        <v>397</v>
      </c>
    </row>
    <row r="964" spans="1:18" s="1370" customFormat="1" x14ac:dyDescent="0.25">
      <c r="A964" s="1278" t="s">
        <v>1487</v>
      </c>
      <c r="B964" s="1089" t="str">
        <f ca="1">_xlfn.CONCAT(IFERROR(SUBSTITUTE(ADDRESS(1,MATCH(A964,INDIRECT("'"&amp;E964&amp;"'"&amp;"!A" &amp; $O$949 + 5 &amp; ":Z" &amp; $O$949 + 5),0),4),1,""),""),$O$949 + 5)</f>
        <v>J286</v>
      </c>
      <c r="C964" s="1089" t="str">
        <f ca="1">_xlfn.CONCAT(IFERROR(SUBSTITUTE(ADDRESS(1,MATCH(A964,INDIRECT("'"&amp;E964&amp;"'"&amp;"!A" &amp; $O$949 + 5 &amp; ":Z" &amp; $O$949 + 5),0),4),1,""),""),$O$949 + 6)</f>
        <v>J287</v>
      </c>
      <c r="D964" s="1089" t="s">
        <v>1448</v>
      </c>
      <c r="E964" s="1089" t="s">
        <v>1618</v>
      </c>
      <c r="I964" s="1026" t="str">
        <f t="shared" ref="I964:I1027" si="114">IF(J964&lt;&gt;"",A964,"")</f>
        <v/>
      </c>
      <c r="J964" s="1376"/>
      <c r="K964" s="1376" t="str">
        <f t="shared" ref="K964:K1027" si="115">IF(J964&lt;&gt;"",E964,"")</f>
        <v/>
      </c>
      <c r="L964" s="1089" t="s">
        <v>1487</v>
      </c>
      <c r="M964" s="1376">
        <v>947</v>
      </c>
      <c r="N964" s="1376"/>
      <c r="R964" s="1376" t="s">
        <v>397</v>
      </c>
    </row>
    <row r="965" spans="1:18" s="1370" customFormat="1" x14ac:dyDescent="0.25">
      <c r="A965" s="1278" t="s">
        <v>1488</v>
      </c>
      <c r="B965" s="1089" t="str">
        <f ca="1">_xlfn.CONCAT(IFERROR(SUBSTITUTE(ADDRESS(1,MATCH(A965,INDIRECT("'"&amp;E965&amp;"'"&amp;"!A" &amp; $O$949 + 5 &amp; ":Z" &amp; $O$949 + 5),0),4),1,""),""),$O$949 + 5)</f>
        <v>L286</v>
      </c>
      <c r="C965" s="1089" t="str">
        <f ca="1">_xlfn.CONCAT(IFERROR(SUBSTITUTE(ADDRESS(1,MATCH(A965,INDIRECT("'"&amp;E965&amp;"'"&amp;"!A" &amp; $O$949 + 5 &amp; ":Z" &amp; $O$949 + 5),0),4),1,""),""),$O$949 + 6)</f>
        <v>L287</v>
      </c>
      <c r="D965" s="1089" t="s">
        <v>1448</v>
      </c>
      <c r="E965" s="1089" t="s">
        <v>1618</v>
      </c>
      <c r="I965" s="1026" t="str">
        <f t="shared" si="114"/>
        <v/>
      </c>
      <c r="J965" s="1376"/>
      <c r="K965" s="1376" t="str">
        <f t="shared" si="115"/>
        <v/>
      </c>
      <c r="L965" s="1089" t="s">
        <v>1488</v>
      </c>
      <c r="M965" s="1376">
        <v>948</v>
      </c>
      <c r="N965" s="1376"/>
      <c r="R965" s="1376" t="s">
        <v>397</v>
      </c>
    </row>
    <row r="966" spans="1:18" s="1370" customFormat="1" x14ac:dyDescent="0.25">
      <c r="A966" s="1278" t="s">
        <v>1610</v>
      </c>
      <c r="B966" s="1089" t="str">
        <f ca="1">_xlfn.CONCAT(IFERROR(SUBSTITUTE(ADDRESS(1,MATCH(A966,INDIRECT("'"&amp;E966&amp;"'"&amp;"!A" &amp; $O$949 + 8 &amp; ":Z" &amp; $O$949 + 8),0),4),1,""),""),$O$949 + 8)</f>
        <v>P289</v>
      </c>
      <c r="C966" s="1089" t="str">
        <f ca="1">_xlfn.CONCAT(IFERROR(SUBSTITUTE(ADDRESS(1,MATCH(A966,INDIRECT("'"&amp;E966&amp;"'"&amp;"!A" &amp; $O$949 + 8 &amp; ":Z" &amp; $O$949 + 8),0),4),1,""),""),$O$949 + 9)</f>
        <v>P290</v>
      </c>
      <c r="D966" s="1089" t="s">
        <v>1448</v>
      </c>
      <c r="E966" s="1089" t="s">
        <v>1618</v>
      </c>
      <c r="I966" s="1026" t="str">
        <f t="shared" si="114"/>
        <v>Weekly Threshold Flag</v>
      </c>
      <c r="J966" s="1376" t="str">
        <f t="shared" ref="J966:J1024" si="116">IF(M966&lt;&gt;"",Q$1&amp;M966,"")</f>
        <v>949</v>
      </c>
      <c r="K966" s="1376" t="str">
        <f t="shared" si="115"/>
        <v>Incentives Worksheet</v>
      </c>
      <c r="L966" s="1089" t="s">
        <v>1610</v>
      </c>
      <c r="M966" s="1376">
        <v>949</v>
      </c>
      <c r="N966" s="1376"/>
      <c r="R966" s="1376" t="s">
        <v>397</v>
      </c>
    </row>
    <row r="967" spans="1:18" s="1370" customFormat="1" x14ac:dyDescent="0.25">
      <c r="A967" s="1302" t="s">
        <v>1593</v>
      </c>
      <c r="B967" s="1089" t="str">
        <f ca="1">IFERROR(_xlfn.CONCAT("C",MATCH(A967,INDIRECT("'"&amp;E967&amp;"'!C"&amp;$O$968&amp;":C"&amp;$O$970),0)+$O$968-1),"")</f>
        <v>C299</v>
      </c>
      <c r="C967" s="1089" t="str">
        <f ca="1">IFERROR(_xlfn.CONCAT("D",MATCH(A967,INDIRECT("'"&amp;E967&amp;"'!C"&amp;$O$968&amp;":C"&amp;$O$970),0)+$O$968-1),"")</f>
        <v>D299</v>
      </c>
      <c r="D967" s="1089" t="s">
        <v>1448</v>
      </c>
      <c r="E967" s="1089" t="s">
        <v>1618</v>
      </c>
      <c r="I967" s="1026" t="str">
        <f t="shared" si="114"/>
        <v/>
      </c>
      <c r="J967" s="1376"/>
      <c r="K967" s="1376" t="str">
        <f t="shared" si="115"/>
        <v/>
      </c>
      <c r="L967" s="1089" t="s">
        <v>1593</v>
      </c>
      <c r="M967" s="1376">
        <v>950</v>
      </c>
      <c r="N967" s="1376"/>
      <c r="O967" s="1370" t="s">
        <v>742</v>
      </c>
      <c r="R967" s="1376" t="s">
        <v>397</v>
      </c>
    </row>
    <row r="968" spans="1:18" s="1370" customFormat="1" x14ac:dyDescent="0.25">
      <c r="A968" s="1302" t="s">
        <v>1809</v>
      </c>
      <c r="B968" s="1089" t="str">
        <f ca="1">_xlfn.CONCAT(IFERROR(SUBSTITUTE(ADDRESS(1,MATCH(A968,INDIRECT("'"&amp;E968&amp;"'"&amp;"!A" &amp; $O$968 + 11 &amp; ":Z" &amp; $O$968 + 11),0),4),1,""),""),$O$968 + 11)</f>
        <v>T306</v>
      </c>
      <c r="C968" s="1089" t="str">
        <f ca="1">_xlfn.CONCAT(IFERROR(SUBSTITUTE(ADDRESS(1,MATCH(A968,INDIRECT("'"&amp;E968&amp;"'"&amp;"!A" &amp; $O$968 + 11 &amp; ":Z" &amp; $O$968 + 11),0),4),1,""),""),$O$968 + 12)</f>
        <v>T307</v>
      </c>
      <c r="D968" s="1089" t="s">
        <v>1448</v>
      </c>
      <c r="E968" s="1089" t="s">
        <v>1618</v>
      </c>
      <c r="I968" s="1026" t="str">
        <f t="shared" si="114"/>
        <v/>
      </c>
      <c r="J968" s="1376"/>
      <c r="K968" s="1376" t="str">
        <f t="shared" si="115"/>
        <v/>
      </c>
      <c r="L968" s="1089" t="s">
        <v>1809</v>
      </c>
      <c r="M968" s="1376">
        <v>951</v>
      </c>
      <c r="N968" s="1376"/>
      <c r="O968" s="1370">
        <f>'Configurable Tab'!H23</f>
        <v>295</v>
      </c>
      <c r="Q968" s="1370" t="s">
        <v>653</v>
      </c>
      <c r="R968" s="1376" t="s">
        <v>397</v>
      </c>
    </row>
    <row r="969" spans="1:18" s="1370" customFormat="1" x14ac:dyDescent="0.25">
      <c r="A969" s="1302" t="s">
        <v>1482</v>
      </c>
      <c r="B969" s="1089" t="str">
        <f ca="1">IFERROR(_xlfn.CONCAT("C",MATCH(A969,INDIRECT("'"&amp;E969&amp;"'!C"&amp;$O$968&amp;":C"&amp;$O$970),0)+$O$968-1),"")</f>
        <v>C297</v>
      </c>
      <c r="C969" s="1089" t="str">
        <f ca="1">IFERROR(_xlfn.CONCAT("D",MATCH(A969,INDIRECT("'"&amp;E969&amp;"'!C"&amp;$O$968&amp;":C"&amp;$O$970),0)+$O$968-1),"")</f>
        <v>D297</v>
      </c>
      <c r="D969" s="1089" t="s">
        <v>1448</v>
      </c>
      <c r="E969" s="1089" t="s">
        <v>1618</v>
      </c>
      <c r="I969" s="1026" t="str">
        <f t="shared" si="114"/>
        <v/>
      </c>
      <c r="J969" s="1376"/>
      <c r="K969" s="1376" t="str">
        <f t="shared" si="115"/>
        <v/>
      </c>
      <c r="L969" s="1089" t="s">
        <v>1482</v>
      </c>
      <c r="M969" s="1376">
        <v>952</v>
      </c>
      <c r="N969" s="1376"/>
      <c r="O969" s="1370" t="s">
        <v>743</v>
      </c>
      <c r="R969" s="1376" t="s">
        <v>397</v>
      </c>
    </row>
    <row r="970" spans="1:18" s="1370" customFormat="1" x14ac:dyDescent="0.25">
      <c r="A970" s="1302" t="s">
        <v>1479</v>
      </c>
      <c r="B970" s="1089" t="str">
        <f t="shared" ref="B970:B976" ca="1" si="117">_xlfn.CONCAT(IFERROR(SUBSTITUTE(ADDRESS(1,MATCH(A970,INDIRECT("'"&amp;E970&amp;"'"&amp;"!A" &amp; $O$968 + 2 &amp; ":Z" &amp; $O$968 + 2),0),4),1,""),""),$O$968 + 2)</f>
        <v>H297</v>
      </c>
      <c r="C970" s="1089" t="str">
        <f t="shared" ref="C970:C976" ca="1" si="118">_xlfn.CONCAT(IFERROR(SUBSTITUTE(ADDRESS(1,MATCH(A970,INDIRECT("'"&amp;E970&amp;"'"&amp;"!A" &amp; $O$968 + 2 &amp; ":Z" &amp; $O$968 + 2),0),4),1,""),""),$O$968 + 3)</f>
        <v>H298</v>
      </c>
      <c r="D970" s="1089" t="s">
        <v>1448</v>
      </c>
      <c r="E970" s="1089" t="s">
        <v>1618</v>
      </c>
      <c r="I970" s="1026" t="str">
        <f t="shared" si="114"/>
        <v/>
      </c>
      <c r="J970" s="1376"/>
      <c r="K970" s="1376" t="str">
        <f t="shared" si="115"/>
        <v/>
      </c>
      <c r="L970" s="1089" t="s">
        <v>1479</v>
      </c>
      <c r="M970" s="1376">
        <v>953</v>
      </c>
      <c r="N970" s="1376"/>
      <c r="O970" s="1370">
        <f>'Configurable Tab'!I23</f>
        <v>308</v>
      </c>
      <c r="R970" s="1376" t="s">
        <v>397</v>
      </c>
    </row>
    <row r="971" spans="1:18" s="1370" customFormat="1" x14ac:dyDescent="0.25">
      <c r="A971" s="1302" t="s">
        <v>1480</v>
      </c>
      <c r="B971" s="1089" t="str">
        <f t="shared" ca="1" si="117"/>
        <v>J297</v>
      </c>
      <c r="C971" s="1089" t="str">
        <f t="shared" ca="1" si="118"/>
        <v>J298</v>
      </c>
      <c r="D971" s="1089" t="s">
        <v>1448</v>
      </c>
      <c r="E971" s="1089" t="s">
        <v>1618</v>
      </c>
      <c r="I971" s="1026" t="str">
        <f t="shared" si="114"/>
        <v/>
      </c>
      <c r="J971" s="1376"/>
      <c r="K971" s="1376" t="str">
        <f t="shared" si="115"/>
        <v/>
      </c>
      <c r="L971" s="1089" t="s">
        <v>1480</v>
      </c>
      <c r="M971" s="1376">
        <v>954</v>
      </c>
      <c r="N971" s="1376"/>
      <c r="O971" s="1370" t="s">
        <v>1813</v>
      </c>
      <c r="R971" s="1376" t="s">
        <v>397</v>
      </c>
    </row>
    <row r="972" spans="1:18" s="1370" customFormat="1" x14ac:dyDescent="0.25">
      <c r="A972" s="1302" t="s">
        <v>1496</v>
      </c>
      <c r="B972" s="1089" t="str">
        <f t="shared" ca="1" si="117"/>
        <v>L297</v>
      </c>
      <c r="C972" s="1089" t="str">
        <f t="shared" ca="1" si="118"/>
        <v>L298</v>
      </c>
      <c r="D972" s="1089" t="s">
        <v>1448</v>
      </c>
      <c r="E972" s="1089" t="s">
        <v>1618</v>
      </c>
      <c r="I972" s="1026" t="str">
        <f t="shared" si="114"/>
        <v/>
      </c>
      <c r="J972" s="1376"/>
      <c r="K972" s="1376" t="str">
        <f t="shared" si="115"/>
        <v/>
      </c>
      <c r="L972" s="1089" t="s">
        <v>1496</v>
      </c>
      <c r="M972" s="1376">
        <v>955</v>
      </c>
      <c r="N972" s="1376"/>
      <c r="R972" s="1376" t="s">
        <v>397</v>
      </c>
    </row>
    <row r="973" spans="1:18" s="1370" customFormat="1" x14ac:dyDescent="0.25">
      <c r="A973" s="1302" t="s">
        <v>1481</v>
      </c>
      <c r="B973" s="1089" t="str">
        <f t="shared" ca="1" si="117"/>
        <v>N297</v>
      </c>
      <c r="C973" s="1089" t="str">
        <f t="shared" ca="1" si="118"/>
        <v>N298</v>
      </c>
      <c r="D973" s="1089" t="s">
        <v>1448</v>
      </c>
      <c r="E973" s="1089" t="s">
        <v>1618</v>
      </c>
      <c r="I973" s="1026" t="str">
        <f t="shared" si="114"/>
        <v/>
      </c>
      <c r="J973" s="1376"/>
      <c r="K973" s="1376" t="str">
        <f t="shared" si="115"/>
        <v/>
      </c>
      <c r="L973" s="1089" t="s">
        <v>1481</v>
      </c>
      <c r="M973" s="1376">
        <v>956</v>
      </c>
      <c r="N973" s="1376"/>
      <c r="R973" s="1376" t="s">
        <v>397</v>
      </c>
    </row>
    <row r="974" spans="1:18" s="1370" customFormat="1" x14ac:dyDescent="0.25">
      <c r="A974" s="1302" t="s">
        <v>1588</v>
      </c>
      <c r="B974" s="1089" t="str">
        <f t="shared" ca="1" si="117"/>
        <v>P297</v>
      </c>
      <c r="C974" s="1089" t="str">
        <f t="shared" ca="1" si="118"/>
        <v>P298</v>
      </c>
      <c r="D974" s="1089" t="s">
        <v>1448</v>
      </c>
      <c r="E974" s="1089" t="s">
        <v>1618</v>
      </c>
      <c r="I974" s="1026" t="str">
        <f t="shared" si="114"/>
        <v>Qualifying Cycle</v>
      </c>
      <c r="J974" s="1376" t="str">
        <f t="shared" si="116"/>
        <v>957</v>
      </c>
      <c r="K974" s="1376" t="str">
        <f t="shared" si="115"/>
        <v>Incentives Worksheet</v>
      </c>
      <c r="L974" s="1089" t="s">
        <v>1588</v>
      </c>
      <c r="M974" s="1376">
        <v>957</v>
      </c>
      <c r="N974" s="1376"/>
      <c r="R974" s="1376" t="s">
        <v>397</v>
      </c>
    </row>
    <row r="975" spans="1:18" s="1370" customFormat="1" x14ac:dyDescent="0.25">
      <c r="A975" s="1302" t="s">
        <v>1589</v>
      </c>
      <c r="B975" s="1089" t="str">
        <f t="shared" ca="1" si="117"/>
        <v>R297</v>
      </c>
      <c r="C975" s="1089" t="str">
        <f t="shared" ca="1" si="118"/>
        <v>R298</v>
      </c>
      <c r="D975" s="1089" t="s">
        <v>1448</v>
      </c>
      <c r="E975" s="1089" t="s">
        <v>1618</v>
      </c>
      <c r="I975" s="1026" t="str">
        <f t="shared" si="114"/>
        <v>Incentive Calendar</v>
      </c>
      <c r="J975" s="1376" t="str">
        <f t="shared" si="116"/>
        <v>958</v>
      </c>
      <c r="K975" s="1376" t="str">
        <f t="shared" si="115"/>
        <v>Incentives Worksheet</v>
      </c>
      <c r="L975" s="1089" t="s">
        <v>1589</v>
      </c>
      <c r="M975" s="1376">
        <v>958</v>
      </c>
      <c r="N975" s="1376"/>
      <c r="R975" s="1376" t="s">
        <v>397</v>
      </c>
    </row>
    <row r="976" spans="1:18" s="1370" customFormat="1" x14ac:dyDescent="0.25">
      <c r="A976" s="1302" t="s">
        <v>1590</v>
      </c>
      <c r="B976" s="1089" t="str">
        <f t="shared" ca="1" si="117"/>
        <v>T297</v>
      </c>
      <c r="C976" s="1089" t="str">
        <f t="shared" ca="1" si="118"/>
        <v>T298</v>
      </c>
      <c r="D976" s="1089" t="s">
        <v>1448</v>
      </c>
      <c r="E976" s="1089" t="s">
        <v>1618</v>
      </c>
      <c r="I976" s="1026" t="str">
        <f t="shared" si="114"/>
        <v>Post to GL Payment Method Flag</v>
      </c>
      <c r="J976" s="1376" t="str">
        <f t="shared" si="116"/>
        <v>959</v>
      </c>
      <c r="K976" s="1376" t="str">
        <f t="shared" si="115"/>
        <v>Incentives Worksheet</v>
      </c>
      <c r="L976" s="1089" t="s">
        <v>1590</v>
      </c>
      <c r="M976" s="1376">
        <v>959</v>
      </c>
      <c r="N976" s="1376"/>
      <c r="R976" s="1376" t="s">
        <v>397</v>
      </c>
    </row>
    <row r="977" spans="1:18" s="1370" customFormat="1" x14ac:dyDescent="0.25">
      <c r="A977" s="1302" t="s">
        <v>1484</v>
      </c>
      <c r="B977" s="1089" t="str">
        <f ca="1">IFERROR(_xlfn.CONCAT("C",MATCH(A977,INDIRECT("'"&amp;E977&amp;"'!C"&amp;$O$968&amp;":C"&amp;$O$970),0)+$O$968-1),"")</f>
        <v>C301</v>
      </c>
      <c r="C977" s="1089" t="str">
        <f ca="1">IFERROR(_xlfn.CONCAT("D",MATCH(A977,INDIRECT("'"&amp;E977&amp;"'!C"&amp;$O$968&amp;":C"&amp;$O$970),0)+$O$968-1),"")</f>
        <v>D301</v>
      </c>
      <c r="D977" s="1089" t="s">
        <v>1448</v>
      </c>
      <c r="E977" s="1089" t="s">
        <v>1618</v>
      </c>
      <c r="I977" s="1026" t="str">
        <f t="shared" si="114"/>
        <v/>
      </c>
      <c r="J977" s="1376"/>
      <c r="K977" s="1376" t="str">
        <f t="shared" si="115"/>
        <v/>
      </c>
      <c r="L977" s="1089" t="s">
        <v>1484</v>
      </c>
      <c r="M977" s="1376">
        <v>960</v>
      </c>
      <c r="N977" s="1376"/>
      <c r="R977" s="1376" t="s">
        <v>397</v>
      </c>
    </row>
    <row r="978" spans="1:18" s="1370" customFormat="1" x14ac:dyDescent="0.25">
      <c r="A978" s="1302" t="s">
        <v>1485</v>
      </c>
      <c r="B978" s="1089" t="str">
        <f ca="1">IFERROR(_xlfn.CONCAT("C",MATCH(A978,INDIRECT("'"&amp;E978&amp;"'!C"&amp;$O$968&amp;":C"&amp;$O$970),0)+$O$968-1),"")</f>
        <v>C303</v>
      </c>
      <c r="C978" s="1089" t="str">
        <f ca="1">IFERROR(_xlfn.CONCAT("D",MATCH(A978,INDIRECT("'"&amp;E978&amp;"'!C"&amp;$O$968&amp;":C"&amp;$O$970),0)+$O$968-1),"")</f>
        <v>D303</v>
      </c>
      <c r="D978" s="1089" t="s">
        <v>1448</v>
      </c>
      <c r="E978" s="1089" t="s">
        <v>1618</v>
      </c>
      <c r="I978" s="1026" t="str">
        <f t="shared" si="114"/>
        <v/>
      </c>
      <c r="J978" s="1376"/>
      <c r="K978" s="1376" t="str">
        <f t="shared" si="115"/>
        <v/>
      </c>
      <c r="L978" s="1089" t="s">
        <v>1485</v>
      </c>
      <c r="M978" s="1376">
        <v>961</v>
      </c>
      <c r="N978" s="1376"/>
      <c r="R978" s="1376" t="s">
        <v>397</v>
      </c>
    </row>
    <row r="979" spans="1:18" s="1370" customFormat="1" ht="30" x14ac:dyDescent="0.25">
      <c r="A979" s="1302" t="s">
        <v>1597</v>
      </c>
      <c r="B979" s="1089" t="str">
        <f ca="1">IFERROR(_xlfn.CONCAT("C",MATCH(A979,INDIRECT("'"&amp;E979&amp;"'!C"&amp;$O$968&amp;":C"&amp;$O$970),0)+$O$968-1),"")</f>
        <v>C305</v>
      </c>
      <c r="C979" s="1089" t="str">
        <f ca="1">IFERROR(_xlfn.CONCAT("D",MATCH(A979,INDIRECT("'"&amp;E979&amp;"'!C"&amp;$O$968&amp;":C"&amp;$O$970),0)+$O$968-1),"")</f>
        <v>D305</v>
      </c>
      <c r="D979" s="1089" t="s">
        <v>1448</v>
      </c>
      <c r="E979" s="1089" t="s">
        <v>1618</v>
      </c>
      <c r="I979" s="1026" t="str">
        <f t="shared" si="114"/>
        <v>Incentive Dates Match Agreement Dates Flag</v>
      </c>
      <c r="J979" s="1376" t="str">
        <f t="shared" si="116"/>
        <v>962</v>
      </c>
      <c r="K979" s="1376" t="str">
        <f t="shared" si="115"/>
        <v>Incentives Worksheet</v>
      </c>
      <c r="L979" s="1089" t="s">
        <v>1597</v>
      </c>
      <c r="M979" s="1376">
        <v>962</v>
      </c>
      <c r="N979" s="1376"/>
      <c r="R979" s="1376" t="s">
        <v>397</v>
      </c>
    </row>
    <row r="980" spans="1:18" s="1370" customFormat="1" x14ac:dyDescent="0.25">
      <c r="A980" s="1302" t="s">
        <v>1594</v>
      </c>
      <c r="B980" s="1089" t="str">
        <f ca="1">_xlfn.CONCAT(IFERROR(SUBSTITUTE(ADDRESS(1,MATCH(A980,INDIRECT("'"&amp;E980&amp;"'"&amp;"!A" &amp; $O$968 + 8 &amp; ":Z" &amp; $O$968 + 8),0),4),1,""),""),$O$968 + 8)</f>
        <v>H303</v>
      </c>
      <c r="C980" s="1089" t="str">
        <f ca="1">_xlfn.CONCAT(IFERROR(SUBSTITUTE(ADDRESS(1,MATCH(A980,INDIRECT("'"&amp;E980&amp;"'"&amp;"!A" &amp; $O$968 + 8 &amp; ":Z" &amp; $O$968 + 8),0),4),1,""),""),$O$968 + 9)</f>
        <v>H304</v>
      </c>
      <c r="D980" s="1089" t="s">
        <v>1448</v>
      </c>
      <c r="E980" s="1089" t="s">
        <v>1618</v>
      </c>
      <c r="I980" s="1026" t="str">
        <f t="shared" si="114"/>
        <v>Include All Customers Flag</v>
      </c>
      <c r="J980" s="1376" t="str">
        <f t="shared" si="116"/>
        <v>963</v>
      </c>
      <c r="K980" s="1376" t="str">
        <f t="shared" si="115"/>
        <v>Incentives Worksheet</v>
      </c>
      <c r="L980" s="1089" t="s">
        <v>1594</v>
      </c>
      <c r="M980" s="1376">
        <v>963</v>
      </c>
      <c r="N980" s="1376"/>
      <c r="R980" s="1376" t="s">
        <v>397</v>
      </c>
    </row>
    <row r="981" spans="1:18" s="1370" customFormat="1" x14ac:dyDescent="0.25">
      <c r="A981" s="1302" t="s">
        <v>1608</v>
      </c>
      <c r="B981" s="1089" t="str">
        <f ca="1">_xlfn.CONCAT(IFERROR(SUBSTITUTE(ADDRESS(1,MATCH(A981,INDIRECT("'"&amp;E981&amp;"'"&amp;"!A" &amp; $O$968 + 8 &amp; ":Z" &amp; $O$968 + 8),0),4),1,""),""),$O$968 + 8)</f>
        <v>J303</v>
      </c>
      <c r="C981" s="1089" t="str">
        <f ca="1">_xlfn.CONCAT(IFERROR(SUBSTITUTE(ADDRESS(1,MATCH(A981,INDIRECT("'"&amp;E981&amp;"'"&amp;"!A" &amp; $O$968 + 8 &amp; ":Z" &amp; $O$968 + 8),0),4),1,""),""),$O$968 + 9)</f>
        <v>J304</v>
      </c>
      <c r="D981" s="1089" t="s">
        <v>1448</v>
      </c>
      <c r="E981" s="1089" t="s">
        <v>1618</v>
      </c>
      <c r="I981" s="1026" t="str">
        <f t="shared" si="114"/>
        <v>Customer Aggregation</v>
      </c>
      <c r="J981" s="1376" t="str">
        <f t="shared" si="116"/>
        <v>964</v>
      </c>
      <c r="K981" s="1376" t="str">
        <f t="shared" si="115"/>
        <v>Incentives Worksheet</v>
      </c>
      <c r="L981" s="1089" t="s">
        <v>1608</v>
      </c>
      <c r="M981" s="1376">
        <v>964</v>
      </c>
      <c r="N981" s="1376"/>
      <c r="R981" s="1376" t="s">
        <v>397</v>
      </c>
    </row>
    <row r="982" spans="1:18" s="1370" customFormat="1" x14ac:dyDescent="0.25">
      <c r="A982" s="1302" t="s">
        <v>1486</v>
      </c>
      <c r="B982" s="1089" t="str">
        <f ca="1">_xlfn.CONCAT(IFERROR(SUBSTITUTE(ADDRESS(1,MATCH(A982,INDIRECT("'"&amp;E982&amp;"'"&amp;"!A" &amp; $O$968 + 5 &amp; ":Z" &amp; $O$968 + 5),0),4),1,""),""),$O$968 + 5)</f>
        <v>H300</v>
      </c>
      <c r="C982" s="1089" t="str">
        <f ca="1">_xlfn.CONCAT(IFERROR(SUBSTITUTE(ADDRESS(1,MATCH(A982,INDIRECT("'"&amp;E982&amp;"'"&amp;"!A" &amp; $O$968 + 5 &amp; ":Z" &amp; $O$968 + 5),0),4),1,""),""),$O$968 + 6)</f>
        <v>H301</v>
      </c>
      <c r="D982" s="1089" t="s">
        <v>1448</v>
      </c>
      <c r="E982" s="1089" t="s">
        <v>1618</v>
      </c>
      <c r="I982" s="1026" t="str">
        <f t="shared" si="114"/>
        <v/>
      </c>
      <c r="J982" s="1376"/>
      <c r="K982" s="1376" t="str">
        <f t="shared" si="115"/>
        <v/>
      </c>
      <c r="L982" s="1089" t="s">
        <v>1486</v>
      </c>
      <c r="M982" s="1376">
        <v>965</v>
      </c>
      <c r="N982" s="1376"/>
      <c r="R982" s="1376" t="s">
        <v>397</v>
      </c>
    </row>
    <row r="983" spans="1:18" s="1370" customFormat="1" x14ac:dyDescent="0.25">
      <c r="A983" s="1302" t="s">
        <v>1487</v>
      </c>
      <c r="B983" s="1089" t="str">
        <f ca="1">_xlfn.CONCAT(IFERROR(SUBSTITUTE(ADDRESS(1,MATCH(A983,INDIRECT("'"&amp;E983&amp;"'"&amp;"!A" &amp; $O$968 + 5 &amp; ":Z" &amp; $O$968 + 5),0),4),1,""),""),$O$968 + 5)</f>
        <v>J300</v>
      </c>
      <c r="C983" s="1089" t="str">
        <f ca="1">_xlfn.CONCAT(IFERROR(SUBSTITUTE(ADDRESS(1,MATCH(A983,INDIRECT("'"&amp;E983&amp;"'"&amp;"!A" &amp; $O$968 + 5 &amp; ":Z" &amp; $O$968 + 5),0),4),1,""),""),$O$968 + 6)</f>
        <v>J301</v>
      </c>
      <c r="D983" s="1089" t="s">
        <v>1448</v>
      </c>
      <c r="E983" s="1089" t="s">
        <v>1618</v>
      </c>
      <c r="I983" s="1026" t="str">
        <f t="shared" si="114"/>
        <v/>
      </c>
      <c r="J983" s="1376"/>
      <c r="K983" s="1376" t="str">
        <f t="shared" si="115"/>
        <v/>
      </c>
      <c r="L983" s="1089" t="s">
        <v>1487</v>
      </c>
      <c r="M983" s="1376">
        <v>966</v>
      </c>
      <c r="N983" s="1376"/>
      <c r="R983" s="1376" t="s">
        <v>397</v>
      </c>
    </row>
    <row r="984" spans="1:18" s="1370" customFormat="1" x14ac:dyDescent="0.25">
      <c r="A984" s="1302" t="s">
        <v>1488</v>
      </c>
      <c r="B984" s="1089" t="str">
        <f ca="1">_xlfn.CONCAT(IFERROR(SUBSTITUTE(ADDRESS(1,MATCH(A984,INDIRECT("'"&amp;E984&amp;"'"&amp;"!A" &amp; $O$968 + 5 &amp; ":Z" &amp; $O$968 + 5),0),4),1,""),""),$O$968 + 5)</f>
        <v>L300</v>
      </c>
      <c r="C984" s="1089" t="str">
        <f ca="1">_xlfn.CONCAT(IFERROR(SUBSTITUTE(ADDRESS(1,MATCH(A984,INDIRECT("'"&amp;E984&amp;"'"&amp;"!A" &amp; $O$968 + 5 &amp; ":Z" &amp; $O$968 + 5),0),4),1,""),""),$O$968 + 6)</f>
        <v>L301</v>
      </c>
      <c r="D984" s="1089" t="s">
        <v>1448</v>
      </c>
      <c r="E984" s="1089" t="s">
        <v>1618</v>
      </c>
      <c r="I984" s="1026" t="str">
        <f t="shared" si="114"/>
        <v/>
      </c>
      <c r="J984" s="1376"/>
      <c r="K984" s="1376" t="str">
        <f t="shared" si="115"/>
        <v/>
      </c>
      <c r="L984" s="1089" t="s">
        <v>1488</v>
      </c>
      <c r="M984" s="1376">
        <v>967</v>
      </c>
      <c r="N984" s="1376"/>
      <c r="R984" s="1376" t="s">
        <v>397</v>
      </c>
    </row>
    <row r="985" spans="1:18" s="1370" customFormat="1" x14ac:dyDescent="0.25">
      <c r="A985" s="1302" t="s">
        <v>1610</v>
      </c>
      <c r="B985" s="1089" t="str">
        <f ca="1">_xlfn.CONCAT(IFERROR(SUBSTITUTE(ADDRESS(1,MATCH(A985,INDIRECT("'"&amp;E985&amp;"'"&amp;"!A" &amp; $O$968 + 8 &amp; ":Z" &amp; $O$968 + 8),0),4),1,""),""),$O$968 + 8)</f>
        <v>P303</v>
      </c>
      <c r="C985" s="1089" t="str">
        <f ca="1">_xlfn.CONCAT(IFERROR(SUBSTITUTE(ADDRESS(1,MATCH(A985,INDIRECT("'"&amp;E985&amp;"'"&amp;"!A" &amp; $O$968 + 8 &amp; ":Z" &amp; $O$968 + 8),0),4),1,""),""),$O$968 + 9)</f>
        <v>P304</v>
      </c>
      <c r="D985" s="1089" t="s">
        <v>1448</v>
      </c>
      <c r="E985" s="1089" t="s">
        <v>1618</v>
      </c>
      <c r="I985" s="1026" t="str">
        <f t="shared" si="114"/>
        <v>Weekly Threshold Flag</v>
      </c>
      <c r="J985" s="1376" t="str">
        <f t="shared" si="116"/>
        <v>968</v>
      </c>
      <c r="K985" s="1376" t="str">
        <f t="shared" si="115"/>
        <v>Incentives Worksheet</v>
      </c>
      <c r="L985" s="1089" t="s">
        <v>1610</v>
      </c>
      <c r="M985" s="1376">
        <v>968</v>
      </c>
      <c r="N985" s="1376"/>
      <c r="R985" s="1376" t="s">
        <v>397</v>
      </c>
    </row>
    <row r="986" spans="1:18" s="1370" customFormat="1" x14ac:dyDescent="0.25">
      <c r="A986" s="1121" t="s">
        <v>1593</v>
      </c>
      <c r="B986" s="1089" t="str">
        <f ca="1">IFERROR(_xlfn.CONCAT("C",MATCH(A986,INDIRECT("'"&amp;E986&amp;"'!C"&amp;$O$987&amp;":C"&amp;$O$989),0)+$O$987-1),"")</f>
        <v>C313</v>
      </c>
      <c r="C986" s="1089" t="str">
        <f ca="1">IFERROR(_xlfn.CONCAT("D",MATCH(A986,INDIRECT("'"&amp;E986&amp;"'!C"&amp;$O$987&amp;":C"&amp;$O$989),0)+$O$987-1),"")</f>
        <v>D313</v>
      </c>
      <c r="D986" s="1089" t="s">
        <v>1448</v>
      </c>
      <c r="E986" s="1089" t="s">
        <v>1618</v>
      </c>
      <c r="I986" s="1026" t="str">
        <f t="shared" si="114"/>
        <v/>
      </c>
      <c r="J986" s="1376"/>
      <c r="K986" s="1376" t="str">
        <f t="shared" si="115"/>
        <v/>
      </c>
      <c r="L986" s="1089" t="s">
        <v>1593</v>
      </c>
      <c r="M986" s="1376">
        <v>969</v>
      </c>
      <c r="N986" s="1376"/>
      <c r="O986" s="1370" t="s">
        <v>742</v>
      </c>
      <c r="R986" s="1376" t="s">
        <v>1800</v>
      </c>
    </row>
    <row r="987" spans="1:18" s="1370" customFormat="1" x14ac:dyDescent="0.25">
      <c r="A987" s="1121" t="s">
        <v>1809</v>
      </c>
      <c r="B987" s="1089" t="str">
        <f ca="1">_xlfn.CONCAT(IFERROR(SUBSTITUTE(ADDRESS(1,MATCH(A987,INDIRECT("'"&amp;E987&amp;"'"&amp;"!A" &amp; $O$987 + 11 &amp; ":Z" &amp; $O$987 + 11),0),4),1,""),""),$O$987 + 11)</f>
        <v>T320</v>
      </c>
      <c r="C987" s="1089" t="str">
        <f ca="1">_xlfn.CONCAT(IFERROR(SUBSTITUTE(ADDRESS(1,MATCH(A987,INDIRECT("'"&amp;E987&amp;"'"&amp;"!A" &amp; $O$987 + 11 &amp; ":Z" &amp; $O$987 + 11),0),4),1,""),""),$O$987 + 12)</f>
        <v>T321</v>
      </c>
      <c r="D987" s="1089" t="s">
        <v>1448</v>
      </c>
      <c r="E987" s="1089" t="s">
        <v>1618</v>
      </c>
      <c r="I987" s="1026" t="str">
        <f t="shared" si="114"/>
        <v/>
      </c>
      <c r="J987" s="1376"/>
      <c r="K987" s="1376" t="str">
        <f t="shared" si="115"/>
        <v/>
      </c>
      <c r="L987" s="1089" t="s">
        <v>1809</v>
      </c>
      <c r="M987" s="1376">
        <v>970</v>
      </c>
      <c r="N987" s="1376"/>
      <c r="O987" s="1370">
        <f>'Configurable Tab'!H24</f>
        <v>309</v>
      </c>
      <c r="Q987" s="1370" t="s">
        <v>653</v>
      </c>
      <c r="R987" s="1376" t="s">
        <v>1800</v>
      </c>
    </row>
    <row r="988" spans="1:18" s="1370" customFormat="1" x14ac:dyDescent="0.25">
      <c r="A988" s="1121" t="s">
        <v>1482</v>
      </c>
      <c r="B988" s="1089" t="str">
        <f ca="1">IFERROR(_xlfn.CONCAT("C",MATCH(A988,INDIRECT("'"&amp;E988&amp;"'!C"&amp;$O$987&amp;":C"&amp;$O$989),0)+$O$987-1),"")</f>
        <v>C311</v>
      </c>
      <c r="C988" s="1089" t="str">
        <f ca="1">IFERROR(_xlfn.CONCAT("D",MATCH(A988,INDIRECT("'"&amp;E988&amp;"'!C"&amp;$O$987&amp;":C"&amp;$O$989),0)+$O$987-1),"")</f>
        <v>D311</v>
      </c>
      <c r="D988" s="1089" t="s">
        <v>1448</v>
      </c>
      <c r="E988" s="1089" t="s">
        <v>1618</v>
      </c>
      <c r="I988" s="1026" t="str">
        <f t="shared" si="114"/>
        <v/>
      </c>
      <c r="J988" s="1376"/>
      <c r="K988" s="1376" t="str">
        <f t="shared" si="115"/>
        <v/>
      </c>
      <c r="L988" s="1089" t="s">
        <v>1482</v>
      </c>
      <c r="M988" s="1376">
        <v>971</v>
      </c>
      <c r="N988" s="1376"/>
      <c r="O988" s="1370" t="s">
        <v>743</v>
      </c>
      <c r="R988" s="1376" t="s">
        <v>1800</v>
      </c>
    </row>
    <row r="989" spans="1:18" s="1370" customFormat="1" x14ac:dyDescent="0.25">
      <c r="A989" s="1121" t="s">
        <v>1479</v>
      </c>
      <c r="B989" s="1089" t="str">
        <f t="shared" ref="B989:B995" ca="1" si="119">_xlfn.CONCAT(IFERROR(SUBSTITUTE(ADDRESS(1,MATCH(A989,INDIRECT("'"&amp;E989&amp;"'"&amp;"!A" &amp; $O$987 + 2 &amp; ":Z" &amp; $O$987 + 2),0),4),1,""),""),$O$987 + 2)</f>
        <v>H311</v>
      </c>
      <c r="C989" s="1089" t="str">
        <f t="shared" ref="C989:C995" ca="1" si="120">_xlfn.CONCAT(IFERROR(SUBSTITUTE(ADDRESS(1,MATCH(A989,INDIRECT("'"&amp;E989&amp;"'"&amp;"!A" &amp; $O$987 + 2 &amp; ":Z" &amp; $O$987 + 2),0),4),1,""),""),$O$987 + 3)</f>
        <v>H312</v>
      </c>
      <c r="D989" s="1089" t="s">
        <v>1448</v>
      </c>
      <c r="E989" s="1089" t="s">
        <v>1618</v>
      </c>
      <c r="I989" s="1026" t="str">
        <f t="shared" si="114"/>
        <v/>
      </c>
      <c r="J989" s="1376"/>
      <c r="K989" s="1376" t="str">
        <f t="shared" si="115"/>
        <v/>
      </c>
      <c r="L989" s="1089" t="s">
        <v>1479</v>
      </c>
      <c r="M989" s="1376">
        <v>972</v>
      </c>
      <c r="N989" s="1376"/>
      <c r="O989" s="1370">
        <f>'Configurable Tab'!I24</f>
        <v>322</v>
      </c>
      <c r="R989" s="1376" t="s">
        <v>1800</v>
      </c>
    </row>
    <row r="990" spans="1:18" s="1370" customFormat="1" x14ac:dyDescent="0.25">
      <c r="A990" s="1121" t="s">
        <v>1480</v>
      </c>
      <c r="B990" s="1089" t="str">
        <f t="shared" ca="1" si="119"/>
        <v>J311</v>
      </c>
      <c r="C990" s="1089" t="str">
        <f t="shared" ca="1" si="120"/>
        <v>J312</v>
      </c>
      <c r="D990" s="1089" t="s">
        <v>1448</v>
      </c>
      <c r="E990" s="1089" t="s">
        <v>1618</v>
      </c>
      <c r="I990" s="1026" t="str">
        <f t="shared" si="114"/>
        <v/>
      </c>
      <c r="J990" s="1376"/>
      <c r="K990" s="1376" t="str">
        <f t="shared" si="115"/>
        <v/>
      </c>
      <c r="L990" s="1089" t="s">
        <v>1480</v>
      </c>
      <c r="M990" s="1376">
        <v>973</v>
      </c>
      <c r="N990" s="1376"/>
      <c r="O990" s="1370" t="s">
        <v>1753</v>
      </c>
      <c r="R990" s="1376" t="s">
        <v>1800</v>
      </c>
    </row>
    <row r="991" spans="1:18" s="1370" customFormat="1" x14ac:dyDescent="0.25">
      <c r="A991" s="1121" t="s">
        <v>1496</v>
      </c>
      <c r="B991" s="1089" t="str">
        <f t="shared" ca="1" si="119"/>
        <v>L311</v>
      </c>
      <c r="C991" s="1089" t="str">
        <f t="shared" ca="1" si="120"/>
        <v>L312</v>
      </c>
      <c r="D991" s="1089" t="s">
        <v>1448</v>
      </c>
      <c r="E991" s="1089" t="s">
        <v>1618</v>
      </c>
      <c r="I991" s="1026" t="str">
        <f t="shared" si="114"/>
        <v/>
      </c>
      <c r="J991" s="1376"/>
      <c r="K991" s="1376" t="str">
        <f t="shared" si="115"/>
        <v/>
      </c>
      <c r="L991" s="1089" t="s">
        <v>1496</v>
      </c>
      <c r="M991" s="1376">
        <v>974</v>
      </c>
      <c r="N991" s="1376"/>
      <c r="R991" s="1376" t="s">
        <v>1800</v>
      </c>
    </row>
    <row r="992" spans="1:18" s="1370" customFormat="1" x14ac:dyDescent="0.25">
      <c r="A992" s="1121" t="s">
        <v>1481</v>
      </c>
      <c r="B992" s="1089" t="str">
        <f t="shared" ca="1" si="119"/>
        <v>N311</v>
      </c>
      <c r="C992" s="1089" t="str">
        <f t="shared" ca="1" si="120"/>
        <v>N312</v>
      </c>
      <c r="D992" s="1089" t="s">
        <v>1448</v>
      </c>
      <c r="E992" s="1089" t="s">
        <v>1618</v>
      </c>
      <c r="I992" s="1026" t="str">
        <f t="shared" si="114"/>
        <v/>
      </c>
      <c r="J992" s="1376"/>
      <c r="K992" s="1376" t="str">
        <f t="shared" si="115"/>
        <v/>
      </c>
      <c r="L992" s="1089" t="s">
        <v>1481</v>
      </c>
      <c r="M992" s="1376">
        <v>975</v>
      </c>
      <c r="N992" s="1376"/>
      <c r="R992" s="1376" t="s">
        <v>1800</v>
      </c>
    </row>
    <row r="993" spans="1:18" s="1370" customFormat="1" x14ac:dyDescent="0.25">
      <c r="A993" s="1121" t="s">
        <v>1588</v>
      </c>
      <c r="B993" s="1089" t="str">
        <f t="shared" ca="1" si="119"/>
        <v>P311</v>
      </c>
      <c r="C993" s="1089" t="str">
        <f t="shared" ca="1" si="120"/>
        <v>P312</v>
      </c>
      <c r="D993" s="1089" t="s">
        <v>1448</v>
      </c>
      <c r="E993" s="1089" t="s">
        <v>1618</v>
      </c>
      <c r="I993" s="1026" t="str">
        <f t="shared" si="114"/>
        <v>Qualifying Cycle</v>
      </c>
      <c r="J993" s="1376" t="str">
        <f t="shared" si="116"/>
        <v>976</v>
      </c>
      <c r="K993" s="1376" t="str">
        <f t="shared" si="115"/>
        <v>Incentives Worksheet</v>
      </c>
      <c r="L993" s="1089" t="s">
        <v>1588</v>
      </c>
      <c r="M993" s="1376">
        <v>976</v>
      </c>
      <c r="N993" s="1376"/>
      <c r="R993" s="1376" t="s">
        <v>1800</v>
      </c>
    </row>
    <row r="994" spans="1:18" s="1370" customFormat="1" x14ac:dyDescent="0.25">
      <c r="A994" s="1121" t="s">
        <v>1589</v>
      </c>
      <c r="B994" s="1089" t="str">
        <f t="shared" ca="1" si="119"/>
        <v>R311</v>
      </c>
      <c r="C994" s="1089" t="str">
        <f t="shared" ca="1" si="120"/>
        <v>R312</v>
      </c>
      <c r="D994" s="1089" t="s">
        <v>1448</v>
      </c>
      <c r="E994" s="1089" t="s">
        <v>1618</v>
      </c>
      <c r="I994" s="1026" t="str">
        <f t="shared" si="114"/>
        <v>Incentive Calendar</v>
      </c>
      <c r="J994" s="1376" t="str">
        <f t="shared" si="116"/>
        <v>977</v>
      </c>
      <c r="K994" s="1376" t="str">
        <f t="shared" si="115"/>
        <v>Incentives Worksheet</v>
      </c>
      <c r="L994" s="1089" t="s">
        <v>1589</v>
      </c>
      <c r="M994" s="1376">
        <v>977</v>
      </c>
      <c r="N994" s="1376"/>
      <c r="R994" s="1376" t="s">
        <v>1800</v>
      </c>
    </row>
    <row r="995" spans="1:18" s="1370" customFormat="1" x14ac:dyDescent="0.25">
      <c r="A995" s="1121" t="s">
        <v>1590</v>
      </c>
      <c r="B995" s="1089" t="str">
        <f t="shared" ca="1" si="119"/>
        <v>T311</v>
      </c>
      <c r="C995" s="1089" t="str">
        <f t="shared" ca="1" si="120"/>
        <v>T312</v>
      </c>
      <c r="D995" s="1089" t="s">
        <v>1448</v>
      </c>
      <c r="E995" s="1089" t="s">
        <v>1618</v>
      </c>
      <c r="I995" s="1026" t="str">
        <f t="shared" si="114"/>
        <v>Post to GL Payment Method Flag</v>
      </c>
      <c r="J995" s="1376" t="str">
        <f t="shared" si="116"/>
        <v>978</v>
      </c>
      <c r="K995" s="1376" t="str">
        <f t="shared" si="115"/>
        <v>Incentives Worksheet</v>
      </c>
      <c r="L995" s="1089" t="s">
        <v>1590</v>
      </c>
      <c r="M995" s="1376">
        <v>978</v>
      </c>
      <c r="N995" s="1376"/>
      <c r="R995" s="1376" t="s">
        <v>1800</v>
      </c>
    </row>
    <row r="996" spans="1:18" s="1370" customFormat="1" x14ac:dyDescent="0.25">
      <c r="A996" s="1121" t="s">
        <v>1484</v>
      </c>
      <c r="B996" s="1089" t="str">
        <f ca="1">IFERROR(_xlfn.CONCAT("C",MATCH(A996,INDIRECT("'"&amp;E996&amp;"'!C"&amp;$O$987&amp;":C"&amp;$O$989),0)+$O$987-1),"")</f>
        <v>C315</v>
      </c>
      <c r="C996" s="1089" t="str">
        <f ca="1">IFERROR(_xlfn.CONCAT("D",MATCH(A996,INDIRECT("'"&amp;E996&amp;"'!C"&amp;$O$987&amp;":C"&amp;$O$989),0)+$O$987-1),"")</f>
        <v>D315</v>
      </c>
      <c r="D996" s="1089" t="s">
        <v>1448</v>
      </c>
      <c r="E996" s="1089" t="s">
        <v>1618</v>
      </c>
      <c r="I996" s="1026" t="str">
        <f t="shared" si="114"/>
        <v/>
      </c>
      <c r="J996" s="1376"/>
      <c r="K996" s="1376" t="str">
        <f t="shared" si="115"/>
        <v/>
      </c>
      <c r="L996" s="1089" t="s">
        <v>1484</v>
      </c>
      <c r="M996" s="1376">
        <v>979</v>
      </c>
      <c r="N996" s="1376"/>
      <c r="R996" s="1376" t="s">
        <v>1800</v>
      </c>
    </row>
    <row r="997" spans="1:18" s="1370" customFormat="1" x14ac:dyDescent="0.25">
      <c r="A997" s="1121" t="s">
        <v>1485</v>
      </c>
      <c r="B997" s="1089" t="str">
        <f ca="1">IFERROR(_xlfn.CONCAT("C",MATCH(A997,INDIRECT("'"&amp;E997&amp;"'!C"&amp;$O$987&amp;":C"&amp;$O$989),0)+$O$987-1),"")</f>
        <v>C317</v>
      </c>
      <c r="C997" s="1089" t="str">
        <f ca="1">IFERROR(_xlfn.CONCAT("D",MATCH(A997,INDIRECT("'"&amp;E997&amp;"'!C"&amp;$O$987&amp;":C"&amp;$O$989),0)+$O$987-1),"")</f>
        <v>D317</v>
      </c>
      <c r="D997" s="1089" t="s">
        <v>1448</v>
      </c>
      <c r="E997" s="1089" t="s">
        <v>1618</v>
      </c>
      <c r="I997" s="1026" t="str">
        <f t="shared" si="114"/>
        <v/>
      </c>
      <c r="J997" s="1376"/>
      <c r="K997" s="1376" t="str">
        <f t="shared" si="115"/>
        <v/>
      </c>
      <c r="L997" s="1089" t="s">
        <v>1485</v>
      </c>
      <c r="M997" s="1376">
        <v>980</v>
      </c>
      <c r="N997" s="1376"/>
      <c r="R997" s="1376" t="s">
        <v>1800</v>
      </c>
    </row>
    <row r="998" spans="1:18" s="1370" customFormat="1" ht="30" x14ac:dyDescent="0.25">
      <c r="A998" s="1121" t="s">
        <v>1597</v>
      </c>
      <c r="B998" s="1089" t="str">
        <f ca="1">IFERROR(_xlfn.CONCAT("C",MATCH(A998,INDIRECT("'"&amp;E998&amp;"'!C"&amp;$O$987&amp;":C"&amp;$O$989),0)+$O$987-1),"")</f>
        <v>C319</v>
      </c>
      <c r="C998" s="1089" t="str">
        <f ca="1">IFERROR(_xlfn.CONCAT("D",MATCH(A998,INDIRECT("'"&amp;E998&amp;"'!C"&amp;$O$987&amp;":C"&amp;$O$989),0)+$O$987-1),"")</f>
        <v>D319</v>
      </c>
      <c r="D998" s="1089" t="s">
        <v>1448</v>
      </c>
      <c r="E998" s="1089" t="s">
        <v>1618</v>
      </c>
      <c r="I998" s="1026" t="str">
        <f t="shared" si="114"/>
        <v>Incentive Dates Match Agreement Dates Flag</v>
      </c>
      <c r="J998" s="1376" t="str">
        <f t="shared" si="116"/>
        <v>981</v>
      </c>
      <c r="K998" s="1376" t="str">
        <f t="shared" si="115"/>
        <v>Incentives Worksheet</v>
      </c>
      <c r="L998" s="1089" t="s">
        <v>1597</v>
      </c>
      <c r="M998" s="1376">
        <v>981</v>
      </c>
      <c r="N998" s="1376"/>
      <c r="R998" s="1376" t="s">
        <v>1800</v>
      </c>
    </row>
    <row r="999" spans="1:18" s="1370" customFormat="1" x14ac:dyDescent="0.25">
      <c r="A999" s="1121" t="s">
        <v>1594</v>
      </c>
      <c r="B999" s="1089" t="str">
        <f ca="1">_xlfn.CONCAT(IFERROR(SUBSTITUTE(ADDRESS(1,MATCH(A999,INDIRECT("'"&amp;E999&amp;"'"&amp;"!A" &amp; $O$987 + 8 &amp; ":Z" &amp; $O$987 + 8),0),4),1,""),""),$O$987 + 8)</f>
        <v>H317</v>
      </c>
      <c r="C999" s="1089" t="str">
        <f ca="1">_xlfn.CONCAT(IFERROR(SUBSTITUTE(ADDRESS(1,MATCH(A999,INDIRECT("'"&amp;E999&amp;"'"&amp;"!A" &amp; $O$987 + 8 &amp; ":Z" &amp; $O$987 + 8),0),4),1,""),""),$O$987 + 9)</f>
        <v>H318</v>
      </c>
      <c r="D999" s="1089" t="s">
        <v>1448</v>
      </c>
      <c r="E999" s="1089" t="s">
        <v>1618</v>
      </c>
      <c r="I999" s="1026" t="str">
        <f t="shared" si="114"/>
        <v>Include All Customers Flag</v>
      </c>
      <c r="J999" s="1376" t="str">
        <f t="shared" si="116"/>
        <v>982</v>
      </c>
      <c r="K999" s="1376" t="str">
        <f t="shared" si="115"/>
        <v>Incentives Worksheet</v>
      </c>
      <c r="L999" s="1089" t="s">
        <v>1594</v>
      </c>
      <c r="M999" s="1376">
        <v>982</v>
      </c>
      <c r="N999" s="1376"/>
      <c r="R999" s="1376" t="s">
        <v>1800</v>
      </c>
    </row>
    <row r="1000" spans="1:18" s="1370" customFormat="1" x14ac:dyDescent="0.25">
      <c r="A1000" s="1121" t="s">
        <v>1608</v>
      </c>
      <c r="B1000" s="1089" t="str">
        <f ca="1">_xlfn.CONCAT(IFERROR(SUBSTITUTE(ADDRESS(1,MATCH(A1000,INDIRECT("'"&amp;E1000&amp;"'"&amp;"!A" &amp; $O$987 + 8 &amp; ":Z" &amp; $O$987 + 8),0),4),1,""),""),$O$987 + 8)</f>
        <v>J317</v>
      </c>
      <c r="C1000" s="1089" t="str">
        <f ca="1">_xlfn.CONCAT(IFERROR(SUBSTITUTE(ADDRESS(1,MATCH(A1000,INDIRECT("'"&amp;E1000&amp;"'"&amp;"!A" &amp; $O$987 + 8 &amp; ":Z" &amp; $O$987 + 8),0),4),1,""),""),$O$987 + 9)</f>
        <v>J318</v>
      </c>
      <c r="D1000" s="1089" t="s">
        <v>1448</v>
      </c>
      <c r="E1000" s="1089" t="s">
        <v>1618</v>
      </c>
      <c r="I1000" s="1026" t="str">
        <f t="shared" si="114"/>
        <v>Customer Aggregation</v>
      </c>
      <c r="J1000" s="1376" t="str">
        <f t="shared" si="116"/>
        <v>983</v>
      </c>
      <c r="K1000" s="1376" t="str">
        <f t="shared" si="115"/>
        <v>Incentives Worksheet</v>
      </c>
      <c r="L1000" s="1089" t="s">
        <v>1608</v>
      </c>
      <c r="M1000" s="1376">
        <v>983</v>
      </c>
      <c r="N1000" s="1376"/>
      <c r="R1000" s="1376" t="s">
        <v>1800</v>
      </c>
    </row>
    <row r="1001" spans="1:18" s="1370" customFormat="1" x14ac:dyDescent="0.25">
      <c r="A1001" s="1121" t="s">
        <v>1486</v>
      </c>
      <c r="B1001" s="1089" t="str">
        <f ca="1">_xlfn.CONCAT(IFERROR(SUBSTITUTE(ADDRESS(1,MATCH(A1001,INDIRECT("'"&amp;E1001&amp;"'"&amp;"!A" &amp; $O$987 + 5 &amp; ":Z" &amp; $O$987 + 5),0),4),1,""),""),$O$987 + 5)</f>
        <v>H314</v>
      </c>
      <c r="C1001" s="1089" t="str">
        <f ca="1">_xlfn.CONCAT(IFERROR(SUBSTITUTE(ADDRESS(1,MATCH(A1001,INDIRECT("'"&amp;E1001&amp;"'"&amp;"!A" &amp; $O$987 + 5 &amp; ":Z" &amp; $O$987 + 5),0),4),1,""),""),$O$987 + 6)</f>
        <v>H315</v>
      </c>
      <c r="D1001" s="1089" t="s">
        <v>1448</v>
      </c>
      <c r="E1001" s="1089" t="s">
        <v>1618</v>
      </c>
      <c r="I1001" s="1026" t="str">
        <f t="shared" si="114"/>
        <v/>
      </c>
      <c r="J1001" s="1376"/>
      <c r="K1001" s="1376" t="str">
        <f t="shared" si="115"/>
        <v/>
      </c>
      <c r="L1001" s="1089" t="s">
        <v>1486</v>
      </c>
      <c r="M1001" s="1376">
        <v>984</v>
      </c>
      <c r="N1001" s="1376"/>
      <c r="R1001" s="1376" t="s">
        <v>1800</v>
      </c>
    </row>
    <row r="1002" spans="1:18" s="1370" customFormat="1" x14ac:dyDescent="0.25">
      <c r="A1002" s="1121" t="s">
        <v>1487</v>
      </c>
      <c r="B1002" s="1089" t="str">
        <f ca="1">_xlfn.CONCAT(IFERROR(SUBSTITUTE(ADDRESS(1,MATCH(A1002,INDIRECT("'"&amp;E1002&amp;"'"&amp;"!A" &amp; $O$987 + 5 &amp; ":Z" &amp; $O$987 + 5),0),4),1,""),""),$O$987 + 5)</f>
        <v>J314</v>
      </c>
      <c r="C1002" s="1089" t="str">
        <f ca="1">_xlfn.CONCAT(IFERROR(SUBSTITUTE(ADDRESS(1,MATCH(A1002,INDIRECT("'"&amp;E1002&amp;"'"&amp;"!A" &amp; $O$987 + 5 &amp; ":Z" &amp; $O$987 + 5),0),4),1,""),""),$O$987 + 6)</f>
        <v>J315</v>
      </c>
      <c r="D1002" s="1089" t="s">
        <v>1448</v>
      </c>
      <c r="E1002" s="1089" t="s">
        <v>1618</v>
      </c>
      <c r="I1002" s="1026" t="str">
        <f t="shared" si="114"/>
        <v/>
      </c>
      <c r="J1002" s="1376"/>
      <c r="K1002" s="1376" t="str">
        <f t="shared" si="115"/>
        <v/>
      </c>
      <c r="L1002" s="1089" t="s">
        <v>1487</v>
      </c>
      <c r="M1002" s="1376">
        <v>985</v>
      </c>
      <c r="N1002" s="1376"/>
      <c r="R1002" s="1376" t="s">
        <v>1800</v>
      </c>
    </row>
    <row r="1003" spans="1:18" s="1370" customFormat="1" x14ac:dyDescent="0.25">
      <c r="A1003" s="1121" t="s">
        <v>1488</v>
      </c>
      <c r="B1003" s="1089" t="str">
        <f ca="1">_xlfn.CONCAT(IFERROR(SUBSTITUTE(ADDRESS(1,MATCH(A1003,INDIRECT("'"&amp;E1003&amp;"'"&amp;"!A" &amp; $O$987 + 5 &amp; ":Z" &amp; $O$987 + 5),0),4),1,""),""),$O$987 + 5)</f>
        <v>L314</v>
      </c>
      <c r="C1003" s="1089" t="str">
        <f ca="1">_xlfn.CONCAT(IFERROR(SUBSTITUTE(ADDRESS(1,MATCH(A1003,INDIRECT("'"&amp;E1003&amp;"'"&amp;"!A" &amp; $O$987 + 5 &amp; ":Z" &amp; $O$987 + 5),0),4),1,""),""),$O$987 + 6)</f>
        <v>L315</v>
      </c>
      <c r="D1003" s="1089" t="s">
        <v>1448</v>
      </c>
      <c r="E1003" s="1089" t="s">
        <v>1618</v>
      </c>
      <c r="I1003" s="1026" t="str">
        <f t="shared" si="114"/>
        <v/>
      </c>
      <c r="J1003" s="1376"/>
      <c r="K1003" s="1376" t="str">
        <f t="shared" si="115"/>
        <v/>
      </c>
      <c r="L1003" s="1089" t="s">
        <v>1488</v>
      </c>
      <c r="M1003" s="1376">
        <v>986</v>
      </c>
      <c r="N1003" s="1376"/>
      <c r="R1003" s="1376" t="s">
        <v>1800</v>
      </c>
    </row>
    <row r="1004" spans="1:18" s="1370" customFormat="1" x14ac:dyDescent="0.25">
      <c r="A1004" s="1118" t="s">
        <v>1593</v>
      </c>
      <c r="B1004" s="1089" t="str">
        <f ca="1">IFERROR(_xlfn.CONCAT("C",MATCH(A1004,INDIRECT("'"&amp;E1004&amp;"'!C"&amp;$O$1005&amp;":C"&amp;$O$1007),0)+$O$1005-1),"")</f>
        <v>C327</v>
      </c>
      <c r="C1004" s="1089" t="str">
        <f ca="1">IFERROR(_xlfn.CONCAT("D",MATCH(A1004,INDIRECT("'"&amp;E1004&amp;"'!C"&amp;$O$1005&amp;":C"&amp;$O$1007),0)+$O$1005-1),"")</f>
        <v>D327</v>
      </c>
      <c r="D1004" s="1089" t="s">
        <v>1448</v>
      </c>
      <c r="E1004" s="1089" t="s">
        <v>1618</v>
      </c>
      <c r="I1004" s="1026" t="str">
        <f t="shared" si="114"/>
        <v/>
      </c>
      <c r="J1004" s="1376"/>
      <c r="K1004" s="1376" t="str">
        <f t="shared" si="115"/>
        <v/>
      </c>
      <c r="L1004" s="1089" t="s">
        <v>1593</v>
      </c>
      <c r="M1004" s="1376">
        <v>987</v>
      </c>
      <c r="N1004" s="1376"/>
      <c r="O1004" s="1370" t="s">
        <v>742</v>
      </c>
      <c r="R1004" s="1376" t="s">
        <v>484</v>
      </c>
    </row>
    <row r="1005" spans="1:18" s="1370" customFormat="1" x14ac:dyDescent="0.25">
      <c r="A1005" s="1118" t="s">
        <v>1809</v>
      </c>
      <c r="B1005" s="1089" t="str">
        <f ca="1">_xlfn.CONCAT(IFERROR(SUBSTITUTE(ADDRESS(1,MATCH(A1005,INDIRECT("'"&amp;E1005&amp;"'"&amp;"!A" &amp; $O$1005 + 11 &amp; ":Z" &amp; $O$1005 + 11),0),4),1,""),""),$O$1005 + 11)</f>
        <v>T334</v>
      </c>
      <c r="C1005" s="1089" t="str">
        <f ca="1">_xlfn.CONCAT(IFERROR(SUBSTITUTE(ADDRESS(1,MATCH(A1005,INDIRECT("'"&amp;E1005&amp;"'"&amp;"!A" &amp; $O$1005 + 11 &amp; ":Z" &amp; $O$1005 + 11),0),4),1,""),""),$O$1005 + 12)</f>
        <v>T335</v>
      </c>
      <c r="D1005" s="1089" t="s">
        <v>1448</v>
      </c>
      <c r="E1005" s="1089" t="s">
        <v>1618</v>
      </c>
      <c r="I1005" s="1026" t="str">
        <f t="shared" si="114"/>
        <v/>
      </c>
      <c r="J1005" s="1376"/>
      <c r="K1005" s="1376" t="str">
        <f t="shared" si="115"/>
        <v/>
      </c>
      <c r="L1005" s="1089" t="s">
        <v>1809</v>
      </c>
      <c r="M1005" s="1376">
        <v>988</v>
      </c>
      <c r="N1005" s="1376"/>
      <c r="O1005" s="1370">
        <f>'Configurable Tab'!H25</f>
        <v>323</v>
      </c>
      <c r="Q1005" s="1370" t="s">
        <v>653</v>
      </c>
      <c r="R1005" s="1376" t="s">
        <v>484</v>
      </c>
    </row>
    <row r="1006" spans="1:18" s="1370" customFormat="1" x14ac:dyDescent="0.25">
      <c r="A1006" s="1118" t="s">
        <v>1482</v>
      </c>
      <c r="B1006" s="1089" t="str">
        <f ca="1">IFERROR(_xlfn.CONCAT("C",MATCH(A1006,INDIRECT("'"&amp;E1006&amp;"'!C"&amp;$O$1005&amp;":C"&amp;$O$1007),0)+$O$1005-1),"")</f>
        <v>C325</v>
      </c>
      <c r="C1006" s="1089" t="str">
        <f ca="1">IFERROR(_xlfn.CONCAT("D",MATCH(A1006,INDIRECT("'"&amp;E1006&amp;"'!C"&amp;$O$1005&amp;":C"&amp;$O$1007),0)+$O$1005-1),"")</f>
        <v>D325</v>
      </c>
      <c r="D1006" s="1089" t="s">
        <v>1448</v>
      </c>
      <c r="E1006" s="1089" t="s">
        <v>1618</v>
      </c>
      <c r="I1006" s="1026" t="str">
        <f t="shared" si="114"/>
        <v/>
      </c>
      <c r="J1006" s="1376"/>
      <c r="K1006" s="1376" t="str">
        <f t="shared" si="115"/>
        <v/>
      </c>
      <c r="L1006" s="1089" t="s">
        <v>1482</v>
      </c>
      <c r="M1006" s="1376">
        <v>989</v>
      </c>
      <c r="N1006" s="1376"/>
      <c r="O1006" s="1370" t="s">
        <v>743</v>
      </c>
      <c r="R1006" s="1376" t="s">
        <v>484</v>
      </c>
    </row>
    <row r="1007" spans="1:18" s="1370" customFormat="1" x14ac:dyDescent="0.25">
      <c r="A1007" s="1118" t="s">
        <v>1480</v>
      </c>
      <c r="B1007" s="1089" t="str">
        <f ca="1">_xlfn.CONCAT(IFERROR(SUBSTITUTE(ADDRESS(1,MATCH(A1007,INDIRECT("'"&amp;E1007&amp;"'"&amp;"!A" &amp; $O$1005 + 2 &amp; ":Z" &amp; $O$1005 + 2),0),4),1,""),""),$O$1005 + 2)</f>
        <v>J325</v>
      </c>
      <c r="C1007" s="1089" t="str">
        <f ca="1">_xlfn.CONCAT(IFERROR(SUBSTITUTE(ADDRESS(1,MATCH(A1007,INDIRECT("'"&amp;E1007&amp;"'"&amp;"!A" &amp; $O$1005 + 2 &amp; ":Z" &amp; $O$1005 + 2),0),4),1,""),""),$O$1005 + 3)</f>
        <v>J326</v>
      </c>
      <c r="D1007" s="1089" t="s">
        <v>1448</v>
      </c>
      <c r="E1007" s="1089" t="s">
        <v>1618</v>
      </c>
      <c r="I1007" s="1026" t="str">
        <f t="shared" si="114"/>
        <v/>
      </c>
      <c r="J1007" s="1376"/>
      <c r="K1007" s="1376" t="str">
        <f t="shared" si="115"/>
        <v/>
      </c>
      <c r="L1007" s="1089" t="s">
        <v>1480</v>
      </c>
      <c r="M1007" s="1376">
        <v>990</v>
      </c>
      <c r="N1007" s="1376"/>
      <c r="O1007" s="1370">
        <f>'Configurable Tab'!I25</f>
        <v>336</v>
      </c>
      <c r="R1007" s="1376" t="s">
        <v>484</v>
      </c>
    </row>
    <row r="1008" spans="1:18" s="1370" customFormat="1" x14ac:dyDescent="0.25">
      <c r="A1008" s="1118" t="s">
        <v>1496</v>
      </c>
      <c r="B1008" s="1089" t="str">
        <f ca="1">_xlfn.CONCAT(IFERROR(SUBSTITUTE(ADDRESS(1,MATCH(A1008,INDIRECT("'"&amp;E1008&amp;"'"&amp;"!A" &amp; $O$1005 + 2 &amp; ":Z" &amp; $O$1005 + 2),0),4),1,""),""),$O$1005 + 2)</f>
        <v>L325</v>
      </c>
      <c r="C1008" s="1089" t="str">
        <f ca="1">_xlfn.CONCAT(IFERROR(SUBSTITUTE(ADDRESS(1,MATCH(A1008,INDIRECT("'"&amp;E1008&amp;"'"&amp;"!A" &amp; $O$1005 + 2 &amp; ":Z" &amp; $O$1005 + 2),0),4),1,""),""),$O$1005 + 3)</f>
        <v>L326</v>
      </c>
      <c r="D1008" s="1089" t="s">
        <v>1448</v>
      </c>
      <c r="E1008" s="1089" t="s">
        <v>1618</v>
      </c>
      <c r="I1008" s="1026" t="str">
        <f t="shared" si="114"/>
        <v/>
      </c>
      <c r="J1008" s="1376"/>
      <c r="K1008" s="1376" t="str">
        <f t="shared" si="115"/>
        <v/>
      </c>
      <c r="L1008" s="1089" t="s">
        <v>1496</v>
      </c>
      <c r="M1008" s="1376">
        <v>991</v>
      </c>
      <c r="N1008" s="1376"/>
      <c r="O1008" s="1370" t="s">
        <v>1754</v>
      </c>
      <c r="R1008" s="1376" t="s">
        <v>484</v>
      </c>
    </row>
    <row r="1009" spans="1:18" s="1370" customFormat="1" x14ac:dyDescent="0.25">
      <c r="A1009" s="1118" t="s">
        <v>1481</v>
      </c>
      <c r="B1009" s="1089" t="str">
        <f ca="1">_xlfn.CONCAT(IFERROR(SUBSTITUTE(ADDRESS(1,MATCH(A1009,INDIRECT("'"&amp;E1009&amp;"'"&amp;"!A" &amp; $O$1005 + 2 &amp; ":Z" &amp; $O$1005 + 2),0),4),1,""),""),$O$1005 + 2)</f>
        <v>N325</v>
      </c>
      <c r="C1009" s="1089" t="str">
        <f ca="1">_xlfn.CONCAT(IFERROR(SUBSTITUTE(ADDRESS(1,MATCH(A1009,INDIRECT("'"&amp;E1009&amp;"'"&amp;"!A" &amp; $O$1005 + 2 &amp; ":Z" &amp; $O$1005 + 2),0),4),1,""),""),$O$1005 + 3)</f>
        <v>N326</v>
      </c>
      <c r="D1009" s="1089" t="s">
        <v>1448</v>
      </c>
      <c r="E1009" s="1089" t="s">
        <v>1618</v>
      </c>
      <c r="I1009" s="1026" t="str">
        <f t="shared" si="114"/>
        <v/>
      </c>
      <c r="J1009" s="1376"/>
      <c r="K1009" s="1376" t="str">
        <f t="shared" si="115"/>
        <v/>
      </c>
      <c r="L1009" s="1089" t="s">
        <v>1481</v>
      </c>
      <c r="M1009" s="1376">
        <v>992</v>
      </c>
      <c r="N1009" s="1376"/>
      <c r="R1009" s="1376" t="s">
        <v>484</v>
      </c>
    </row>
    <row r="1010" spans="1:18" s="1370" customFormat="1" x14ac:dyDescent="0.25">
      <c r="A1010" s="1118" t="s">
        <v>1484</v>
      </c>
      <c r="B1010" s="1089" t="str">
        <f ca="1">IFERROR(_xlfn.CONCAT("C",MATCH(A1010,INDIRECT("'"&amp;E1010&amp;"'!C"&amp;$O$1005&amp;":C"&amp;$O$1007),0)+$O$1005-1),"")</f>
        <v>C329</v>
      </c>
      <c r="C1010" s="1089" t="str">
        <f ca="1">IFERROR(_xlfn.CONCAT("D",MATCH(A1010,INDIRECT("'"&amp;E1010&amp;"'!C"&amp;$O$1005&amp;":C"&amp;$O$1007),0)+$O$1005-1),"")</f>
        <v>D329</v>
      </c>
      <c r="D1010" s="1089" t="s">
        <v>1448</v>
      </c>
      <c r="E1010" s="1089" t="s">
        <v>1618</v>
      </c>
      <c r="I1010" s="1026" t="str">
        <f t="shared" si="114"/>
        <v/>
      </c>
      <c r="J1010" s="1376"/>
      <c r="K1010" s="1376" t="str">
        <f t="shared" si="115"/>
        <v/>
      </c>
      <c r="L1010" s="1089" t="s">
        <v>1484</v>
      </c>
      <c r="M1010" s="1376">
        <v>993</v>
      </c>
      <c r="N1010" s="1376"/>
      <c r="R1010" s="1376" t="s">
        <v>484</v>
      </c>
    </row>
    <row r="1011" spans="1:18" s="1370" customFormat="1" x14ac:dyDescent="0.25">
      <c r="A1011" s="1118" t="s">
        <v>1485</v>
      </c>
      <c r="B1011" s="1089" t="str">
        <f ca="1">IFERROR(_xlfn.CONCAT("C",MATCH(A1011,INDIRECT("'"&amp;E1011&amp;"'!C"&amp;$O$1005&amp;":C"&amp;$O$1007),0)+$O$1005-1),"")</f>
        <v>C331</v>
      </c>
      <c r="C1011" s="1089" t="str">
        <f ca="1">IFERROR(_xlfn.CONCAT("D",MATCH(A1011,INDIRECT("'"&amp;E1011&amp;"'!C"&amp;$O$1005&amp;":C"&amp;$O$1007),0)+$O$1005-1),"")</f>
        <v>D331</v>
      </c>
      <c r="D1011" s="1089" t="s">
        <v>1448</v>
      </c>
      <c r="E1011" s="1089" t="s">
        <v>1618</v>
      </c>
      <c r="I1011" s="1026" t="str">
        <f t="shared" si="114"/>
        <v/>
      </c>
      <c r="J1011" s="1376"/>
      <c r="K1011" s="1376" t="str">
        <f t="shared" si="115"/>
        <v/>
      </c>
      <c r="L1011" s="1089" t="s">
        <v>1485</v>
      </c>
      <c r="M1011" s="1376">
        <v>994</v>
      </c>
      <c r="N1011" s="1376"/>
      <c r="R1011" s="1376" t="s">
        <v>484</v>
      </c>
    </row>
    <row r="1012" spans="1:18" s="1370" customFormat="1" ht="30" x14ac:dyDescent="0.25">
      <c r="A1012" s="1118" t="s">
        <v>1597</v>
      </c>
      <c r="B1012" s="1089" t="str">
        <f ca="1">IFERROR(_xlfn.CONCAT("C",MATCH(A1012,INDIRECT("'"&amp;E1012&amp;"'!C"&amp;$O$1005&amp;":C"&amp;$O$1007),0)+$O$1005-1),"")</f>
        <v>C333</v>
      </c>
      <c r="C1012" s="1089" t="str">
        <f ca="1">IFERROR(_xlfn.CONCAT("D",MATCH(A1012,INDIRECT("'"&amp;E1012&amp;"'!C"&amp;$O$1005&amp;":C"&amp;$O$1007),0)+$O$1005-1),"")</f>
        <v>D333</v>
      </c>
      <c r="D1012" s="1089" t="s">
        <v>1448</v>
      </c>
      <c r="E1012" s="1089" t="s">
        <v>1618</v>
      </c>
      <c r="I1012" s="1026" t="str">
        <f t="shared" si="114"/>
        <v>Incentive Dates Match Agreement Dates Flag</v>
      </c>
      <c r="J1012" s="1376" t="str">
        <f t="shared" si="116"/>
        <v>995</v>
      </c>
      <c r="K1012" s="1376" t="str">
        <f t="shared" si="115"/>
        <v>Incentives Worksheet</v>
      </c>
      <c r="L1012" s="1089" t="s">
        <v>1597</v>
      </c>
      <c r="M1012" s="1376">
        <v>995</v>
      </c>
      <c r="N1012" s="1376"/>
      <c r="R1012" s="1376" t="s">
        <v>484</v>
      </c>
    </row>
    <row r="1013" spans="1:18" s="1370" customFormat="1" x14ac:dyDescent="0.25">
      <c r="A1013" s="1118" t="s">
        <v>1594</v>
      </c>
      <c r="B1013" s="1089" t="str">
        <f ca="1">_xlfn.CONCAT(IFERROR(SUBSTITUTE(ADDRESS(1,MATCH(A1013,INDIRECT("'"&amp;E1013&amp;"'"&amp;"!A" &amp; $O$1005 + 8 &amp; ":Z" &amp; $O$1005 + 8),0),4),1,""),""),$O$1005 + 8)</f>
        <v>H331</v>
      </c>
      <c r="C1013" s="1089" t="str">
        <f ca="1">_xlfn.CONCAT(IFERROR(SUBSTITUTE(ADDRESS(1,MATCH(A1013,INDIRECT("'"&amp;E1013&amp;"'"&amp;"!A" &amp; $O$1005 + 8 &amp; ":Z" &amp; $O$1005 + 8),0),4),1,""),""),$O$1005 + 9)</f>
        <v>H332</v>
      </c>
      <c r="D1013" s="1089" t="s">
        <v>1448</v>
      </c>
      <c r="E1013" s="1089" t="s">
        <v>1618</v>
      </c>
      <c r="I1013" s="1026" t="str">
        <f t="shared" si="114"/>
        <v>Include All Customers Flag</v>
      </c>
      <c r="J1013" s="1376" t="str">
        <f t="shared" si="116"/>
        <v>996</v>
      </c>
      <c r="K1013" s="1376" t="str">
        <f t="shared" si="115"/>
        <v>Incentives Worksheet</v>
      </c>
      <c r="L1013" s="1089" t="s">
        <v>1594</v>
      </c>
      <c r="M1013" s="1376">
        <v>996</v>
      </c>
      <c r="N1013" s="1376"/>
      <c r="R1013" s="1376" t="s">
        <v>484</v>
      </c>
    </row>
    <row r="1014" spans="1:18" s="1370" customFormat="1" x14ac:dyDescent="0.25">
      <c r="A1014" s="1118" t="s">
        <v>1495</v>
      </c>
      <c r="B1014" s="1089" t="str">
        <f ca="1">_xlfn.CONCAT(IFERROR(SUBSTITUTE(ADDRESS(1,MATCH(A1014,INDIRECT("'"&amp;E1014&amp;"'"&amp;"!A" &amp; $O$1005 + 5 &amp; ":Z" &amp; $O$1005 + 5),0),4),1,""),""),$O$1005 + 5)</f>
        <v>H328</v>
      </c>
      <c r="C1014" s="1089" t="str">
        <f ca="1">_xlfn.CONCAT(IFERROR(SUBSTITUTE(ADDRESS(1,MATCH(A1014,INDIRECT("'"&amp;E1014&amp;"'"&amp;"!A" &amp; $O$1005 + 5 &amp; ":Z" &amp; $O$1005 + 5),0),4),1,""),""),$O$1005 + 6)</f>
        <v>H329</v>
      </c>
      <c r="D1014" s="1089" t="s">
        <v>1448</v>
      </c>
      <c r="E1014" s="1089" t="s">
        <v>1618</v>
      </c>
      <c r="I1014" s="1026" t="str">
        <f t="shared" si="114"/>
        <v/>
      </c>
      <c r="J1014" s="1376"/>
      <c r="K1014" s="1376" t="str">
        <f t="shared" si="115"/>
        <v/>
      </c>
      <c r="L1014" s="1089" t="s">
        <v>1495</v>
      </c>
      <c r="M1014" s="1376">
        <v>997</v>
      </c>
      <c r="N1014" s="1376"/>
      <c r="R1014" s="1376" t="s">
        <v>484</v>
      </c>
    </row>
    <row r="1015" spans="1:18" s="1370" customFormat="1" x14ac:dyDescent="0.25">
      <c r="A1015" s="1121" t="s">
        <v>1593</v>
      </c>
      <c r="B1015" s="1089" t="str">
        <f ca="1">IFERROR(_xlfn.CONCAT("C",MATCH(A1015,INDIRECT("'"&amp;E1015&amp;"'!C"&amp;$O$1016&amp;":C"&amp;$O$1018),0)+$O$1016-1),"")</f>
        <v>C341</v>
      </c>
      <c r="C1015" s="1089" t="str">
        <f ca="1">IFERROR(_xlfn.CONCAT("D",MATCH(A1015,INDIRECT("'"&amp;E1015&amp;"'!C"&amp;$O$1016&amp;":C"&amp;$O$1018),0)+$O$1016-1),"")</f>
        <v>D341</v>
      </c>
      <c r="D1015" s="1089" t="s">
        <v>1448</v>
      </c>
      <c r="E1015" s="1089" t="s">
        <v>1618</v>
      </c>
      <c r="I1015" s="1026" t="str">
        <f t="shared" si="114"/>
        <v/>
      </c>
      <c r="J1015" s="1376"/>
      <c r="K1015" s="1376" t="str">
        <f t="shared" si="115"/>
        <v/>
      </c>
      <c r="L1015" s="1089" t="s">
        <v>1593</v>
      </c>
      <c r="M1015" s="1376">
        <v>998</v>
      </c>
      <c r="N1015" s="1376"/>
      <c r="O1015" s="1370" t="s">
        <v>742</v>
      </c>
      <c r="R1015" s="1376" t="s">
        <v>484</v>
      </c>
    </row>
    <row r="1016" spans="1:18" s="1370" customFormat="1" x14ac:dyDescent="0.25">
      <c r="A1016" s="1121" t="s">
        <v>1809</v>
      </c>
      <c r="B1016" s="1089" t="str">
        <f ca="1">_xlfn.CONCAT(IFERROR(SUBSTITUTE(ADDRESS(1,MATCH(A1016,INDIRECT("'"&amp;E1016&amp;"'"&amp;"!A" &amp; $O$1016 + 11 &amp; ":Z" &amp; $O$1016 +11),0),4),1,""),""),$O$1016 + 11)</f>
        <v>T348</v>
      </c>
      <c r="C1016" s="1089" t="str">
        <f ca="1">_xlfn.CONCAT(IFERROR(SUBSTITUTE(ADDRESS(1,MATCH(A1016,INDIRECT("'"&amp;E1016&amp;"'"&amp;"!A" &amp; $O$1016 + 11 &amp; ":Z" &amp; $O$1016 +11),0),4),1,""),""),$O$1016 + 12)</f>
        <v>T349</v>
      </c>
      <c r="D1016" s="1089" t="s">
        <v>1448</v>
      </c>
      <c r="E1016" s="1089" t="s">
        <v>1618</v>
      </c>
      <c r="I1016" s="1026" t="str">
        <f t="shared" si="114"/>
        <v/>
      </c>
      <c r="J1016" s="1376"/>
      <c r="K1016" s="1376" t="str">
        <f t="shared" si="115"/>
        <v/>
      </c>
      <c r="L1016" s="1089" t="s">
        <v>1809</v>
      </c>
      <c r="M1016" s="1376">
        <v>999</v>
      </c>
      <c r="N1016" s="1376"/>
      <c r="O1016" s="1370">
        <f>'Configurable Tab'!H26</f>
        <v>337</v>
      </c>
      <c r="Q1016" s="1370" t="s">
        <v>653</v>
      </c>
      <c r="R1016" s="1376" t="s">
        <v>484</v>
      </c>
    </row>
    <row r="1017" spans="1:18" s="1370" customFormat="1" x14ac:dyDescent="0.25">
      <c r="A1017" s="1121" t="s">
        <v>1482</v>
      </c>
      <c r="B1017" s="1089" t="str">
        <f ca="1">IFERROR(_xlfn.CONCAT("C",MATCH(A1017,INDIRECT("'"&amp;E1017&amp;"'!C"&amp;$O$1016&amp;":C"&amp;$O$1018),0)+$O$1016-1),"")</f>
        <v>C339</v>
      </c>
      <c r="C1017" s="1089" t="str">
        <f ca="1">IFERROR(_xlfn.CONCAT("D",MATCH(A1017,INDIRECT("'"&amp;E1017&amp;"'!C"&amp;$O$1016&amp;":C"&amp;$O$1018),0)+$O$1016-1),"")</f>
        <v>D339</v>
      </c>
      <c r="D1017" s="1089" t="s">
        <v>1448</v>
      </c>
      <c r="E1017" s="1089" t="s">
        <v>1618</v>
      </c>
      <c r="I1017" s="1026" t="str">
        <f t="shared" si="114"/>
        <v/>
      </c>
      <c r="J1017" s="1376"/>
      <c r="K1017" s="1376" t="str">
        <f t="shared" si="115"/>
        <v/>
      </c>
      <c r="L1017" s="1089" t="s">
        <v>1482</v>
      </c>
      <c r="M1017" s="1376">
        <v>1000</v>
      </c>
      <c r="N1017" s="1376"/>
      <c r="O1017" s="1370" t="s">
        <v>743</v>
      </c>
      <c r="R1017" s="1376" t="s">
        <v>484</v>
      </c>
    </row>
    <row r="1018" spans="1:18" s="1370" customFormat="1" x14ac:dyDescent="0.25">
      <c r="A1018" s="1121" t="s">
        <v>1480</v>
      </c>
      <c r="B1018" s="1089" t="str">
        <f ca="1">_xlfn.CONCAT(IFERROR(SUBSTITUTE(ADDRESS(1,MATCH(A1018,INDIRECT("'"&amp;E1018&amp;"'"&amp;"!A" &amp; $O$1016 + 2 &amp; ":Z" &amp; $O$1016 + 2),0),4),1,""),""),$O$1016 + 2)</f>
        <v>J339</v>
      </c>
      <c r="C1018" s="1089" t="str">
        <f ca="1">_xlfn.CONCAT(IFERROR(SUBSTITUTE(ADDRESS(1,MATCH(A1018,INDIRECT("'"&amp;E1018&amp;"'"&amp;"!A" &amp; $O$1016 + 2 &amp; ":Z" &amp; $O$1016 + 2),0),4),1,""),""),$O$1016 + 3)</f>
        <v>J340</v>
      </c>
      <c r="D1018" s="1089" t="s">
        <v>1448</v>
      </c>
      <c r="E1018" s="1089" t="s">
        <v>1618</v>
      </c>
      <c r="I1018" s="1026" t="str">
        <f t="shared" si="114"/>
        <v/>
      </c>
      <c r="J1018" s="1376"/>
      <c r="K1018" s="1376" t="str">
        <f t="shared" si="115"/>
        <v/>
      </c>
      <c r="L1018" s="1089" t="s">
        <v>1480</v>
      </c>
      <c r="M1018" s="1376">
        <v>1001</v>
      </c>
      <c r="N1018" s="1376"/>
      <c r="O1018" s="1370">
        <f>'Configurable Tab'!I26</f>
        <v>350</v>
      </c>
      <c r="R1018" s="1376" t="s">
        <v>484</v>
      </c>
    </row>
    <row r="1019" spans="1:18" s="1370" customFormat="1" x14ac:dyDescent="0.25">
      <c r="A1019" s="1121" t="s">
        <v>1496</v>
      </c>
      <c r="B1019" s="1089" t="str">
        <f ca="1">_xlfn.CONCAT(IFERROR(SUBSTITUTE(ADDRESS(1,MATCH(A1019,INDIRECT("'"&amp;E1019&amp;"'"&amp;"!A" &amp; $O$1016 + 2 &amp; ":Z" &amp; $O$1016 + 2),0),4),1,""),""),$O$1016 + 2)</f>
        <v>L339</v>
      </c>
      <c r="C1019" s="1089" t="str">
        <f ca="1">_xlfn.CONCAT(IFERROR(SUBSTITUTE(ADDRESS(1,MATCH(A1019,INDIRECT("'"&amp;E1019&amp;"'"&amp;"!A" &amp; $O$1016 + 2 &amp; ":Z" &amp; $O$1016 + 2),0),4),1,""),""),$O$1016 + 3)</f>
        <v>L340</v>
      </c>
      <c r="D1019" s="1089" t="s">
        <v>1448</v>
      </c>
      <c r="E1019" s="1089" t="s">
        <v>1618</v>
      </c>
      <c r="I1019" s="1026" t="str">
        <f t="shared" si="114"/>
        <v/>
      </c>
      <c r="J1019" s="1376"/>
      <c r="K1019" s="1376" t="str">
        <f t="shared" si="115"/>
        <v/>
      </c>
      <c r="L1019" s="1089" t="s">
        <v>1496</v>
      </c>
      <c r="M1019" s="1376">
        <v>1002</v>
      </c>
      <c r="N1019" s="1376"/>
      <c r="O1019" s="1370" t="s">
        <v>1755</v>
      </c>
      <c r="R1019" s="1376" t="s">
        <v>484</v>
      </c>
    </row>
    <row r="1020" spans="1:18" s="1370" customFormat="1" x14ac:dyDescent="0.25">
      <c r="A1020" s="1121" t="s">
        <v>1481</v>
      </c>
      <c r="B1020" s="1089" t="str">
        <f ca="1">_xlfn.CONCAT(IFERROR(SUBSTITUTE(ADDRESS(1,MATCH(A1020,INDIRECT("'"&amp;E1020&amp;"'"&amp;"!A" &amp; $O$1016 + 2 &amp; ":Z" &amp; $O$1016 + 2),0),4),1,""),""),$O$1016 + 2)</f>
        <v>N339</v>
      </c>
      <c r="C1020" s="1089" t="str">
        <f ca="1">_xlfn.CONCAT(IFERROR(SUBSTITUTE(ADDRESS(1,MATCH(A1020,INDIRECT("'"&amp;E1020&amp;"'"&amp;"!A" &amp; $O$1016 + 2 &amp; ":Z" &amp; $O$1016 + 2),0),4),1,""),""),$O$1016 + 3)</f>
        <v>N340</v>
      </c>
      <c r="D1020" s="1089" t="s">
        <v>1448</v>
      </c>
      <c r="E1020" s="1089" t="s">
        <v>1618</v>
      </c>
      <c r="I1020" s="1026" t="str">
        <f t="shared" si="114"/>
        <v/>
      </c>
      <c r="J1020" s="1376"/>
      <c r="K1020" s="1376" t="str">
        <f t="shared" si="115"/>
        <v/>
      </c>
      <c r="L1020" s="1089" t="s">
        <v>1481</v>
      </c>
      <c r="M1020" s="1376">
        <v>1003</v>
      </c>
      <c r="N1020" s="1376"/>
      <c r="R1020" s="1376" t="s">
        <v>484</v>
      </c>
    </row>
    <row r="1021" spans="1:18" s="1370" customFormat="1" x14ac:dyDescent="0.25">
      <c r="A1021" s="1121" t="s">
        <v>1484</v>
      </c>
      <c r="B1021" s="1089" t="str">
        <f ca="1">IFERROR(_xlfn.CONCAT("C",MATCH(A1021,INDIRECT("'"&amp;E1021&amp;"'!C"&amp;$O$1016&amp;":C"&amp;$O$1018),0)+$O$1016-1),"")</f>
        <v>C343</v>
      </c>
      <c r="C1021" s="1089" t="str">
        <f ca="1">IFERROR(_xlfn.CONCAT("D",MATCH(A1021,INDIRECT("'"&amp;E1021&amp;"'!C"&amp;$O$1016&amp;":C"&amp;$O$1018),0)+$O$1016-1),"")</f>
        <v>D343</v>
      </c>
      <c r="D1021" s="1089" t="s">
        <v>1448</v>
      </c>
      <c r="E1021" s="1089" t="s">
        <v>1618</v>
      </c>
      <c r="I1021" s="1026" t="str">
        <f t="shared" si="114"/>
        <v/>
      </c>
      <c r="J1021" s="1376"/>
      <c r="K1021" s="1376" t="str">
        <f t="shared" si="115"/>
        <v/>
      </c>
      <c r="L1021" s="1089" t="s">
        <v>1484</v>
      </c>
      <c r="M1021" s="1376">
        <v>1004</v>
      </c>
      <c r="N1021" s="1376"/>
      <c r="R1021" s="1376" t="s">
        <v>484</v>
      </c>
    </row>
    <row r="1022" spans="1:18" s="1370" customFormat="1" x14ac:dyDescent="0.25">
      <c r="A1022" s="1121" t="s">
        <v>1485</v>
      </c>
      <c r="B1022" s="1089" t="str">
        <f ca="1">IFERROR(_xlfn.CONCAT("C",MATCH(A1022,INDIRECT("'"&amp;E1022&amp;"'!C"&amp;$O$1016&amp;":C"&amp;$O$1018),0)+$O$1016-1),"")</f>
        <v>C345</v>
      </c>
      <c r="C1022" s="1089" t="str">
        <f ca="1">IFERROR(_xlfn.CONCAT("D",MATCH(A1022,INDIRECT("'"&amp;E1022&amp;"'!C"&amp;$O$1016&amp;":C"&amp;$O$1018),0)+$O$1016-1),"")</f>
        <v>D345</v>
      </c>
      <c r="D1022" s="1089" t="s">
        <v>1448</v>
      </c>
      <c r="E1022" s="1089" t="s">
        <v>1618</v>
      </c>
      <c r="I1022" s="1026" t="str">
        <f t="shared" si="114"/>
        <v/>
      </c>
      <c r="J1022" s="1376"/>
      <c r="K1022" s="1376" t="str">
        <f t="shared" si="115"/>
        <v/>
      </c>
      <c r="L1022" s="1089" t="s">
        <v>1485</v>
      </c>
      <c r="M1022" s="1376">
        <v>1005</v>
      </c>
      <c r="N1022" s="1376"/>
      <c r="R1022" s="1376" t="s">
        <v>484</v>
      </c>
    </row>
    <row r="1023" spans="1:18" s="1370" customFormat="1" ht="30" x14ac:dyDescent="0.25">
      <c r="A1023" s="1121" t="s">
        <v>1597</v>
      </c>
      <c r="B1023" s="1089" t="str">
        <f ca="1">IFERROR(_xlfn.CONCAT("C",MATCH(A1023,INDIRECT("'"&amp;E1023&amp;"'!C"&amp;$O$1016&amp;":C"&amp;$O$1018),0)+$O$1016-1),"")</f>
        <v>C347</v>
      </c>
      <c r="C1023" s="1089" t="str">
        <f ca="1">IFERROR(_xlfn.CONCAT("D",MATCH(A1023,INDIRECT("'"&amp;E1023&amp;"'!C"&amp;$O$1016&amp;":C"&amp;$O$1018),0)+$O$1016-1),"")</f>
        <v>D347</v>
      </c>
      <c r="D1023" s="1089" t="s">
        <v>1448</v>
      </c>
      <c r="E1023" s="1089" t="s">
        <v>1618</v>
      </c>
      <c r="I1023" s="1026" t="str">
        <f t="shared" si="114"/>
        <v>Incentive Dates Match Agreement Dates Flag</v>
      </c>
      <c r="J1023" s="1376" t="str">
        <f t="shared" si="116"/>
        <v>1006</v>
      </c>
      <c r="K1023" s="1376" t="str">
        <f t="shared" si="115"/>
        <v>Incentives Worksheet</v>
      </c>
      <c r="L1023" s="1089" t="s">
        <v>1597</v>
      </c>
      <c r="M1023" s="1376">
        <v>1006</v>
      </c>
      <c r="N1023" s="1376"/>
      <c r="R1023" s="1376" t="s">
        <v>484</v>
      </c>
    </row>
    <row r="1024" spans="1:18" s="1370" customFormat="1" x14ac:dyDescent="0.25">
      <c r="A1024" s="1121" t="s">
        <v>1594</v>
      </c>
      <c r="B1024" s="1089" t="str">
        <f ca="1">_xlfn.CONCAT(IFERROR(SUBSTITUTE(ADDRESS(1,MATCH(A1024,INDIRECT("'"&amp;E1024&amp;"'"&amp;"!A" &amp; $O$1016 + 8 &amp; ":Z" &amp; $O$1016 + 8),0),4),1,""),""),$O$1016 + 8)</f>
        <v>H345</v>
      </c>
      <c r="C1024" s="1089" t="str">
        <f ca="1">_xlfn.CONCAT(IFERROR(SUBSTITUTE(ADDRESS(1,MATCH(A1024,INDIRECT("'"&amp;E1024&amp;"'"&amp;"!A" &amp; $O$1016 + 8 &amp; ":Z" &amp; $O$1016 + 8),0),4),1,""),""),$O$1016 + 9)</f>
        <v>H346</v>
      </c>
      <c r="D1024" s="1089" t="s">
        <v>1448</v>
      </c>
      <c r="E1024" s="1089" t="s">
        <v>1618</v>
      </c>
      <c r="I1024" s="1026" t="str">
        <f t="shared" si="114"/>
        <v>Include All Customers Flag</v>
      </c>
      <c r="J1024" s="1376" t="str">
        <f t="shared" si="116"/>
        <v>1007</v>
      </c>
      <c r="K1024" s="1376" t="str">
        <f t="shared" si="115"/>
        <v>Incentives Worksheet</v>
      </c>
      <c r="L1024" s="1089" t="s">
        <v>1594</v>
      </c>
      <c r="M1024" s="1376">
        <v>1007</v>
      </c>
      <c r="N1024" s="1376"/>
      <c r="R1024" s="1376" t="s">
        <v>484</v>
      </c>
    </row>
    <row r="1025" spans="1:18" s="1370" customFormat="1" x14ac:dyDescent="0.25">
      <c r="A1025" s="1121" t="s">
        <v>1495</v>
      </c>
      <c r="B1025" s="1089" t="str">
        <f ca="1">_xlfn.CONCAT(IFERROR(SUBSTITUTE(ADDRESS(1,MATCH(A1025,INDIRECT("'"&amp;E1025&amp;"'"&amp;"!A" &amp; $O$1016 + 5 &amp; ":Z" &amp; $O$1016 + 5),0),4),1,""),""),$O$1016 + 5)</f>
        <v>H342</v>
      </c>
      <c r="C1025" s="1089" t="str">
        <f ca="1">_xlfn.CONCAT(IFERROR(SUBSTITUTE(ADDRESS(1,MATCH(A1025,INDIRECT("'"&amp;E1025&amp;"'"&amp;"!A" &amp; $O$1016 + 5 &amp; ":Z" &amp; $O$1016 + 5),0),4),1,""),""),$O$1016 + 6)</f>
        <v>H343</v>
      </c>
      <c r="D1025" s="1089" t="s">
        <v>1448</v>
      </c>
      <c r="E1025" s="1089" t="s">
        <v>1618</v>
      </c>
      <c r="I1025" s="1026" t="str">
        <f t="shared" si="114"/>
        <v/>
      </c>
      <c r="J1025" s="1376"/>
      <c r="K1025" s="1376" t="str">
        <f t="shared" si="115"/>
        <v/>
      </c>
      <c r="L1025" s="1089" t="s">
        <v>1495</v>
      </c>
      <c r="M1025" s="1376">
        <v>1008</v>
      </c>
      <c r="N1025" s="1376"/>
      <c r="R1025" s="1376" t="s">
        <v>484</v>
      </c>
    </row>
    <row r="1026" spans="1:18" s="1370" customFormat="1" x14ac:dyDescent="0.25">
      <c r="A1026" s="1118" t="s">
        <v>1593</v>
      </c>
      <c r="B1026" s="1089" t="str">
        <f ca="1">IFERROR(_xlfn.CONCAT("C",MATCH(A1026,INDIRECT("'"&amp;E1026&amp;"'!C"&amp;$O$1027&amp;":C"&amp;$O$1029),0)+$O$1027-1),"")</f>
        <v>C355</v>
      </c>
      <c r="C1026" s="1089" t="str">
        <f ca="1">IFERROR(_xlfn.CONCAT("D",MATCH(A1026,INDIRECT("'"&amp;E1026&amp;"'!C"&amp;$O$1027&amp;":C"&amp;$O$1029),0)+$O$1027-1),"")</f>
        <v>D355</v>
      </c>
      <c r="D1026" s="1089" t="s">
        <v>1448</v>
      </c>
      <c r="E1026" s="1089" t="s">
        <v>1618</v>
      </c>
      <c r="I1026" s="1026" t="str">
        <f t="shared" si="114"/>
        <v/>
      </c>
      <c r="J1026" s="1376"/>
      <c r="K1026" s="1376" t="str">
        <f t="shared" si="115"/>
        <v/>
      </c>
      <c r="L1026" s="1089" t="s">
        <v>1593</v>
      </c>
      <c r="M1026" s="1376">
        <v>1009</v>
      </c>
      <c r="N1026" s="1376"/>
      <c r="O1026" s="1370" t="s">
        <v>742</v>
      </c>
      <c r="R1026" s="1376" t="s">
        <v>484</v>
      </c>
    </row>
    <row r="1027" spans="1:18" s="1370" customFormat="1" x14ac:dyDescent="0.25">
      <c r="A1027" s="1118" t="s">
        <v>1809</v>
      </c>
      <c r="B1027" s="1089" t="str">
        <f ca="1">_xlfn.CONCAT(IFERROR(SUBSTITUTE(ADDRESS(1,MATCH(A1027,INDIRECT("'"&amp;E1027&amp;"'"&amp;"!A" &amp; $O$1027 + 11 &amp; ":Z" &amp; $O$1027 + 11),0),4),1,""),""),$O$1027+ 11)</f>
        <v>T362</v>
      </c>
      <c r="C1027" s="1089" t="str">
        <f ca="1">_xlfn.CONCAT(IFERROR(SUBSTITUTE(ADDRESS(1,MATCH(A1027,INDIRECT("'"&amp;E1027&amp;"'"&amp;"!A" &amp; $O$1027 + 11 &amp; ":Z" &amp; $O$1027 + 11),0),4),1,""),""),$O$1027+ 12)</f>
        <v>T363</v>
      </c>
      <c r="D1027" s="1089" t="s">
        <v>1448</v>
      </c>
      <c r="E1027" s="1089" t="s">
        <v>1618</v>
      </c>
      <c r="I1027" s="1026" t="str">
        <f t="shared" si="114"/>
        <v/>
      </c>
      <c r="J1027" s="1376"/>
      <c r="K1027" s="1376" t="str">
        <f t="shared" si="115"/>
        <v/>
      </c>
      <c r="L1027" s="1089" t="s">
        <v>1809</v>
      </c>
      <c r="M1027" s="1376">
        <v>1010</v>
      </c>
      <c r="N1027" s="1376"/>
      <c r="O1027" s="1370">
        <f>'Configurable Tab'!H27</f>
        <v>351</v>
      </c>
      <c r="Q1027" s="1370" t="s">
        <v>653</v>
      </c>
      <c r="R1027" s="1376" t="s">
        <v>484</v>
      </c>
    </row>
    <row r="1028" spans="1:18" s="1370" customFormat="1" x14ac:dyDescent="0.25">
      <c r="A1028" s="1118" t="s">
        <v>1482</v>
      </c>
      <c r="B1028" s="1089" t="str">
        <f ca="1">IFERROR(_xlfn.CONCAT("C",MATCH(A1028,INDIRECT("'"&amp;E1028&amp;"'!C"&amp;$O$1027&amp;":C"&amp;$O$1029),0)+$O$1027-1),"")</f>
        <v>C353</v>
      </c>
      <c r="C1028" s="1089" t="str">
        <f ca="1">IFERROR(_xlfn.CONCAT("D",MATCH(A1028,INDIRECT("'"&amp;E1028&amp;"'!C"&amp;$O$1027&amp;":C"&amp;$O$1029),0)+$O$1027-1),"")</f>
        <v>D353</v>
      </c>
      <c r="D1028" s="1089" t="s">
        <v>1448</v>
      </c>
      <c r="E1028" s="1089" t="s">
        <v>1618</v>
      </c>
      <c r="I1028" s="1026" t="str">
        <f t="shared" ref="I1028:I1091" si="121">IF(J1028&lt;&gt;"",A1028,"")</f>
        <v/>
      </c>
      <c r="J1028" s="1376"/>
      <c r="K1028" s="1376" t="str">
        <f t="shared" ref="K1028:K1091" si="122">IF(J1028&lt;&gt;"",E1028,"")</f>
        <v/>
      </c>
      <c r="L1028" s="1089" t="s">
        <v>1482</v>
      </c>
      <c r="M1028" s="1376">
        <v>1011</v>
      </c>
      <c r="N1028" s="1376"/>
      <c r="O1028" s="1370" t="s">
        <v>743</v>
      </c>
      <c r="R1028" s="1376" t="s">
        <v>484</v>
      </c>
    </row>
    <row r="1029" spans="1:18" s="1370" customFormat="1" x14ac:dyDescent="0.25">
      <c r="A1029" s="1118" t="s">
        <v>1480</v>
      </c>
      <c r="B1029" s="1089" t="str">
        <f ca="1">_xlfn.CONCAT(IFERROR(SUBSTITUTE(ADDRESS(1,MATCH(A1029,INDIRECT("'"&amp;E1029&amp;"'"&amp;"!A" &amp; $O$1027 + 2 &amp; ":Z" &amp; $O$1027 + 2),0),4),1,""),""),$O$1027+ 2)</f>
        <v>J353</v>
      </c>
      <c r="C1029" s="1089" t="str">
        <f ca="1">_xlfn.CONCAT(IFERROR(SUBSTITUTE(ADDRESS(1,MATCH(A1029,INDIRECT("'"&amp;E1029&amp;"'"&amp;"!A" &amp; $O$1027 + 2 &amp; ":Z" &amp; $O$1027 + 2),0),4),1,""),""),$O$1027+ 3)</f>
        <v>J354</v>
      </c>
      <c r="D1029" s="1089" t="s">
        <v>1448</v>
      </c>
      <c r="E1029" s="1089" t="s">
        <v>1618</v>
      </c>
      <c r="I1029" s="1026" t="str">
        <f t="shared" si="121"/>
        <v/>
      </c>
      <c r="J1029" s="1376"/>
      <c r="K1029" s="1376" t="str">
        <f t="shared" si="122"/>
        <v/>
      </c>
      <c r="L1029" s="1089" t="s">
        <v>1480</v>
      </c>
      <c r="M1029" s="1376">
        <v>1012</v>
      </c>
      <c r="N1029" s="1376"/>
      <c r="O1029" s="1370">
        <f>'Configurable Tab'!I27</f>
        <v>364</v>
      </c>
      <c r="R1029" s="1376" t="s">
        <v>484</v>
      </c>
    </row>
    <row r="1030" spans="1:18" s="1370" customFormat="1" x14ac:dyDescent="0.25">
      <c r="A1030" s="1118" t="s">
        <v>1496</v>
      </c>
      <c r="B1030" s="1089" t="str">
        <f ca="1">_xlfn.CONCAT(IFERROR(SUBSTITUTE(ADDRESS(1,MATCH(A1030,INDIRECT("'"&amp;E1030&amp;"'"&amp;"!A" &amp; $O$1027 + 2 &amp; ":Z" &amp; $O$1027 + 2),0),4),1,""),""),$O$1027+ 2)</f>
        <v>L353</v>
      </c>
      <c r="C1030" s="1089" t="str">
        <f ca="1">_xlfn.CONCAT(IFERROR(SUBSTITUTE(ADDRESS(1,MATCH(A1030,INDIRECT("'"&amp;E1030&amp;"'"&amp;"!A" &amp; $O$1027 + 2 &amp; ":Z" &amp; $O$1027 + 2),0),4),1,""),""),$O$1027+ 3)</f>
        <v>L354</v>
      </c>
      <c r="D1030" s="1089" t="s">
        <v>1448</v>
      </c>
      <c r="E1030" s="1089" t="s">
        <v>1618</v>
      </c>
      <c r="I1030" s="1026" t="str">
        <f t="shared" si="121"/>
        <v/>
      </c>
      <c r="J1030" s="1376"/>
      <c r="K1030" s="1376" t="str">
        <f t="shared" si="122"/>
        <v/>
      </c>
      <c r="L1030" s="1089" t="s">
        <v>1496</v>
      </c>
      <c r="M1030" s="1376">
        <v>1013</v>
      </c>
      <c r="N1030" s="1376"/>
      <c r="O1030" s="1370" t="s">
        <v>1756</v>
      </c>
      <c r="R1030" s="1376" t="s">
        <v>484</v>
      </c>
    </row>
    <row r="1031" spans="1:18" s="1370" customFormat="1" x14ac:dyDescent="0.25">
      <c r="A1031" s="1118" t="s">
        <v>1481</v>
      </c>
      <c r="B1031" s="1089" t="str">
        <f ca="1">_xlfn.CONCAT(IFERROR(SUBSTITUTE(ADDRESS(1,MATCH(A1031,INDIRECT("'"&amp;E1031&amp;"'"&amp;"!A" &amp; $O$1027 + 2 &amp; ":Z" &amp; $O$1027 + 2),0),4),1,""),""),$O$1027+ 2)</f>
        <v>N353</v>
      </c>
      <c r="C1031" s="1089" t="str">
        <f ca="1">_xlfn.CONCAT(IFERROR(SUBSTITUTE(ADDRESS(1,MATCH(A1031,INDIRECT("'"&amp;E1031&amp;"'"&amp;"!A" &amp; $O$1027 + 2 &amp; ":Z" &amp; $O$1027 + 2),0),4),1,""),""),$O$1027+ 3)</f>
        <v>N354</v>
      </c>
      <c r="D1031" s="1089" t="s">
        <v>1448</v>
      </c>
      <c r="E1031" s="1089" t="s">
        <v>1618</v>
      </c>
      <c r="I1031" s="1026" t="str">
        <f t="shared" si="121"/>
        <v/>
      </c>
      <c r="J1031" s="1376"/>
      <c r="K1031" s="1376" t="str">
        <f t="shared" si="122"/>
        <v/>
      </c>
      <c r="L1031" s="1089" t="s">
        <v>1481</v>
      </c>
      <c r="M1031" s="1376">
        <v>1014</v>
      </c>
      <c r="N1031" s="1376"/>
      <c r="R1031" s="1376" t="s">
        <v>484</v>
      </c>
    </row>
    <row r="1032" spans="1:18" s="1370" customFormat="1" x14ac:dyDescent="0.25">
      <c r="A1032" s="1118" t="s">
        <v>1484</v>
      </c>
      <c r="B1032" s="1089" t="str">
        <f ca="1">IFERROR(_xlfn.CONCAT("C",MATCH(A1032,INDIRECT("'"&amp;E1032&amp;"'!C"&amp;$O$1027&amp;":C"&amp;$O$1029),0)+$O$1027-1),"")</f>
        <v>C357</v>
      </c>
      <c r="C1032" s="1089" t="str">
        <f ca="1">IFERROR(_xlfn.CONCAT("D",MATCH(A1032,INDIRECT("'"&amp;E1032&amp;"'!C"&amp;$O$1027&amp;":C"&amp;$O$1029),0)+$O$1027-1),"")</f>
        <v>D357</v>
      </c>
      <c r="D1032" s="1089" t="s">
        <v>1448</v>
      </c>
      <c r="E1032" s="1089" t="s">
        <v>1618</v>
      </c>
      <c r="I1032" s="1026" t="str">
        <f t="shared" si="121"/>
        <v/>
      </c>
      <c r="J1032" s="1376"/>
      <c r="K1032" s="1376" t="str">
        <f t="shared" si="122"/>
        <v/>
      </c>
      <c r="L1032" s="1089" t="s">
        <v>1484</v>
      </c>
      <c r="M1032" s="1376">
        <v>1015</v>
      </c>
      <c r="N1032" s="1376"/>
      <c r="R1032" s="1376" t="s">
        <v>484</v>
      </c>
    </row>
    <row r="1033" spans="1:18" s="1370" customFormat="1" x14ac:dyDescent="0.25">
      <c r="A1033" s="1118" t="s">
        <v>1485</v>
      </c>
      <c r="B1033" s="1089" t="str">
        <f ca="1">IFERROR(_xlfn.CONCAT("C",MATCH(A1033,INDIRECT("'"&amp;E1033&amp;"'!C"&amp;$O$1027&amp;":C"&amp;$O$1029),0)+$O$1027-1),"")</f>
        <v>C359</v>
      </c>
      <c r="C1033" s="1089" t="str">
        <f ca="1">IFERROR(_xlfn.CONCAT("D",MATCH(A1033,INDIRECT("'"&amp;E1033&amp;"'!C"&amp;$O$1027&amp;":C"&amp;$O$1029),0)+$O$1027-1),"")</f>
        <v>D359</v>
      </c>
      <c r="D1033" s="1089" t="s">
        <v>1448</v>
      </c>
      <c r="E1033" s="1089" t="s">
        <v>1618</v>
      </c>
      <c r="I1033" s="1026" t="str">
        <f t="shared" si="121"/>
        <v/>
      </c>
      <c r="J1033" s="1376"/>
      <c r="K1033" s="1376" t="str">
        <f t="shared" si="122"/>
        <v/>
      </c>
      <c r="L1033" s="1089" t="s">
        <v>1485</v>
      </c>
      <c r="M1033" s="1376">
        <v>1016</v>
      </c>
      <c r="N1033" s="1376"/>
      <c r="R1033" s="1376" t="s">
        <v>484</v>
      </c>
    </row>
    <row r="1034" spans="1:18" s="1370" customFormat="1" ht="30" x14ac:dyDescent="0.25">
      <c r="A1034" s="1118" t="s">
        <v>1597</v>
      </c>
      <c r="B1034" s="1089" t="str">
        <f ca="1">IFERROR(_xlfn.CONCAT("C",MATCH(A1034,INDIRECT("'"&amp;E1034&amp;"'!C"&amp;$O$1027&amp;":C"&amp;$O$1029),0)+$O$1027-1),"")</f>
        <v>C361</v>
      </c>
      <c r="C1034" s="1089" t="str">
        <f ca="1">IFERROR(_xlfn.CONCAT("D",MATCH(A1034,INDIRECT("'"&amp;E1034&amp;"'!C"&amp;$O$1027&amp;":C"&amp;$O$1029),0)+$O$1027-1),"")</f>
        <v>D361</v>
      </c>
      <c r="D1034" s="1089" t="s">
        <v>1448</v>
      </c>
      <c r="E1034" s="1089" t="s">
        <v>1618</v>
      </c>
      <c r="I1034" s="1026" t="str">
        <f t="shared" si="121"/>
        <v>Incentive Dates Match Agreement Dates Flag</v>
      </c>
      <c r="J1034" s="1376" t="str">
        <f t="shared" ref="J1034:J1076" si="123">IF(M1034&lt;&gt;"",Q$1&amp;M1034,"")</f>
        <v>1017</v>
      </c>
      <c r="K1034" s="1376" t="str">
        <f t="shared" si="122"/>
        <v>Incentives Worksheet</v>
      </c>
      <c r="L1034" s="1089" t="s">
        <v>1597</v>
      </c>
      <c r="M1034" s="1376">
        <v>1017</v>
      </c>
      <c r="N1034" s="1376"/>
      <c r="R1034" s="1376" t="s">
        <v>484</v>
      </c>
    </row>
    <row r="1035" spans="1:18" s="1370" customFormat="1" x14ac:dyDescent="0.25">
      <c r="A1035" s="1118" t="s">
        <v>1594</v>
      </c>
      <c r="B1035" s="1089" t="str">
        <f ca="1">_xlfn.CONCAT(IFERROR(SUBSTITUTE(ADDRESS(1,MATCH(A1035,INDIRECT("'"&amp;E1035&amp;"'"&amp;"!A" &amp; $O$1027 + 8 &amp; ":Z" &amp; $O$1027 + 8),0),4),1,""),""),$O$1027+ 8)</f>
        <v>H359</v>
      </c>
      <c r="C1035" s="1089" t="str">
        <f ca="1">_xlfn.CONCAT(IFERROR(SUBSTITUTE(ADDRESS(1,MATCH(A1035,INDIRECT("'"&amp;E1035&amp;"'"&amp;"!A" &amp; $O$1027 + 8 &amp; ":Z" &amp; $O$1027 + 8),0),4),1,""),""),$O$1027+ 9)</f>
        <v>H360</v>
      </c>
      <c r="D1035" s="1089" t="s">
        <v>1448</v>
      </c>
      <c r="E1035" s="1089" t="s">
        <v>1618</v>
      </c>
      <c r="I1035" s="1026" t="str">
        <f t="shared" si="121"/>
        <v>Include All Customers Flag</v>
      </c>
      <c r="J1035" s="1376" t="str">
        <f t="shared" si="123"/>
        <v>1018</v>
      </c>
      <c r="K1035" s="1376" t="str">
        <f t="shared" si="122"/>
        <v>Incentives Worksheet</v>
      </c>
      <c r="L1035" s="1089" t="s">
        <v>1594</v>
      </c>
      <c r="M1035" s="1376">
        <v>1018</v>
      </c>
      <c r="N1035" s="1376"/>
      <c r="R1035" s="1376" t="s">
        <v>484</v>
      </c>
    </row>
    <row r="1036" spans="1:18" s="1370" customFormat="1" x14ac:dyDescent="0.25">
      <c r="A1036" s="1118" t="s">
        <v>1495</v>
      </c>
      <c r="B1036" s="1089" t="str">
        <f ca="1">_xlfn.CONCAT(IFERROR(SUBSTITUTE(ADDRESS(1,MATCH(A1036,INDIRECT("'"&amp;E1036&amp;"'"&amp;"!A" &amp; $O$1027 + 5 &amp; ":Z" &amp; $O$1027 + 5),0),4),1,""),""),$O$1027+ 5)</f>
        <v>H356</v>
      </c>
      <c r="C1036" s="1089" t="str">
        <f ca="1">_xlfn.CONCAT(IFERROR(SUBSTITUTE(ADDRESS(1,MATCH(A1036,INDIRECT("'"&amp;E1036&amp;"'"&amp;"!A" &amp; $O$1027 + 5 &amp; ":Z" &amp; $O$1027 + 5),0),4),1,""),""),$O$1027+ 6)</f>
        <v>H357</v>
      </c>
      <c r="D1036" s="1089" t="s">
        <v>1448</v>
      </c>
      <c r="E1036" s="1089" t="s">
        <v>1618</v>
      </c>
      <c r="I1036" s="1026" t="str">
        <f t="shared" si="121"/>
        <v/>
      </c>
      <c r="J1036" s="1376"/>
      <c r="K1036" s="1376" t="str">
        <f t="shared" si="122"/>
        <v/>
      </c>
      <c r="L1036" s="1089" t="s">
        <v>1495</v>
      </c>
      <c r="M1036" s="1376">
        <v>1019</v>
      </c>
      <c r="N1036" s="1376"/>
      <c r="R1036" s="1376" t="s">
        <v>484</v>
      </c>
    </row>
    <row r="1037" spans="1:18" s="1370" customFormat="1" x14ac:dyDescent="0.25">
      <c r="A1037" s="1121" t="s">
        <v>1593</v>
      </c>
      <c r="B1037" s="1089" t="str">
        <f ca="1">IFERROR(_xlfn.CONCAT("C",MATCH(A1037,INDIRECT("'"&amp;E1037&amp;"'!C"&amp;$O$1038&amp;":C"&amp;$O$1040),0)+$O$1038-1),"")</f>
        <v>C369</v>
      </c>
      <c r="C1037" s="1089" t="str">
        <f ca="1">IFERROR(_xlfn.CONCAT("D",MATCH(A1037,INDIRECT("'"&amp;E1037&amp;"'!C"&amp;$O$1038&amp;":C"&amp;$O$1040),0)+$O$1038-1),"")</f>
        <v>D369</v>
      </c>
      <c r="D1037" s="1089" t="s">
        <v>1448</v>
      </c>
      <c r="E1037" s="1089" t="s">
        <v>1618</v>
      </c>
      <c r="I1037" s="1026" t="str">
        <f t="shared" si="121"/>
        <v/>
      </c>
      <c r="J1037" s="1376"/>
      <c r="K1037" s="1376" t="str">
        <f t="shared" si="122"/>
        <v/>
      </c>
      <c r="L1037" s="1089" t="s">
        <v>1593</v>
      </c>
      <c r="M1037" s="1376">
        <v>1020</v>
      </c>
      <c r="N1037" s="1376"/>
      <c r="O1037" s="1370" t="s">
        <v>742</v>
      </c>
      <c r="R1037" s="1376" t="s">
        <v>1224</v>
      </c>
    </row>
    <row r="1038" spans="1:18" s="1370" customFormat="1" x14ac:dyDescent="0.25">
      <c r="A1038" s="1121" t="s">
        <v>1809</v>
      </c>
      <c r="B1038" s="1089" t="str">
        <f ca="1">_xlfn.CONCAT(IFERROR(SUBSTITUTE(ADDRESS(1,MATCH(A1038,INDIRECT("'"&amp;E1038&amp;"'"&amp;"!A" &amp; $O$1038 + 11 &amp; ":Z" &amp; $O$1038 + 11),0),4),1,""),""),$O$1038+ 11)</f>
        <v>T376</v>
      </c>
      <c r="C1038" s="1089" t="str">
        <f ca="1">_xlfn.CONCAT(IFERROR(SUBSTITUTE(ADDRESS(1,MATCH(A1038,INDIRECT("'"&amp;E1038&amp;"'"&amp;"!A" &amp; $O$1038 + 11 &amp; ":Z" &amp; $O$1038 + 11),0),4),1,""),""),$O$1038+ 12)</f>
        <v>T377</v>
      </c>
      <c r="D1038" s="1089" t="s">
        <v>1448</v>
      </c>
      <c r="E1038" s="1089" t="s">
        <v>1618</v>
      </c>
      <c r="I1038" s="1026" t="str">
        <f t="shared" si="121"/>
        <v/>
      </c>
      <c r="J1038" s="1376"/>
      <c r="K1038" s="1376" t="str">
        <f t="shared" si="122"/>
        <v/>
      </c>
      <c r="L1038" s="1089" t="s">
        <v>1809</v>
      </c>
      <c r="M1038" s="1376">
        <v>1021</v>
      </c>
      <c r="N1038" s="1376"/>
      <c r="O1038" s="1370">
        <f>'Configurable Tab'!H28</f>
        <v>365</v>
      </c>
      <c r="Q1038" s="1370" t="s">
        <v>653</v>
      </c>
      <c r="R1038" s="1376" t="s">
        <v>1224</v>
      </c>
    </row>
    <row r="1039" spans="1:18" s="1370" customFormat="1" x14ac:dyDescent="0.25">
      <c r="A1039" s="1121" t="s">
        <v>1482</v>
      </c>
      <c r="B1039" s="1089" t="str">
        <f ca="1">IFERROR(_xlfn.CONCAT("C",MATCH(A1039,INDIRECT("'"&amp;E1039&amp;"'!C"&amp;$O$1038&amp;":C"&amp;$O$1040),0)+$O$1038-1),"")</f>
        <v>C367</v>
      </c>
      <c r="C1039" s="1089" t="str">
        <f ca="1">IFERROR(_xlfn.CONCAT("D",MATCH(A1039,INDIRECT("'"&amp;E1039&amp;"'!C"&amp;$O$1038&amp;":C"&amp;$O$1040),0)+$O$1038-1),"")</f>
        <v>D367</v>
      </c>
      <c r="D1039" s="1089" t="s">
        <v>1448</v>
      </c>
      <c r="E1039" s="1089" t="s">
        <v>1618</v>
      </c>
      <c r="I1039" s="1026" t="str">
        <f t="shared" si="121"/>
        <v/>
      </c>
      <c r="J1039" s="1376"/>
      <c r="K1039" s="1376" t="str">
        <f t="shared" si="122"/>
        <v/>
      </c>
      <c r="L1039" s="1089" t="s">
        <v>1482</v>
      </c>
      <c r="M1039" s="1376">
        <v>1022</v>
      </c>
      <c r="N1039" s="1376"/>
      <c r="O1039" s="1370" t="s">
        <v>743</v>
      </c>
      <c r="R1039" s="1376" t="s">
        <v>1224</v>
      </c>
    </row>
    <row r="1040" spans="1:18" s="1370" customFormat="1" x14ac:dyDescent="0.25">
      <c r="A1040" s="1121" t="s">
        <v>1480</v>
      </c>
      <c r="B1040" s="1089" t="str">
        <f t="shared" ref="B1040:B1045" ca="1" si="124">_xlfn.CONCAT(IFERROR(SUBSTITUTE(ADDRESS(1,MATCH(A1040,INDIRECT("'"&amp;E1040&amp;"'"&amp;"!A" &amp; $O$1038 + 2 &amp; ":Z" &amp; $O$1038 + 2),0),4),1,""),""),$O$1038+ 2)</f>
        <v>J367</v>
      </c>
      <c r="C1040" s="1089" t="str">
        <f t="shared" ref="C1040:C1045" ca="1" si="125">_xlfn.CONCAT(IFERROR(SUBSTITUTE(ADDRESS(1,MATCH(A1040,INDIRECT("'"&amp;E1040&amp;"'"&amp;"!A" &amp; $O$1038 + 2 &amp; ":Z" &amp; $O$1038 + 2),0),4),1,""),""),$O$1038+ 3)</f>
        <v>J368</v>
      </c>
      <c r="D1040" s="1089" t="s">
        <v>1448</v>
      </c>
      <c r="E1040" s="1089" t="s">
        <v>1618</v>
      </c>
      <c r="I1040" s="1026" t="str">
        <f t="shared" si="121"/>
        <v/>
      </c>
      <c r="J1040" s="1376"/>
      <c r="K1040" s="1376" t="str">
        <f t="shared" si="122"/>
        <v/>
      </c>
      <c r="L1040" s="1089" t="s">
        <v>1480</v>
      </c>
      <c r="M1040" s="1376">
        <v>1023</v>
      </c>
      <c r="N1040" s="1376"/>
      <c r="O1040" s="1370">
        <f>'Configurable Tab'!I28</f>
        <v>378</v>
      </c>
      <c r="R1040" s="1376" t="s">
        <v>1224</v>
      </c>
    </row>
    <row r="1041" spans="1:18" s="1370" customFormat="1" x14ac:dyDescent="0.25">
      <c r="A1041" s="1121" t="s">
        <v>1496</v>
      </c>
      <c r="B1041" s="1089" t="str">
        <f t="shared" ca="1" si="124"/>
        <v>L367</v>
      </c>
      <c r="C1041" s="1089" t="str">
        <f t="shared" ca="1" si="125"/>
        <v>L368</v>
      </c>
      <c r="D1041" s="1089" t="s">
        <v>1448</v>
      </c>
      <c r="E1041" s="1089" t="s">
        <v>1618</v>
      </c>
      <c r="I1041" s="1026" t="str">
        <f t="shared" si="121"/>
        <v/>
      </c>
      <c r="J1041" s="1376"/>
      <c r="K1041" s="1376" t="str">
        <f t="shared" si="122"/>
        <v/>
      </c>
      <c r="L1041" s="1089" t="s">
        <v>1496</v>
      </c>
      <c r="M1041" s="1376">
        <v>1024</v>
      </c>
      <c r="N1041" s="1376"/>
      <c r="O1041" s="1370" t="s">
        <v>1757</v>
      </c>
      <c r="R1041" s="1376" t="s">
        <v>1224</v>
      </c>
    </row>
    <row r="1042" spans="1:18" s="1370" customFormat="1" x14ac:dyDescent="0.25">
      <c r="A1042" s="1121" t="s">
        <v>1481</v>
      </c>
      <c r="B1042" s="1089" t="str">
        <f t="shared" ca="1" si="124"/>
        <v>N367</v>
      </c>
      <c r="C1042" s="1089" t="str">
        <f t="shared" ca="1" si="125"/>
        <v>N368</v>
      </c>
      <c r="D1042" s="1089" t="s">
        <v>1448</v>
      </c>
      <c r="E1042" s="1089" t="s">
        <v>1618</v>
      </c>
      <c r="I1042" s="1026" t="str">
        <f t="shared" si="121"/>
        <v/>
      </c>
      <c r="J1042" s="1376"/>
      <c r="K1042" s="1376" t="str">
        <f t="shared" si="122"/>
        <v/>
      </c>
      <c r="L1042" s="1089" t="s">
        <v>1481</v>
      </c>
      <c r="M1042" s="1376">
        <v>1025</v>
      </c>
      <c r="N1042" s="1376"/>
      <c r="R1042" s="1376" t="s">
        <v>1224</v>
      </c>
    </row>
    <row r="1043" spans="1:18" s="1370" customFormat="1" x14ac:dyDescent="0.25">
      <c r="A1043" s="1121" t="s">
        <v>1588</v>
      </c>
      <c r="B1043" s="1089" t="str">
        <f t="shared" ca="1" si="124"/>
        <v>P367</v>
      </c>
      <c r="C1043" s="1089" t="str">
        <f t="shared" ca="1" si="125"/>
        <v>P368</v>
      </c>
      <c r="D1043" s="1089" t="s">
        <v>1448</v>
      </c>
      <c r="E1043" s="1089" t="s">
        <v>1618</v>
      </c>
      <c r="I1043" s="1026" t="str">
        <f t="shared" si="121"/>
        <v>Qualifying Cycle</v>
      </c>
      <c r="J1043" s="1376" t="str">
        <f t="shared" si="123"/>
        <v>1026</v>
      </c>
      <c r="K1043" s="1376" t="str">
        <f t="shared" si="122"/>
        <v>Incentives Worksheet</v>
      </c>
      <c r="L1043" s="1089" t="s">
        <v>1588</v>
      </c>
      <c r="M1043" s="1376">
        <v>1026</v>
      </c>
      <c r="N1043" s="1376"/>
      <c r="R1043" s="1376" t="s">
        <v>1224</v>
      </c>
    </row>
    <row r="1044" spans="1:18" s="1370" customFormat="1" x14ac:dyDescent="0.25">
      <c r="A1044" s="1121" t="s">
        <v>1589</v>
      </c>
      <c r="B1044" s="1089" t="str">
        <f t="shared" ca="1" si="124"/>
        <v>R367</v>
      </c>
      <c r="C1044" s="1089" t="str">
        <f t="shared" ca="1" si="125"/>
        <v>R368</v>
      </c>
      <c r="D1044" s="1089" t="s">
        <v>1448</v>
      </c>
      <c r="E1044" s="1089" t="s">
        <v>1618</v>
      </c>
      <c r="I1044" s="1026" t="str">
        <f t="shared" si="121"/>
        <v>Incentive Calendar</v>
      </c>
      <c r="J1044" s="1376" t="str">
        <f t="shared" si="123"/>
        <v>1027</v>
      </c>
      <c r="K1044" s="1376" t="str">
        <f t="shared" si="122"/>
        <v>Incentives Worksheet</v>
      </c>
      <c r="L1044" s="1089" t="s">
        <v>1589</v>
      </c>
      <c r="M1044" s="1376">
        <v>1027</v>
      </c>
      <c r="N1044" s="1376"/>
      <c r="R1044" s="1376" t="s">
        <v>1224</v>
      </c>
    </row>
    <row r="1045" spans="1:18" s="1370" customFormat="1" x14ac:dyDescent="0.25">
      <c r="A1045" s="1121" t="s">
        <v>1590</v>
      </c>
      <c r="B1045" s="1089" t="str">
        <f t="shared" ca="1" si="124"/>
        <v>T367</v>
      </c>
      <c r="C1045" s="1089" t="str">
        <f t="shared" ca="1" si="125"/>
        <v>T368</v>
      </c>
      <c r="D1045" s="1089" t="s">
        <v>1448</v>
      </c>
      <c r="E1045" s="1089" t="s">
        <v>1618</v>
      </c>
      <c r="I1045" s="1026" t="str">
        <f t="shared" si="121"/>
        <v>Post to GL Payment Method Flag</v>
      </c>
      <c r="J1045" s="1376" t="str">
        <f t="shared" si="123"/>
        <v>1028</v>
      </c>
      <c r="K1045" s="1376" t="str">
        <f t="shared" si="122"/>
        <v>Incentives Worksheet</v>
      </c>
      <c r="L1045" s="1089" t="s">
        <v>1590</v>
      </c>
      <c r="M1045" s="1376">
        <v>1028</v>
      </c>
      <c r="N1045" s="1376"/>
      <c r="R1045" s="1376" t="s">
        <v>1224</v>
      </c>
    </row>
    <row r="1046" spans="1:18" s="1370" customFormat="1" x14ac:dyDescent="0.25">
      <c r="A1046" s="1121" t="s">
        <v>1484</v>
      </c>
      <c r="B1046" s="1089" t="str">
        <f ca="1">IFERROR(_xlfn.CONCAT("C",MATCH(A1046,INDIRECT("'"&amp;E1046&amp;"'!C"&amp;$O$1038&amp;":C"&amp;$O$1040),0)+$O$1038-1),"")</f>
        <v>C371</v>
      </c>
      <c r="C1046" s="1089" t="str">
        <f ca="1">IFERROR(_xlfn.CONCAT("D",MATCH(A1046,INDIRECT("'"&amp;E1046&amp;"'!C"&amp;$O$1038&amp;":C"&amp;$O$1040),0)+$O$1038-1),"")</f>
        <v>D371</v>
      </c>
      <c r="D1046" s="1089" t="s">
        <v>1448</v>
      </c>
      <c r="E1046" s="1089" t="s">
        <v>1618</v>
      </c>
      <c r="I1046" s="1026" t="str">
        <f t="shared" si="121"/>
        <v/>
      </c>
      <c r="J1046" s="1376"/>
      <c r="K1046" s="1376" t="str">
        <f t="shared" si="122"/>
        <v/>
      </c>
      <c r="L1046" s="1089" t="s">
        <v>1484</v>
      </c>
      <c r="M1046" s="1376">
        <v>1029</v>
      </c>
      <c r="N1046" s="1376"/>
      <c r="R1046" s="1376" t="s">
        <v>1224</v>
      </c>
    </row>
    <row r="1047" spans="1:18" s="1370" customFormat="1" x14ac:dyDescent="0.25">
      <c r="A1047" s="1121" t="s">
        <v>1485</v>
      </c>
      <c r="B1047" s="1089" t="str">
        <f ca="1">IFERROR(_xlfn.CONCAT("C",MATCH(A1047,INDIRECT("'"&amp;E1047&amp;"'!C"&amp;$O$1038&amp;":C"&amp;$O$1040),0)+$O$1038-1),"")</f>
        <v>C373</v>
      </c>
      <c r="C1047" s="1089" t="str">
        <f ca="1">IFERROR(_xlfn.CONCAT("D",MATCH(A1047,INDIRECT("'"&amp;E1047&amp;"'!C"&amp;$O$1038&amp;":C"&amp;$O$1040),0)+$O$1038-1),"")</f>
        <v>D373</v>
      </c>
      <c r="D1047" s="1089" t="s">
        <v>1448</v>
      </c>
      <c r="E1047" s="1089" t="s">
        <v>1618</v>
      </c>
      <c r="I1047" s="1026" t="str">
        <f t="shared" si="121"/>
        <v/>
      </c>
      <c r="J1047" s="1376"/>
      <c r="K1047" s="1376" t="str">
        <f t="shared" si="122"/>
        <v/>
      </c>
      <c r="L1047" s="1089" t="s">
        <v>1485</v>
      </c>
      <c r="M1047" s="1376">
        <v>1030</v>
      </c>
      <c r="N1047" s="1376"/>
      <c r="R1047" s="1376" t="s">
        <v>1224</v>
      </c>
    </row>
    <row r="1048" spans="1:18" s="1370" customFormat="1" ht="30" x14ac:dyDescent="0.25">
      <c r="A1048" s="1121" t="s">
        <v>1597</v>
      </c>
      <c r="B1048" s="1089" t="str">
        <f ca="1">IFERROR(_xlfn.CONCAT("C",MATCH(A1048,INDIRECT("'"&amp;E1048&amp;"'!C"&amp;$O$1038&amp;":C"&amp;$O$1040),0)+$O$1038-1),"")</f>
        <v>C375</v>
      </c>
      <c r="C1048" s="1089" t="str">
        <f ca="1">IFERROR(_xlfn.CONCAT("D",MATCH(A1048,INDIRECT("'"&amp;E1048&amp;"'!C"&amp;$O$1038&amp;":C"&amp;$O$1040),0)+$O$1038-1),"")</f>
        <v>D375</v>
      </c>
      <c r="D1048" s="1089" t="s">
        <v>1448</v>
      </c>
      <c r="E1048" s="1089" t="s">
        <v>1618</v>
      </c>
      <c r="I1048" s="1026" t="str">
        <f t="shared" si="121"/>
        <v>Incentive Dates Match Agreement Dates Flag</v>
      </c>
      <c r="J1048" s="1376" t="str">
        <f t="shared" si="123"/>
        <v>1031</v>
      </c>
      <c r="K1048" s="1376" t="str">
        <f t="shared" si="122"/>
        <v>Incentives Worksheet</v>
      </c>
      <c r="L1048" s="1089" t="s">
        <v>1597</v>
      </c>
      <c r="M1048" s="1376">
        <v>1031</v>
      </c>
      <c r="N1048" s="1376"/>
      <c r="R1048" s="1376" t="s">
        <v>1224</v>
      </c>
    </row>
    <row r="1049" spans="1:18" s="1370" customFormat="1" x14ac:dyDescent="0.25">
      <c r="A1049" s="1121" t="s">
        <v>1594</v>
      </c>
      <c r="B1049" s="1089" t="str">
        <f ca="1">_xlfn.CONCAT(IFERROR(SUBSTITUTE(ADDRESS(1,MATCH(A1049,INDIRECT("'"&amp;E1049&amp;"'"&amp;"!A" &amp; $O$1038 + 8 &amp; ":Z" &amp; $O$1038 + 8),0),4),1,""),""),$O$1038+ 8)</f>
        <v>H373</v>
      </c>
      <c r="C1049" s="1089" t="str">
        <f ca="1">_xlfn.CONCAT(IFERROR(SUBSTITUTE(ADDRESS(1,MATCH(A1049,INDIRECT("'"&amp;E1049&amp;"'"&amp;"!A" &amp; $O$1038 + 8 &amp; ":Z" &amp; $O$1038 + 8),0),4),1,""),""),$O$1038+ 9)</f>
        <v>H374</v>
      </c>
      <c r="D1049" s="1089" t="s">
        <v>1448</v>
      </c>
      <c r="E1049" s="1089" t="s">
        <v>1618</v>
      </c>
      <c r="I1049" s="1026" t="str">
        <f t="shared" si="121"/>
        <v>Include All Customers Flag</v>
      </c>
      <c r="J1049" s="1376" t="str">
        <f t="shared" si="123"/>
        <v>1032</v>
      </c>
      <c r="K1049" s="1376" t="str">
        <f t="shared" si="122"/>
        <v>Incentives Worksheet</v>
      </c>
      <c r="L1049" s="1089" t="s">
        <v>1594</v>
      </c>
      <c r="M1049" s="1376">
        <v>1032</v>
      </c>
      <c r="N1049" s="1376"/>
      <c r="R1049" s="1376" t="s">
        <v>1224</v>
      </c>
    </row>
    <row r="1050" spans="1:18" s="1370" customFormat="1" x14ac:dyDescent="0.25">
      <c r="A1050" s="1121" t="s">
        <v>1488</v>
      </c>
      <c r="B1050" s="1089" t="str">
        <f ca="1">_xlfn.CONCAT(IFERROR(SUBSTITUTE(ADDRESS(1,MATCH(A1050,INDIRECT("'"&amp;E1050&amp;"'"&amp;"!A" &amp; $O$1038 + 5 &amp; ":Z" &amp; $O$1038 + 5),0),4),1,""),""),$O$1038+ 5)</f>
        <v>L370</v>
      </c>
      <c r="C1050" s="1089" t="str">
        <f ca="1">_xlfn.CONCAT(IFERROR(SUBSTITUTE(ADDRESS(1,MATCH(A1050,INDIRECT("'"&amp;E1050&amp;"'"&amp;"!A" &amp; $O$1038 + 5 &amp; ":Z" &amp; $O$1038 + 5),0),4),1,""),""),$O$1038+ 6)</f>
        <v>L371</v>
      </c>
      <c r="D1050" s="1089" t="s">
        <v>1448</v>
      </c>
      <c r="E1050" s="1089" t="s">
        <v>1618</v>
      </c>
      <c r="I1050" s="1026" t="str">
        <f t="shared" si="121"/>
        <v/>
      </c>
      <c r="J1050" s="1376"/>
      <c r="K1050" s="1376" t="str">
        <f t="shared" si="122"/>
        <v/>
      </c>
      <c r="L1050" s="1089" t="s">
        <v>1488</v>
      </c>
      <c r="M1050" s="1376">
        <v>1033</v>
      </c>
      <c r="N1050" s="1376"/>
      <c r="R1050" s="1376" t="s">
        <v>1224</v>
      </c>
    </row>
    <row r="1051" spans="1:18" s="1370" customFormat="1" x14ac:dyDescent="0.25">
      <c r="A1051" s="1118" t="s">
        <v>1593</v>
      </c>
      <c r="B1051" s="1089" t="str">
        <f ca="1">IFERROR(_xlfn.CONCAT("C",MATCH(A1051,INDIRECT("'"&amp;E1051&amp;"'!C"&amp;$O$1052&amp;":C"&amp;$O$1054),0)+$O$1052-1),"")</f>
        <v>C383</v>
      </c>
      <c r="C1051" s="1089" t="str">
        <f ca="1">IFERROR(_xlfn.CONCAT("D",MATCH(A1051,INDIRECT("'"&amp;E1051&amp;"'!C"&amp;$O$1052&amp;":C"&amp;$O$1054),0)+$O$1052-1),"")</f>
        <v>D383</v>
      </c>
      <c r="D1051" s="1089" t="s">
        <v>1448</v>
      </c>
      <c r="E1051" s="1089" t="s">
        <v>1618</v>
      </c>
      <c r="I1051" s="1026" t="str">
        <f t="shared" si="121"/>
        <v/>
      </c>
      <c r="J1051" s="1376"/>
      <c r="K1051" s="1376" t="str">
        <f t="shared" si="122"/>
        <v/>
      </c>
      <c r="L1051" s="1089" t="s">
        <v>1593</v>
      </c>
      <c r="M1051" s="1376">
        <v>1034</v>
      </c>
      <c r="N1051" s="1376"/>
      <c r="O1051" s="1370" t="s">
        <v>742</v>
      </c>
      <c r="R1051" s="1376" t="s">
        <v>1804</v>
      </c>
    </row>
    <row r="1052" spans="1:18" s="1370" customFormat="1" x14ac:dyDescent="0.25">
      <c r="A1052" s="1118" t="s">
        <v>1809</v>
      </c>
      <c r="B1052" s="1089" t="str">
        <f ca="1">_xlfn.CONCAT(IFERROR(SUBSTITUTE(ADDRESS(1,MATCH(A1052,INDIRECT("'"&amp;E1052&amp;"'"&amp;"!A" &amp; $O$1052 + 11 &amp; ":Z" &amp; $O$1052 + 11),0),4),1,""),""),$O$1052+ 11)</f>
        <v>T390</v>
      </c>
      <c r="C1052" s="1089" t="str">
        <f ca="1">_xlfn.CONCAT(IFERROR(SUBSTITUTE(ADDRESS(1,MATCH(A1052,INDIRECT("'"&amp;E1052&amp;"'"&amp;"!A" &amp; $O$1052 + 11 &amp; ":Z" &amp; $O$1052 + 11),0),4),1,""),""),$O$1052+ 12)</f>
        <v>T391</v>
      </c>
      <c r="D1052" s="1089" t="s">
        <v>1448</v>
      </c>
      <c r="E1052" s="1089" t="s">
        <v>1618</v>
      </c>
      <c r="I1052" s="1026" t="str">
        <f t="shared" si="121"/>
        <v/>
      </c>
      <c r="J1052" s="1376"/>
      <c r="K1052" s="1376" t="str">
        <f t="shared" si="122"/>
        <v/>
      </c>
      <c r="L1052" s="1089" t="s">
        <v>1809</v>
      </c>
      <c r="M1052" s="1376">
        <v>1035</v>
      </c>
      <c r="N1052" s="1376"/>
      <c r="O1052" s="1370">
        <f>'Configurable Tab'!H29</f>
        <v>379</v>
      </c>
      <c r="Q1052" s="1370" t="s">
        <v>653</v>
      </c>
      <c r="R1052" s="1376" t="s">
        <v>1804</v>
      </c>
    </row>
    <row r="1053" spans="1:18" s="1370" customFormat="1" x14ac:dyDescent="0.25">
      <c r="A1053" s="1118" t="s">
        <v>1482</v>
      </c>
      <c r="B1053" s="1089" t="str">
        <f ca="1">IFERROR(_xlfn.CONCAT("C",MATCH(A1053,INDIRECT("'"&amp;E1053&amp;"'!C"&amp;$O$1052&amp;":C"&amp;$O$1054),0)+$O$1052-1),"")</f>
        <v>C381</v>
      </c>
      <c r="C1053" s="1089" t="str">
        <f ca="1">IFERROR(_xlfn.CONCAT("D",MATCH(A1053,INDIRECT("'"&amp;E1053&amp;"'!C"&amp;$O$1052&amp;":C"&amp;$O$1054),0)+$O$1052-1),"")</f>
        <v>D381</v>
      </c>
      <c r="D1053" s="1089" t="s">
        <v>1448</v>
      </c>
      <c r="E1053" s="1089" t="s">
        <v>1618</v>
      </c>
      <c r="I1053" s="1026" t="str">
        <f t="shared" si="121"/>
        <v/>
      </c>
      <c r="J1053" s="1376"/>
      <c r="K1053" s="1376" t="str">
        <f t="shared" si="122"/>
        <v/>
      </c>
      <c r="L1053" s="1089" t="s">
        <v>1482</v>
      </c>
      <c r="M1053" s="1376">
        <v>1036</v>
      </c>
      <c r="N1053" s="1376"/>
      <c r="O1053" s="1370" t="s">
        <v>743</v>
      </c>
      <c r="R1053" s="1376" t="s">
        <v>1804</v>
      </c>
    </row>
    <row r="1054" spans="1:18" s="1370" customFormat="1" x14ac:dyDescent="0.25">
      <c r="A1054" s="1118" t="s">
        <v>1480</v>
      </c>
      <c r="B1054" s="1089" t="str">
        <f ca="1">_xlfn.CONCAT(IFERROR(SUBSTITUTE(ADDRESS(1,MATCH(A1054,INDIRECT("'"&amp;E1054&amp;"'"&amp;"!A" &amp; $O$1052 + 2 &amp; ":Z" &amp; $O$1052 + 2),0),4),1,""),""),$O$1052+ 2)</f>
        <v>J381</v>
      </c>
      <c r="C1054" s="1089" t="str">
        <f ca="1">_xlfn.CONCAT(IFERROR(SUBSTITUTE(ADDRESS(1,MATCH(A1054,INDIRECT("'"&amp;E1054&amp;"'"&amp;"!A" &amp; $O$1052 + 2 &amp; ":Z" &amp; $O$1052 + 2),0),4),1,""),""),$O$1052+ 3)</f>
        <v>J382</v>
      </c>
      <c r="D1054" s="1089" t="s">
        <v>1448</v>
      </c>
      <c r="E1054" s="1089" t="s">
        <v>1618</v>
      </c>
      <c r="I1054" s="1026" t="str">
        <f t="shared" si="121"/>
        <v/>
      </c>
      <c r="J1054" s="1376"/>
      <c r="K1054" s="1376" t="str">
        <f t="shared" si="122"/>
        <v/>
      </c>
      <c r="L1054" s="1089" t="s">
        <v>1480</v>
      </c>
      <c r="M1054" s="1376">
        <v>1037</v>
      </c>
      <c r="N1054" s="1376"/>
      <c r="O1054" s="1370">
        <f>'Configurable Tab'!I29</f>
        <v>392</v>
      </c>
      <c r="R1054" s="1376" t="s">
        <v>1804</v>
      </c>
    </row>
    <row r="1055" spans="1:18" s="1370" customFormat="1" x14ac:dyDescent="0.25">
      <c r="A1055" s="1118" t="s">
        <v>1481</v>
      </c>
      <c r="B1055" s="1089" t="str">
        <f ca="1">_xlfn.CONCAT(IFERROR(SUBSTITUTE(ADDRESS(1,MATCH(A1055,INDIRECT("'"&amp;E1055&amp;"'"&amp;"!A" &amp; $O$1052 + 2 &amp; ":Z" &amp; $O$1052 + 2),0),4),1,""),""),$O$1052+ 2)</f>
        <v>N381</v>
      </c>
      <c r="C1055" s="1089" t="str">
        <f ca="1">_xlfn.CONCAT(IFERROR(SUBSTITUTE(ADDRESS(1,MATCH(A1055,INDIRECT("'"&amp;E1055&amp;"'"&amp;"!A" &amp; $O$1052 + 2 &amp; ":Z" &amp; $O$1052 + 2),0),4),1,""),""),$O$1052+ 3)</f>
        <v>N382</v>
      </c>
      <c r="D1055" s="1089" t="s">
        <v>1448</v>
      </c>
      <c r="E1055" s="1089" t="s">
        <v>1618</v>
      </c>
      <c r="I1055" s="1026" t="str">
        <f t="shared" si="121"/>
        <v/>
      </c>
      <c r="J1055" s="1376"/>
      <c r="K1055" s="1376" t="str">
        <f t="shared" si="122"/>
        <v/>
      </c>
      <c r="L1055" s="1089" t="s">
        <v>1481</v>
      </c>
      <c r="M1055" s="1376">
        <v>1038</v>
      </c>
      <c r="N1055" s="1376"/>
      <c r="O1055" s="1370" t="s">
        <v>1758</v>
      </c>
      <c r="R1055" s="1376" t="s">
        <v>1804</v>
      </c>
    </row>
    <row r="1056" spans="1:18" s="1370" customFormat="1" x14ac:dyDescent="0.25">
      <c r="A1056" s="1118" t="s">
        <v>1484</v>
      </c>
      <c r="B1056" s="1089" t="str">
        <f ca="1">IFERROR(_xlfn.CONCAT("C",MATCH(A1056,INDIRECT("'"&amp;E1056&amp;"'!C"&amp;$O$1052&amp;":C"&amp;$O$1054),0)+$O$1052-1),"")</f>
        <v>C385</v>
      </c>
      <c r="C1056" s="1089" t="str">
        <f ca="1">IFERROR(_xlfn.CONCAT("D",MATCH(A1056,INDIRECT("'"&amp;E1056&amp;"'!C"&amp;$O$1052&amp;":C"&amp;$O$1054),0)+$O$1052-1),"")</f>
        <v>D385</v>
      </c>
      <c r="D1056" s="1089" t="s">
        <v>1448</v>
      </c>
      <c r="E1056" s="1089" t="s">
        <v>1618</v>
      </c>
      <c r="I1056" s="1026" t="str">
        <f t="shared" si="121"/>
        <v/>
      </c>
      <c r="J1056" s="1376"/>
      <c r="K1056" s="1376" t="str">
        <f t="shared" si="122"/>
        <v/>
      </c>
      <c r="L1056" s="1089" t="s">
        <v>1484</v>
      </c>
      <c r="M1056" s="1376">
        <v>1039</v>
      </c>
      <c r="N1056" s="1376"/>
      <c r="R1056" s="1376" t="s">
        <v>1804</v>
      </c>
    </row>
    <row r="1057" spans="1:18" s="1370" customFormat="1" x14ac:dyDescent="0.25">
      <c r="A1057" s="1118" t="s">
        <v>1485</v>
      </c>
      <c r="B1057" s="1089" t="str">
        <f ca="1">IFERROR(_xlfn.CONCAT("C",MATCH(A1057,INDIRECT("'"&amp;E1057&amp;"'!C"&amp;$O$1052&amp;":C"&amp;$O$1054),0)+$O$1052-1),"")</f>
        <v>C387</v>
      </c>
      <c r="C1057" s="1089" t="str">
        <f ca="1">IFERROR(_xlfn.CONCAT("D",MATCH(A1057,INDIRECT("'"&amp;E1057&amp;"'!C"&amp;$O$1052&amp;":C"&amp;$O$1054),0)+$O$1052-1),"")</f>
        <v>D387</v>
      </c>
      <c r="D1057" s="1089" t="s">
        <v>1448</v>
      </c>
      <c r="E1057" s="1089" t="s">
        <v>1618</v>
      </c>
      <c r="I1057" s="1026" t="str">
        <f t="shared" si="121"/>
        <v/>
      </c>
      <c r="J1057" s="1376"/>
      <c r="K1057" s="1376" t="str">
        <f t="shared" si="122"/>
        <v/>
      </c>
      <c r="L1057" s="1089" t="s">
        <v>1485</v>
      </c>
      <c r="M1057" s="1376">
        <v>1040</v>
      </c>
      <c r="N1057" s="1376"/>
      <c r="R1057" s="1376" t="s">
        <v>1804</v>
      </c>
    </row>
    <row r="1058" spans="1:18" s="1370" customFormat="1" ht="30" x14ac:dyDescent="0.25">
      <c r="A1058" s="1118" t="s">
        <v>1597</v>
      </c>
      <c r="B1058" s="1089" t="str">
        <f ca="1">IFERROR(_xlfn.CONCAT("C",MATCH(A1058,INDIRECT("'"&amp;E1058&amp;"'!C"&amp;$O$1052&amp;":C"&amp;$O$1054),0)+$O$1052-1),"")</f>
        <v>C389</v>
      </c>
      <c r="C1058" s="1089" t="str">
        <f ca="1">IFERROR(_xlfn.CONCAT("D",MATCH(A1058,INDIRECT("'"&amp;E1058&amp;"'!C"&amp;$O$1052&amp;":C"&amp;$O$1054),0)+$O$1052-1),"")</f>
        <v>D389</v>
      </c>
      <c r="D1058" s="1089" t="s">
        <v>1448</v>
      </c>
      <c r="E1058" s="1089" t="s">
        <v>1618</v>
      </c>
      <c r="I1058" s="1026" t="str">
        <f t="shared" si="121"/>
        <v>Incentive Dates Match Agreement Dates Flag</v>
      </c>
      <c r="J1058" s="1376" t="str">
        <f t="shared" si="123"/>
        <v>1041</v>
      </c>
      <c r="K1058" s="1376" t="str">
        <f t="shared" si="122"/>
        <v>Incentives Worksheet</v>
      </c>
      <c r="L1058" s="1089" t="s">
        <v>1597</v>
      </c>
      <c r="M1058" s="1376">
        <v>1041</v>
      </c>
      <c r="N1058" s="1376"/>
      <c r="R1058" s="1376" t="s">
        <v>1804</v>
      </c>
    </row>
    <row r="1059" spans="1:18" s="1370" customFormat="1" x14ac:dyDescent="0.25">
      <c r="A1059" s="1118" t="s">
        <v>1594</v>
      </c>
      <c r="B1059" s="1089" t="str">
        <f ca="1">_xlfn.CONCAT(IFERROR(SUBSTITUTE(ADDRESS(1,MATCH(A1059,INDIRECT("'"&amp;E1059&amp;"'"&amp;"!A" &amp; $O$1052 + 11 &amp; ":Z" &amp; $O$1052 + 11),0),4),1,""),""),$O$1052+ 11)</f>
        <v>H390</v>
      </c>
      <c r="C1059" s="1089" t="str">
        <f ca="1">_xlfn.CONCAT(IFERROR(SUBSTITUTE(ADDRESS(1,MATCH(A1059,INDIRECT("'"&amp;E1059&amp;"'"&amp;"!A" &amp; $O$1052 + 11 &amp; ":Z" &amp; $O$1052 + 11),0),4),1,""),""),$O$1052+ 12)</f>
        <v>H391</v>
      </c>
      <c r="D1059" s="1089" t="s">
        <v>1448</v>
      </c>
      <c r="E1059" s="1089" t="s">
        <v>1618</v>
      </c>
      <c r="I1059" s="1026" t="str">
        <f t="shared" si="121"/>
        <v>Include All Customers Flag</v>
      </c>
      <c r="J1059" s="1376" t="str">
        <f t="shared" si="123"/>
        <v>1042</v>
      </c>
      <c r="K1059" s="1376" t="str">
        <f t="shared" si="122"/>
        <v>Incentives Worksheet</v>
      </c>
      <c r="L1059" s="1089" t="s">
        <v>1594</v>
      </c>
      <c r="M1059" s="1376">
        <v>1042</v>
      </c>
      <c r="N1059" s="1376"/>
      <c r="R1059" s="1376" t="s">
        <v>1804</v>
      </c>
    </row>
    <row r="1060" spans="1:18" s="1370" customFormat="1" x14ac:dyDescent="0.25">
      <c r="A1060" s="1118" t="s">
        <v>1495</v>
      </c>
      <c r="B1060" s="1089" t="str">
        <f ca="1">_xlfn.CONCAT(IFERROR(SUBSTITUTE(ADDRESS(1,MATCH(A1060,INDIRECT("'"&amp;E1060&amp;"'"&amp;"!A" &amp; $O$1052 + 5 &amp; ":Z" &amp; $O$1052 + 5),0),4),1,""),""),$O$1052+ 5)</f>
        <v>H384</v>
      </c>
      <c r="C1060" s="1089" t="str">
        <f ca="1">_xlfn.CONCAT(IFERROR(SUBSTITUTE(ADDRESS(1,MATCH(A1060,INDIRECT("'"&amp;E1060&amp;"'"&amp;"!A" &amp; $O$1052 + 5 &amp; ":Z" &amp; $O$1052 + 5),0),4),1,""),""),$O$1052+ 6)</f>
        <v>H385</v>
      </c>
      <c r="D1060" s="1089" t="s">
        <v>1448</v>
      </c>
      <c r="E1060" s="1089" t="s">
        <v>1618</v>
      </c>
      <c r="I1060" s="1026" t="str">
        <f t="shared" si="121"/>
        <v/>
      </c>
      <c r="J1060" s="1376"/>
      <c r="K1060" s="1376" t="str">
        <f t="shared" si="122"/>
        <v/>
      </c>
      <c r="L1060" s="1089" t="s">
        <v>1495</v>
      </c>
      <c r="M1060" s="1376">
        <v>1043</v>
      </c>
      <c r="N1060" s="1376"/>
      <c r="R1060" s="1376" t="s">
        <v>1804</v>
      </c>
    </row>
    <row r="1061" spans="1:18" s="1370" customFormat="1" x14ac:dyDescent="0.25">
      <c r="A1061" s="1118" t="s">
        <v>1576</v>
      </c>
      <c r="B1061" s="1089" t="str">
        <f ca="1">_xlfn.CONCAT(IFERROR(SUBSTITUTE(ADDRESS(1,MATCH(A1061,INDIRECT("'"&amp;E1061&amp;"'"&amp;"!A" &amp; $O$1052 + 5 &amp; ":Z" &amp; $O$1052 + 5),0),4),1,""),""),$O$1052+ 5)</f>
        <v>J384</v>
      </c>
      <c r="C1061" s="1089" t="str">
        <f ca="1">_xlfn.CONCAT(IFERROR(SUBSTITUTE(ADDRESS(1,MATCH(A1061,INDIRECT("'"&amp;E1061&amp;"'"&amp;"!A" &amp; $O$1052 + 5 &amp; ":Z" &amp; $O$1052 + 5),0),4),1,""),""),$O$1052+ 6)</f>
        <v>J385</v>
      </c>
      <c r="D1061" s="1089" t="s">
        <v>1448</v>
      </c>
      <c r="E1061" s="1089" t="s">
        <v>1618</v>
      </c>
      <c r="I1061" s="1026" t="str">
        <f t="shared" si="121"/>
        <v/>
      </c>
      <c r="J1061" s="1376"/>
      <c r="K1061" s="1376" t="str">
        <f t="shared" si="122"/>
        <v/>
      </c>
      <c r="L1061" s="1089" t="s">
        <v>1576</v>
      </c>
      <c r="M1061" s="1376">
        <v>1044</v>
      </c>
      <c r="N1061" s="1376"/>
      <c r="R1061" s="1376" t="s">
        <v>1804</v>
      </c>
    </row>
    <row r="1062" spans="1:18" s="1370" customFormat="1" x14ac:dyDescent="0.25">
      <c r="A1062" s="1118" t="s">
        <v>1577</v>
      </c>
      <c r="B1062" s="1089" t="str">
        <f ca="1">_xlfn.CONCAT(IFERROR(SUBSTITUTE(ADDRESS(1,MATCH(A1062,INDIRECT("'"&amp;E1062&amp;"'"&amp;"!A" &amp; $O$1052 + 5 &amp; ":Z" &amp; $O$1052 + 5),0),4),1,""),""),$O$1052+ 5)</f>
        <v>L384</v>
      </c>
      <c r="C1062" s="1089" t="str">
        <f ca="1">_xlfn.CONCAT(IFERROR(SUBSTITUTE(ADDRESS(1,MATCH(A1062,INDIRECT("'"&amp;E1062&amp;"'"&amp;"!A" &amp; $O$1052 + 5 &amp; ":Z" &amp; $O$1052 + 5),0),4),1,""),""),$O$1052+ 6)</f>
        <v>L385</v>
      </c>
      <c r="D1062" s="1089" t="s">
        <v>1448</v>
      </c>
      <c r="E1062" s="1089" t="s">
        <v>1618</v>
      </c>
      <c r="I1062" s="1026" t="str">
        <f t="shared" si="121"/>
        <v/>
      </c>
      <c r="J1062" s="1376"/>
      <c r="K1062" s="1376" t="str">
        <f t="shared" si="122"/>
        <v/>
      </c>
      <c r="L1062" s="1089" t="s">
        <v>1577</v>
      </c>
      <c r="M1062" s="1376">
        <v>1045</v>
      </c>
      <c r="N1062" s="1376"/>
      <c r="R1062" s="1376" t="s">
        <v>1804</v>
      </c>
    </row>
    <row r="1063" spans="1:18" s="1370" customFormat="1" ht="30" x14ac:dyDescent="0.25">
      <c r="A1063" s="1112" t="s">
        <v>1581</v>
      </c>
      <c r="B1063" s="1089" t="str">
        <f ca="1">_xlfn.CONCAT(IFERROR(SUBSTITUTE(ADDRESS(1,MATCH(A1063,INDIRECT("'"&amp;E1063&amp;"'"&amp;"!A" &amp; $O$1052 + 8 &amp; ":Z" &amp; $O$1052 + 8),0),4),1,""),""),$O$1052+ 8)</f>
        <v>J387</v>
      </c>
      <c r="C1063" s="1089" t="str">
        <f ca="1">_xlfn.CONCAT(IFERROR(SUBSTITUTE(ADDRESS(1,MATCH(A1063,INDIRECT("'"&amp;E1063&amp;"'"&amp;"!A" &amp; $O$1052 + 8 &amp; ":Z" &amp; $O$1052 + 8),0),4),1,""),""),$O$1052+ 9)</f>
        <v>J388</v>
      </c>
      <c r="D1063" s="1089" t="s">
        <v>1448</v>
      </c>
      <c r="E1063" s="1089" t="s">
        <v>1618</v>
      </c>
      <c r="I1063" s="1026" t="str">
        <f t="shared" si="121"/>
        <v/>
      </c>
      <c r="J1063" s="1376"/>
      <c r="K1063" s="1376" t="str">
        <f t="shared" si="122"/>
        <v/>
      </c>
      <c r="L1063" s="1090" t="s">
        <v>1581</v>
      </c>
      <c r="M1063" s="1376">
        <v>1046</v>
      </c>
      <c r="N1063" s="1376"/>
      <c r="R1063" s="1376" t="s">
        <v>1804</v>
      </c>
    </row>
    <row r="1064" spans="1:18" s="1370" customFormat="1" x14ac:dyDescent="0.25">
      <c r="A1064" s="1118" t="s">
        <v>1212</v>
      </c>
      <c r="B1064" s="1089" t="str">
        <f ca="1">_xlfn.CONCAT(IFERROR(SUBSTITUTE(ADDRESS(1,MATCH(A1064,INDIRECT("'"&amp;E1064&amp;"'"&amp;"!A" &amp; $O$1052 + 8 &amp; ":Z" &amp; $O$1052 + 8),0),4),1,""),""),$O$1052+ 8)</f>
        <v>L387</v>
      </c>
      <c r="C1064" s="1089" t="str">
        <f ca="1">_xlfn.CONCAT(IFERROR(SUBSTITUTE(ADDRESS(1,MATCH(A1064,INDIRECT("'"&amp;E1064&amp;"'"&amp;"!A" &amp; $O$1052 + 8 &amp; ":Z" &amp; $O$1052 + 8),0),4),1,""),""),$O$1052+ 9)</f>
        <v>L388</v>
      </c>
      <c r="D1064" s="1089" t="s">
        <v>1448</v>
      </c>
      <c r="E1064" s="1089" t="s">
        <v>1618</v>
      </c>
      <c r="I1064" s="1026" t="str">
        <f t="shared" si="121"/>
        <v/>
      </c>
      <c r="J1064" s="1376"/>
      <c r="K1064" s="1376" t="str">
        <f t="shared" si="122"/>
        <v/>
      </c>
      <c r="L1064" s="1089" t="s">
        <v>1212</v>
      </c>
      <c r="M1064" s="1376">
        <v>1047</v>
      </c>
      <c r="N1064" s="1376"/>
      <c r="R1064" s="1376" t="s">
        <v>1804</v>
      </c>
    </row>
    <row r="1065" spans="1:18" s="1370" customFormat="1" x14ac:dyDescent="0.25">
      <c r="A1065" s="1118" t="s">
        <v>1501</v>
      </c>
      <c r="B1065" s="1089" t="str">
        <f ca="1">_xlfn.CONCAT(IFERROR(SUBSTITUTE(ADDRESS(1,MATCH(A1065,INDIRECT("'"&amp;E1065&amp;"'"&amp;"!A" &amp; $O$1052 + 8 &amp; ":Z" &amp; $O$1052 + 8),0),4),1,""),""),$O$1052+ 8)</f>
        <v>R387</v>
      </c>
      <c r="C1065" s="1089" t="str">
        <f ca="1">_xlfn.CONCAT(IFERROR(SUBSTITUTE(ADDRESS(1,MATCH(A1065,INDIRECT("'"&amp;E1065&amp;"'"&amp;"!A" &amp; $O$1052 + 8 &amp; ":Z" &amp; $O$1052 + 8),0),4),1,""),""),$O$1052+ 9)</f>
        <v>R388</v>
      </c>
      <c r="D1065" s="1089" t="s">
        <v>1448</v>
      </c>
      <c r="E1065" s="1089" t="s">
        <v>1618</v>
      </c>
      <c r="I1065" s="1026" t="str">
        <f t="shared" si="121"/>
        <v/>
      </c>
      <c r="J1065" s="1376"/>
      <c r="K1065" s="1376" t="str">
        <f t="shared" si="122"/>
        <v/>
      </c>
      <c r="L1065" s="1089" t="s">
        <v>1501</v>
      </c>
      <c r="M1065" s="1376">
        <v>1048</v>
      </c>
      <c r="N1065" s="1376"/>
      <c r="R1065" s="1376" t="s">
        <v>1804</v>
      </c>
    </row>
    <row r="1066" spans="1:18" s="1370" customFormat="1" x14ac:dyDescent="0.25">
      <c r="A1066" s="1118" t="s">
        <v>1582</v>
      </c>
      <c r="B1066" s="1089" t="str">
        <f ca="1">_xlfn.CONCAT(IFERROR(SUBSTITUTE(ADDRESS(1,MATCH(A1066,INDIRECT("'"&amp;E1066&amp;"'"&amp;"!A" &amp; $O$1052 + 8 &amp; ":Z" &amp; $O$1052 + 8),0),4),1,""),""),$O$1052+ 8)</f>
        <v>N387</v>
      </c>
      <c r="C1066" s="1089" t="str">
        <f ca="1">_xlfn.CONCAT(IFERROR(SUBSTITUTE(ADDRESS(1,MATCH(A1066,INDIRECT("'"&amp;E1066&amp;"'"&amp;"!A" &amp; $O$1052 + 8 &amp; ":Z" &amp; $O$1052 + 8),0),4),1,""),""),$O$1052+ 9)</f>
        <v>N388</v>
      </c>
      <c r="D1066" s="1089" t="s">
        <v>1448</v>
      </c>
      <c r="E1066" s="1089" t="s">
        <v>1618</v>
      </c>
      <c r="I1066" s="1026" t="str">
        <f t="shared" si="121"/>
        <v/>
      </c>
      <c r="J1066" s="1376"/>
      <c r="K1066" s="1376" t="str">
        <f t="shared" si="122"/>
        <v/>
      </c>
      <c r="L1066" s="1089" t="s">
        <v>1582</v>
      </c>
      <c r="M1066" s="1376">
        <v>1049</v>
      </c>
      <c r="N1066" s="1376"/>
      <c r="R1066" s="1376" t="s">
        <v>1804</v>
      </c>
    </row>
    <row r="1067" spans="1:18" s="1370" customFormat="1" x14ac:dyDescent="0.25">
      <c r="A1067" s="1118" t="s">
        <v>1211</v>
      </c>
      <c r="B1067" s="1089" t="str">
        <f ca="1">_xlfn.CONCAT(IFERROR(SUBSTITUTE(ADDRESS(1,MATCH(A1067,INDIRECT("'"&amp;E1067&amp;"'"&amp;"!A" &amp; $O$1052 + 8 &amp; ":Z" &amp; $O$1052 + 8),0),4),1,""),""),$O$1052+ 8)</f>
        <v>P387</v>
      </c>
      <c r="C1067" s="1089" t="str">
        <f ca="1">_xlfn.CONCAT(IFERROR(SUBSTITUTE(ADDRESS(1,MATCH(A1067,INDIRECT("'"&amp;E1067&amp;"'"&amp;"!A" &amp; $O$1052 + 8 &amp; ":Z" &amp; $O$1052 + 8),0),4),1,""),""),$O$1052+ 9)</f>
        <v>P388</v>
      </c>
      <c r="D1067" s="1089" t="s">
        <v>1448</v>
      </c>
      <c r="E1067" s="1089" t="s">
        <v>1618</v>
      </c>
      <c r="I1067" s="1026" t="str">
        <f t="shared" si="121"/>
        <v/>
      </c>
      <c r="J1067" s="1376"/>
      <c r="K1067" s="1376" t="str">
        <f t="shared" si="122"/>
        <v/>
      </c>
      <c r="L1067" s="1089" t="s">
        <v>1211</v>
      </c>
      <c r="M1067" s="1376">
        <v>1050</v>
      </c>
      <c r="N1067" s="1376"/>
      <c r="R1067" s="1376" t="s">
        <v>1804</v>
      </c>
    </row>
    <row r="1068" spans="1:18" s="1370" customFormat="1" x14ac:dyDescent="0.25">
      <c r="A1068" s="1278" t="s">
        <v>1593</v>
      </c>
      <c r="B1068" s="1089" t="str">
        <f ca="1">IFERROR(_xlfn.CONCAT("C",MATCH(A1068,INDIRECT("'"&amp;E1068&amp;"'!C"&amp;$O$1069&amp;":C"&amp;$O$1071),0)+$O$1069-1),"")</f>
        <v>C397</v>
      </c>
      <c r="C1068" s="1089" t="str">
        <f ca="1">IFERROR(_xlfn.CONCAT("D",MATCH(A1068,INDIRECT("'"&amp;E1068&amp;"'!C"&amp;$O$1069&amp;":C"&amp;$O$1071),0)+$O$1069-1),"")</f>
        <v>D397</v>
      </c>
      <c r="D1068" s="1089" t="s">
        <v>1448</v>
      </c>
      <c r="E1068" s="1089" t="s">
        <v>1618</v>
      </c>
      <c r="I1068" s="1026" t="str">
        <f t="shared" si="121"/>
        <v/>
      </c>
      <c r="J1068" s="1376"/>
      <c r="K1068" s="1376" t="str">
        <f t="shared" si="122"/>
        <v/>
      </c>
      <c r="L1068" s="1089" t="s">
        <v>1593</v>
      </c>
      <c r="M1068" s="1376">
        <v>1051</v>
      </c>
      <c r="N1068" s="1376"/>
      <c r="O1068" s="1370" t="s">
        <v>742</v>
      </c>
      <c r="R1068" s="1376" t="s">
        <v>1804</v>
      </c>
    </row>
    <row r="1069" spans="1:18" s="1370" customFormat="1" x14ac:dyDescent="0.25">
      <c r="A1069" s="1278" t="s">
        <v>1809</v>
      </c>
      <c r="B1069" s="1089" t="str">
        <f ca="1">_xlfn.CONCAT(IFERROR(SUBSTITUTE(ADDRESS(1,MATCH(A1069,INDIRECT("'"&amp;E1069&amp;"'"&amp;"!A" &amp; $O$1069 + 11 &amp; ":Z" &amp; $O$1069 + 11),0),4),1,""),""),$O$1069+ 11)</f>
        <v>T404</v>
      </c>
      <c r="C1069" s="1089" t="str">
        <f ca="1">_xlfn.CONCAT(IFERROR(SUBSTITUTE(ADDRESS(1,MATCH(A1069,INDIRECT("'"&amp;E1069&amp;"'"&amp;"!A" &amp; $O$1069 + 11 &amp; ":Z" &amp; $O$1069 + 11),0),4),1,""),""),$O$1069+ 12)</f>
        <v>T405</v>
      </c>
      <c r="D1069" s="1089" t="s">
        <v>1448</v>
      </c>
      <c r="E1069" s="1089" t="s">
        <v>1618</v>
      </c>
      <c r="I1069" s="1026" t="str">
        <f t="shared" si="121"/>
        <v/>
      </c>
      <c r="J1069" s="1376"/>
      <c r="K1069" s="1376" t="str">
        <f t="shared" si="122"/>
        <v/>
      </c>
      <c r="L1069" s="1089" t="s">
        <v>1809</v>
      </c>
      <c r="M1069" s="1376">
        <v>1052</v>
      </c>
      <c r="N1069" s="1376"/>
      <c r="O1069" s="1370">
        <f>'Configurable Tab'!H30</f>
        <v>393</v>
      </c>
      <c r="Q1069" s="1370" t="s">
        <v>653</v>
      </c>
      <c r="R1069" s="1376" t="s">
        <v>1804</v>
      </c>
    </row>
    <row r="1070" spans="1:18" s="1370" customFormat="1" x14ac:dyDescent="0.25">
      <c r="A1070" s="1278" t="s">
        <v>1482</v>
      </c>
      <c r="B1070" s="1089" t="str">
        <f ca="1">IFERROR(_xlfn.CONCAT("C",MATCH(A1070,INDIRECT("'"&amp;E1070&amp;"'!C"&amp;$O$1069&amp;":C"&amp;$O$1071),0)+$O$1069-1),"")</f>
        <v>C395</v>
      </c>
      <c r="C1070" s="1089" t="str">
        <f ca="1">IFERROR(_xlfn.CONCAT("D",MATCH(A1070,INDIRECT("'"&amp;E1070&amp;"'!C"&amp;$O$1069&amp;":C"&amp;$O$1071),0)+$O$1069-1),"")</f>
        <v>D395</v>
      </c>
      <c r="D1070" s="1089" t="s">
        <v>1448</v>
      </c>
      <c r="E1070" s="1089" t="s">
        <v>1618</v>
      </c>
      <c r="I1070" s="1026" t="str">
        <f t="shared" si="121"/>
        <v/>
      </c>
      <c r="J1070" s="1376"/>
      <c r="K1070" s="1376" t="str">
        <f t="shared" si="122"/>
        <v/>
      </c>
      <c r="L1070" s="1089" t="s">
        <v>1482</v>
      </c>
      <c r="M1070" s="1376">
        <v>1053</v>
      </c>
      <c r="N1070" s="1376"/>
      <c r="O1070" s="1370" t="s">
        <v>743</v>
      </c>
      <c r="R1070" s="1376" t="s">
        <v>1804</v>
      </c>
    </row>
    <row r="1071" spans="1:18" s="1370" customFormat="1" x14ac:dyDescent="0.25">
      <c r="A1071" s="1278" t="s">
        <v>1480</v>
      </c>
      <c r="B1071" s="1089" t="str">
        <f ca="1">_xlfn.CONCAT(IFERROR(SUBSTITUTE(ADDRESS(1,MATCH(A1071,INDIRECT("'"&amp;E1071&amp;"'"&amp;"!A" &amp; $O$1069 + 2 &amp; ":Z" &amp; $O$1069 + 2),0),4),1,""),""),$O$1069+ 2)</f>
        <v>J395</v>
      </c>
      <c r="C1071" s="1089" t="str">
        <f ca="1">_xlfn.CONCAT(IFERROR(SUBSTITUTE(ADDRESS(1,MATCH(A1071,INDIRECT("'"&amp;E1071&amp;"'"&amp;"!A" &amp; $O$1069 + 2 &amp; ":Z" &amp; $O$1069 + 2),0),4),1,""),""),$O$1069+ 3)</f>
        <v>J396</v>
      </c>
      <c r="D1071" s="1089" t="s">
        <v>1448</v>
      </c>
      <c r="E1071" s="1089" t="s">
        <v>1618</v>
      </c>
      <c r="I1071" s="1026" t="str">
        <f t="shared" si="121"/>
        <v/>
      </c>
      <c r="J1071" s="1376"/>
      <c r="K1071" s="1376" t="str">
        <f t="shared" si="122"/>
        <v/>
      </c>
      <c r="L1071" s="1089" t="s">
        <v>1480</v>
      </c>
      <c r="M1071" s="1376">
        <v>1054</v>
      </c>
      <c r="N1071" s="1376"/>
      <c r="O1071" s="1370">
        <f>'Configurable Tab'!I30</f>
        <v>406</v>
      </c>
      <c r="R1071" s="1376" t="s">
        <v>1804</v>
      </c>
    </row>
    <row r="1072" spans="1:18" s="1370" customFormat="1" x14ac:dyDescent="0.25">
      <c r="A1072" s="1278" t="s">
        <v>1481</v>
      </c>
      <c r="B1072" s="1089" t="str">
        <f ca="1">_xlfn.CONCAT(IFERROR(SUBSTITUTE(ADDRESS(1,MATCH(A1072,INDIRECT("'"&amp;E1072&amp;"'"&amp;"!A" &amp; $O$1069 + 2 &amp; ":Z" &amp; $O$1069 + 2),0),4),1,""),""),$O$1069+ 2)</f>
        <v>N395</v>
      </c>
      <c r="C1072" s="1089" t="str">
        <f ca="1">_xlfn.CONCAT(IFERROR(SUBSTITUTE(ADDRESS(1,MATCH(A1072,INDIRECT("'"&amp;E1072&amp;"'"&amp;"!A" &amp; $O$1069 + 2 &amp; ":Z" &amp; $O$1069 + 2),0),4),1,""),""),$O$1069+ 3)</f>
        <v>N396</v>
      </c>
      <c r="D1072" s="1089" t="s">
        <v>1448</v>
      </c>
      <c r="E1072" s="1089" t="s">
        <v>1618</v>
      </c>
      <c r="I1072" s="1026" t="str">
        <f t="shared" si="121"/>
        <v/>
      </c>
      <c r="J1072" s="1376"/>
      <c r="K1072" s="1376" t="str">
        <f t="shared" si="122"/>
        <v/>
      </c>
      <c r="L1072" s="1089" t="s">
        <v>1481</v>
      </c>
      <c r="M1072" s="1376">
        <v>1055</v>
      </c>
      <c r="N1072" s="1376"/>
      <c r="O1072" s="1370" t="s">
        <v>1759</v>
      </c>
      <c r="R1072" s="1376" t="s">
        <v>1804</v>
      </c>
    </row>
    <row r="1073" spans="1:18" s="1370" customFormat="1" x14ac:dyDescent="0.25">
      <c r="A1073" s="1278" t="s">
        <v>1484</v>
      </c>
      <c r="B1073" s="1089" t="str">
        <f ca="1">IFERROR(_xlfn.CONCAT("C",MATCH(A1073,INDIRECT("'"&amp;E1073&amp;"'!C"&amp;$O$1069&amp;":C"&amp;$O$1071),0)+$O$1069-1),"")</f>
        <v>C399</v>
      </c>
      <c r="C1073" s="1089" t="str">
        <f ca="1">IFERROR(_xlfn.CONCAT("D",MATCH(A1073,INDIRECT("'"&amp;E1073&amp;"'!C"&amp;$O$1069&amp;":C"&amp;$O$1071),0)+$O$1069-1),"")</f>
        <v>D399</v>
      </c>
      <c r="D1073" s="1089" t="s">
        <v>1448</v>
      </c>
      <c r="E1073" s="1089" t="s">
        <v>1618</v>
      </c>
      <c r="I1073" s="1026" t="str">
        <f t="shared" si="121"/>
        <v/>
      </c>
      <c r="J1073" s="1376"/>
      <c r="K1073" s="1376" t="str">
        <f t="shared" si="122"/>
        <v/>
      </c>
      <c r="L1073" s="1089" t="s">
        <v>1484</v>
      </c>
      <c r="M1073" s="1376">
        <v>1056</v>
      </c>
      <c r="N1073" s="1376"/>
      <c r="R1073" s="1376" t="s">
        <v>1804</v>
      </c>
    </row>
    <row r="1074" spans="1:18" s="1370" customFormat="1" x14ac:dyDescent="0.25">
      <c r="A1074" s="1278" t="s">
        <v>1485</v>
      </c>
      <c r="B1074" s="1089" t="str">
        <f ca="1">IFERROR(_xlfn.CONCAT("C",MATCH(A1074,INDIRECT("'"&amp;E1074&amp;"'!C"&amp;$O$1069&amp;":C"&amp;$O$1071),0)+$O$1069-1),"")</f>
        <v>C401</v>
      </c>
      <c r="C1074" s="1089" t="str">
        <f ca="1">IFERROR(_xlfn.CONCAT("D",MATCH(A1074,INDIRECT("'"&amp;E1074&amp;"'!C"&amp;$O$1069&amp;":C"&amp;$O$1071),0)+$O$1069-1),"")</f>
        <v>D401</v>
      </c>
      <c r="D1074" s="1089" t="s">
        <v>1448</v>
      </c>
      <c r="E1074" s="1089" t="s">
        <v>1618</v>
      </c>
      <c r="I1074" s="1026" t="str">
        <f t="shared" si="121"/>
        <v/>
      </c>
      <c r="J1074" s="1376"/>
      <c r="K1074" s="1376" t="str">
        <f t="shared" si="122"/>
        <v/>
      </c>
      <c r="L1074" s="1089" t="s">
        <v>1485</v>
      </c>
      <c r="M1074" s="1376">
        <v>1057</v>
      </c>
      <c r="N1074" s="1376"/>
      <c r="R1074" s="1376" t="s">
        <v>1804</v>
      </c>
    </row>
    <row r="1075" spans="1:18" s="1370" customFormat="1" ht="30" x14ac:dyDescent="0.25">
      <c r="A1075" s="1278" t="s">
        <v>1597</v>
      </c>
      <c r="B1075" s="1089" t="str">
        <f ca="1">IFERROR(_xlfn.CONCAT("C",MATCH(A1075,INDIRECT("'"&amp;E1075&amp;"'!C"&amp;$O$1069&amp;":C"&amp;$O$1071),0)+$O$1069-1),"")</f>
        <v>C403</v>
      </c>
      <c r="C1075" s="1089" t="str">
        <f ca="1">IFERROR(_xlfn.CONCAT("D",MATCH(A1075,INDIRECT("'"&amp;E1075&amp;"'!C"&amp;$O$1069&amp;":C"&amp;$O$1071),0)+$O$1069-1),"")</f>
        <v>D403</v>
      </c>
      <c r="D1075" s="1089" t="s">
        <v>1448</v>
      </c>
      <c r="E1075" s="1089" t="s">
        <v>1618</v>
      </c>
      <c r="I1075" s="1026" t="str">
        <f t="shared" si="121"/>
        <v>Incentive Dates Match Agreement Dates Flag</v>
      </c>
      <c r="J1075" s="1376" t="str">
        <f t="shared" si="123"/>
        <v>1058</v>
      </c>
      <c r="K1075" s="1376" t="str">
        <f t="shared" si="122"/>
        <v>Incentives Worksheet</v>
      </c>
      <c r="L1075" s="1089" t="s">
        <v>1597</v>
      </c>
      <c r="M1075" s="1376">
        <v>1058</v>
      </c>
      <c r="N1075" s="1376"/>
      <c r="R1075" s="1376" t="s">
        <v>1804</v>
      </c>
    </row>
    <row r="1076" spans="1:18" s="1370" customFormat="1" x14ac:dyDescent="0.25">
      <c r="A1076" s="1278" t="s">
        <v>1594</v>
      </c>
      <c r="B1076" s="1089" t="str">
        <f ca="1">_xlfn.CONCAT(IFERROR(SUBSTITUTE(ADDRESS(1,MATCH(A1076,INDIRECT("'"&amp;E1076&amp;"'"&amp;"!A" &amp; $O$1069 + 11 &amp; ":Z" &amp; $O$1069 + 11),0),4),1,""),""),$O$1069+ 11)</f>
        <v>H404</v>
      </c>
      <c r="C1076" s="1089" t="str">
        <f ca="1">_xlfn.CONCAT(IFERROR(SUBSTITUTE(ADDRESS(1,MATCH(A1076,INDIRECT("'"&amp;E1076&amp;"'"&amp;"!A" &amp; $O$1069 + 11 &amp; ":Z" &amp; $O$1069 + 11),0),4),1,""),""),$O$1069+ 12)</f>
        <v>H405</v>
      </c>
      <c r="D1076" s="1089" t="s">
        <v>1448</v>
      </c>
      <c r="E1076" s="1089" t="s">
        <v>1618</v>
      </c>
      <c r="I1076" s="1026" t="str">
        <f t="shared" si="121"/>
        <v>Include All Customers Flag</v>
      </c>
      <c r="J1076" s="1376" t="str">
        <f t="shared" si="123"/>
        <v>1059</v>
      </c>
      <c r="K1076" s="1376" t="str">
        <f t="shared" si="122"/>
        <v>Incentives Worksheet</v>
      </c>
      <c r="L1076" s="1089" t="s">
        <v>1594</v>
      </c>
      <c r="M1076" s="1376">
        <v>1059</v>
      </c>
      <c r="N1076" s="1376"/>
      <c r="R1076" s="1376" t="s">
        <v>1804</v>
      </c>
    </row>
    <row r="1077" spans="1:18" s="1370" customFormat="1" x14ac:dyDescent="0.25">
      <c r="A1077" s="1278" t="s">
        <v>1495</v>
      </c>
      <c r="B1077" s="1089" t="str">
        <f ca="1">_xlfn.CONCAT(IFERROR(SUBSTITUTE(ADDRESS(1,MATCH(A1077,INDIRECT("'"&amp;E1077&amp;"'"&amp;"!A" &amp; $O$1069 + 5 &amp; ":Z" &amp; $O$1069 + 5),0),4),1,""),""),$O$1069+ 5)</f>
        <v>H398</v>
      </c>
      <c r="C1077" s="1089" t="str">
        <f ca="1">_xlfn.CONCAT(IFERROR(SUBSTITUTE(ADDRESS(1,MATCH(A1077,INDIRECT("'"&amp;E1077&amp;"'"&amp;"!A" &amp; $O$1069 + 5 &amp; ":Z" &amp; $O$1069 + 5),0),4),1,""),""),$O$1069+ 6)</f>
        <v>H399</v>
      </c>
      <c r="D1077" s="1089" t="s">
        <v>1448</v>
      </c>
      <c r="E1077" s="1089" t="s">
        <v>1618</v>
      </c>
      <c r="I1077" s="1026" t="str">
        <f t="shared" si="121"/>
        <v/>
      </c>
      <c r="J1077" s="1376"/>
      <c r="K1077" s="1376" t="str">
        <f t="shared" si="122"/>
        <v/>
      </c>
      <c r="L1077" s="1089" t="s">
        <v>1495</v>
      </c>
      <c r="M1077" s="1376">
        <v>1060</v>
      </c>
      <c r="N1077" s="1376"/>
      <c r="R1077" s="1376" t="s">
        <v>1804</v>
      </c>
    </row>
    <row r="1078" spans="1:18" s="1370" customFormat="1" x14ac:dyDescent="0.25">
      <c r="A1078" s="1278" t="s">
        <v>1576</v>
      </c>
      <c r="B1078" s="1089" t="str">
        <f ca="1">_xlfn.CONCAT(IFERROR(SUBSTITUTE(ADDRESS(1,MATCH(A1078,INDIRECT("'"&amp;E1078&amp;"'"&amp;"!A" &amp; $O$1069 + 5 &amp; ":Z" &amp; $O$1069 + 5),0),4),1,""),""),$O$1069+ 5)</f>
        <v>J398</v>
      </c>
      <c r="C1078" s="1089" t="str">
        <f ca="1">_xlfn.CONCAT(IFERROR(SUBSTITUTE(ADDRESS(1,MATCH(A1078,INDIRECT("'"&amp;E1078&amp;"'"&amp;"!A" &amp; $O$1069 + 5 &amp; ":Z" &amp; $O$1069 + 5),0),4),1,""),""),$O$1069+ 6)</f>
        <v>J399</v>
      </c>
      <c r="D1078" s="1089" t="s">
        <v>1448</v>
      </c>
      <c r="E1078" s="1089" t="s">
        <v>1618</v>
      </c>
      <c r="I1078" s="1026" t="str">
        <f t="shared" si="121"/>
        <v/>
      </c>
      <c r="J1078" s="1376"/>
      <c r="K1078" s="1376" t="str">
        <f t="shared" si="122"/>
        <v/>
      </c>
      <c r="L1078" s="1089" t="s">
        <v>1576</v>
      </c>
      <c r="M1078" s="1376">
        <v>1061</v>
      </c>
      <c r="N1078" s="1376"/>
      <c r="R1078" s="1376" t="s">
        <v>1804</v>
      </c>
    </row>
    <row r="1079" spans="1:18" s="1370" customFormat="1" ht="30" x14ac:dyDescent="0.25">
      <c r="A1079" s="1299" t="s">
        <v>1581</v>
      </c>
      <c r="B1079" s="1089" t="str">
        <f ca="1">_xlfn.CONCAT(IFERROR(SUBSTITUTE(ADDRESS(1,MATCH(A1079,INDIRECT("'"&amp;E1079&amp;"'"&amp;"!A" &amp; $O$1069 + 8 &amp; ":Z" &amp; $O$1069 + 8),0),4),1,""),""),$O$1069+ 8)</f>
        <v>J401</v>
      </c>
      <c r="C1079" s="1089" t="str">
        <f ca="1">_xlfn.CONCAT(IFERROR(SUBSTITUTE(ADDRESS(1,MATCH(A1079,INDIRECT("'"&amp;E1079&amp;"'"&amp;"!A" &amp; $O$1069 + 8 &amp; ":Z" &amp; $O$1069 + 8),0),4),1,""),""),$O$1069+ 9)</f>
        <v>J402</v>
      </c>
      <c r="D1079" s="1089" t="s">
        <v>1448</v>
      </c>
      <c r="E1079" s="1089" t="s">
        <v>1618</v>
      </c>
      <c r="I1079" s="1026" t="str">
        <f t="shared" si="121"/>
        <v/>
      </c>
      <c r="J1079" s="1376"/>
      <c r="K1079" s="1376" t="str">
        <f t="shared" si="122"/>
        <v/>
      </c>
      <c r="L1079" s="1090" t="s">
        <v>1581</v>
      </c>
      <c r="M1079" s="1376">
        <v>1062</v>
      </c>
      <c r="N1079" s="1376"/>
      <c r="R1079" s="1376" t="s">
        <v>1804</v>
      </c>
    </row>
    <row r="1080" spans="1:18" s="1370" customFormat="1" x14ac:dyDescent="0.25">
      <c r="A1080" s="1278" t="s">
        <v>1212</v>
      </c>
      <c r="B1080" s="1089" t="str">
        <f ca="1">_xlfn.CONCAT(IFERROR(SUBSTITUTE(ADDRESS(1,MATCH(A1080,INDIRECT("'"&amp;E1080&amp;"'"&amp;"!A" &amp; $O$1069 + 8 &amp; ":Z" &amp; $O$1069 + 8),0),4),1,""),""),$O$1069+ 8)</f>
        <v>L401</v>
      </c>
      <c r="C1080" s="1089" t="str">
        <f ca="1">_xlfn.CONCAT(IFERROR(SUBSTITUTE(ADDRESS(1,MATCH(A1080,INDIRECT("'"&amp;E1080&amp;"'"&amp;"!A" &amp; $O$1069 + 8 &amp; ":Z" &amp; $O$1069 + 8),0),4),1,""),""),$O$1069+ 9)</f>
        <v>L402</v>
      </c>
      <c r="D1080" s="1089" t="s">
        <v>1448</v>
      </c>
      <c r="E1080" s="1089" t="s">
        <v>1618</v>
      </c>
      <c r="I1080" s="1026" t="str">
        <f t="shared" si="121"/>
        <v/>
      </c>
      <c r="J1080" s="1376"/>
      <c r="K1080" s="1376" t="str">
        <f t="shared" si="122"/>
        <v/>
      </c>
      <c r="L1080" s="1089" t="s">
        <v>1212</v>
      </c>
      <c r="M1080" s="1376">
        <v>1063</v>
      </c>
      <c r="N1080" s="1376"/>
      <c r="R1080" s="1376" t="s">
        <v>1804</v>
      </c>
    </row>
    <row r="1081" spans="1:18" s="1370" customFormat="1" x14ac:dyDescent="0.25">
      <c r="A1081" s="1278" t="s">
        <v>1501</v>
      </c>
      <c r="B1081" s="1089" t="str">
        <f ca="1">_xlfn.CONCAT(IFERROR(SUBSTITUTE(ADDRESS(1,MATCH(A1081,INDIRECT("'"&amp;E1081&amp;"'"&amp;"!A" &amp; $O$1069 + 8 &amp; ":Z" &amp; $O$1069 + 8),0),4),1,""),""),$O$1069+ 8)</f>
        <v>R401</v>
      </c>
      <c r="C1081" s="1089" t="str">
        <f ca="1">_xlfn.CONCAT(IFERROR(SUBSTITUTE(ADDRESS(1,MATCH(A1081,INDIRECT("'"&amp;E1081&amp;"'"&amp;"!A" &amp; $O$1069 + 8 &amp; ":Z" &amp; $O$1069 + 8),0),4),1,""),""),$O$1069+ 9)</f>
        <v>R402</v>
      </c>
      <c r="D1081" s="1089" t="s">
        <v>1448</v>
      </c>
      <c r="E1081" s="1089" t="s">
        <v>1618</v>
      </c>
      <c r="I1081" s="1026" t="str">
        <f t="shared" si="121"/>
        <v/>
      </c>
      <c r="J1081" s="1376"/>
      <c r="K1081" s="1376" t="str">
        <f t="shared" si="122"/>
        <v/>
      </c>
      <c r="L1081" s="1089" t="s">
        <v>1501</v>
      </c>
      <c r="M1081" s="1376">
        <v>1064</v>
      </c>
      <c r="N1081" s="1376"/>
      <c r="R1081" s="1376" t="s">
        <v>1804</v>
      </c>
    </row>
    <row r="1082" spans="1:18" s="1370" customFormat="1" x14ac:dyDescent="0.25">
      <c r="A1082" s="1278" t="s">
        <v>1582</v>
      </c>
      <c r="B1082" s="1089" t="str">
        <f ca="1">_xlfn.CONCAT(IFERROR(SUBSTITUTE(ADDRESS(1,MATCH(A1082,INDIRECT("'"&amp;E1082&amp;"'"&amp;"!A" &amp; $O$1069 + 8 &amp; ":Z" &amp; $O$1069 + 8),0),4),1,""),""),$O$1069+ 8)</f>
        <v>N401</v>
      </c>
      <c r="C1082" s="1089" t="str">
        <f ca="1">_xlfn.CONCAT(IFERROR(SUBSTITUTE(ADDRESS(1,MATCH(A1082,INDIRECT("'"&amp;E1082&amp;"'"&amp;"!A" &amp; $O$1069 + 8 &amp; ":Z" &amp; $O$1069 + 8),0),4),1,""),""),$O$1069+ 9)</f>
        <v>N402</v>
      </c>
      <c r="D1082" s="1089" t="s">
        <v>1448</v>
      </c>
      <c r="E1082" s="1089" t="s">
        <v>1618</v>
      </c>
      <c r="I1082" s="1026" t="str">
        <f t="shared" si="121"/>
        <v/>
      </c>
      <c r="J1082" s="1376"/>
      <c r="K1082" s="1376" t="str">
        <f t="shared" si="122"/>
        <v/>
      </c>
      <c r="L1082" s="1089" t="s">
        <v>1582</v>
      </c>
      <c r="M1082" s="1376">
        <v>1065</v>
      </c>
      <c r="N1082" s="1376"/>
      <c r="R1082" s="1376" t="s">
        <v>1804</v>
      </c>
    </row>
    <row r="1083" spans="1:18" s="1370" customFormat="1" x14ac:dyDescent="0.25">
      <c r="A1083" s="1278" t="s">
        <v>1211</v>
      </c>
      <c r="B1083" s="1089" t="str">
        <f ca="1">_xlfn.CONCAT(IFERROR(SUBSTITUTE(ADDRESS(1,MATCH(A1083,INDIRECT("'"&amp;E1083&amp;"'"&amp;"!A" &amp; $O$1069 + 8 &amp; ":Z" &amp; $O$1069 + 8),0),4),1,""),""),$O$1069+ 8)</f>
        <v>P401</v>
      </c>
      <c r="C1083" s="1089" t="str">
        <f ca="1">_xlfn.CONCAT(IFERROR(SUBSTITUTE(ADDRESS(1,MATCH(A1083,INDIRECT("'"&amp;E1083&amp;"'"&amp;"!A" &amp; $O$1069 + 8 &amp; ":Z" &amp; $O$1069 + 8),0),4),1,""),""),$O$1069+ 9)</f>
        <v>P402</v>
      </c>
      <c r="D1083" s="1089" t="s">
        <v>1448</v>
      </c>
      <c r="E1083" s="1089" t="s">
        <v>1618</v>
      </c>
      <c r="I1083" s="1026" t="str">
        <f t="shared" si="121"/>
        <v/>
      </c>
      <c r="J1083" s="1376"/>
      <c r="K1083" s="1376" t="str">
        <f t="shared" si="122"/>
        <v/>
      </c>
      <c r="L1083" s="1089" t="s">
        <v>1211</v>
      </c>
      <c r="M1083" s="1376">
        <v>1066</v>
      </c>
      <c r="N1083" s="1376"/>
      <c r="R1083" s="1376" t="s">
        <v>1804</v>
      </c>
    </row>
    <row r="1084" spans="1:18" s="1370" customFormat="1" x14ac:dyDescent="0.25">
      <c r="A1084" s="1118" t="s">
        <v>1593</v>
      </c>
      <c r="B1084" s="1089" t="str">
        <f ca="1">IFERROR(_xlfn.CONCAT("C",MATCH(A1084,INDIRECT("'"&amp;E1084&amp;"'!C"&amp;$O$1085&amp;":C"&amp;$O$1087),0)+$O$1085-1),"")</f>
        <v>C411</v>
      </c>
      <c r="C1084" s="1089" t="str">
        <f ca="1">IFERROR(_xlfn.CONCAT("D",MATCH(A1084,INDIRECT("'"&amp;E1084&amp;"'!C"&amp;$O$1085&amp;":C"&amp;$O$1087),0)+$O$1085-1),"")</f>
        <v>D411</v>
      </c>
      <c r="D1084" s="1089" t="s">
        <v>1448</v>
      </c>
      <c r="E1084" s="1089" t="s">
        <v>1618</v>
      </c>
      <c r="I1084" s="1026" t="str">
        <f t="shared" si="121"/>
        <v/>
      </c>
      <c r="J1084" s="1376"/>
      <c r="K1084" s="1376" t="str">
        <f t="shared" si="122"/>
        <v/>
      </c>
      <c r="L1084" s="1089" t="s">
        <v>1593</v>
      </c>
      <c r="M1084" s="1376">
        <v>1067</v>
      </c>
      <c r="N1084" s="1376"/>
      <c r="O1084" s="1370" t="s">
        <v>742</v>
      </c>
      <c r="R1084" s="1376" t="s">
        <v>1168</v>
      </c>
    </row>
    <row r="1085" spans="1:18" s="1370" customFormat="1" x14ac:dyDescent="0.25">
      <c r="A1085" s="1118" t="s">
        <v>1809</v>
      </c>
      <c r="B1085" s="1089" t="str">
        <f ca="1">_xlfn.CONCAT(IFERROR(SUBSTITUTE(ADDRESS(1,MATCH(A1085,INDIRECT("'"&amp;E1085&amp;"'"&amp;"!A" &amp; $O$1085 + 11 &amp; ":Z" &amp; $O$1085 + 11),0),4),1,""),""),$O$1085+ 11)</f>
        <v>T418</v>
      </c>
      <c r="C1085" s="1089" t="str">
        <f ca="1">_xlfn.CONCAT(IFERROR(SUBSTITUTE(ADDRESS(1,MATCH(A1085,INDIRECT("'"&amp;E1085&amp;"'"&amp;"!A" &amp; $O$1085 + 11 &amp; ":Z" &amp; $O$1085 + 11),0),4),1,""),""),$O$1085+ 12)</f>
        <v>T419</v>
      </c>
      <c r="D1085" s="1089" t="s">
        <v>1448</v>
      </c>
      <c r="E1085" s="1089" t="s">
        <v>1618</v>
      </c>
      <c r="I1085" s="1026" t="str">
        <f t="shared" si="121"/>
        <v/>
      </c>
      <c r="J1085" s="1376"/>
      <c r="K1085" s="1376" t="str">
        <f t="shared" si="122"/>
        <v/>
      </c>
      <c r="L1085" s="1089" t="s">
        <v>1809</v>
      </c>
      <c r="M1085" s="1376">
        <v>1068</v>
      </c>
      <c r="N1085" s="1376"/>
      <c r="O1085" s="1370">
        <f>'Configurable Tab'!H31</f>
        <v>407</v>
      </c>
      <c r="Q1085" s="1370" t="s">
        <v>653</v>
      </c>
      <c r="R1085" s="1376" t="s">
        <v>1168</v>
      </c>
    </row>
    <row r="1086" spans="1:18" s="1370" customFormat="1" x14ac:dyDescent="0.25">
      <c r="A1086" s="1118" t="s">
        <v>1482</v>
      </c>
      <c r="B1086" s="1089" t="str">
        <f ca="1">IFERROR(_xlfn.CONCAT("C",MATCH(A1086,INDIRECT("'"&amp;E1086&amp;"'!C"&amp;$O$1085&amp;":C"&amp;$O$1087),0)+$O$1085-1),"")</f>
        <v>C409</v>
      </c>
      <c r="C1086" s="1089" t="str">
        <f ca="1">IFERROR(_xlfn.CONCAT("D",MATCH(A1086,INDIRECT("'"&amp;E1086&amp;"'!C"&amp;$O$1085&amp;":C"&amp;$O$1087),0)+$O$1085-1),"")</f>
        <v>D409</v>
      </c>
      <c r="D1086" s="1089" t="s">
        <v>1448</v>
      </c>
      <c r="E1086" s="1089" t="s">
        <v>1618</v>
      </c>
      <c r="I1086" s="1026" t="str">
        <f t="shared" si="121"/>
        <v/>
      </c>
      <c r="J1086" s="1376"/>
      <c r="K1086" s="1376" t="str">
        <f t="shared" si="122"/>
        <v/>
      </c>
      <c r="L1086" s="1089" t="s">
        <v>1482</v>
      </c>
      <c r="M1086" s="1376">
        <v>1069</v>
      </c>
      <c r="N1086" s="1376"/>
      <c r="O1086" s="1370" t="s">
        <v>743</v>
      </c>
      <c r="R1086" s="1376" t="s">
        <v>1168</v>
      </c>
    </row>
    <row r="1087" spans="1:18" s="1370" customFormat="1" x14ac:dyDescent="0.25">
      <c r="A1087" s="1118" t="s">
        <v>1480</v>
      </c>
      <c r="B1087" s="1089" t="str">
        <f ca="1">_xlfn.CONCAT(IFERROR(SUBSTITUTE(ADDRESS(1,MATCH(A1087,INDIRECT("'"&amp;E1087&amp;"'"&amp;"!A" &amp; $O$1085 + 2 &amp; ":Z" &amp; $O$1085 + 2),0),4),1,""),""),$O$1085+ 2)</f>
        <v>J409</v>
      </c>
      <c r="C1087" s="1089" t="str">
        <f ca="1">_xlfn.CONCAT(IFERROR(SUBSTITUTE(ADDRESS(1,MATCH(A1087,INDIRECT("'"&amp;E1087&amp;"'"&amp;"!A" &amp; $O$1085 + 2 &amp; ":Z" &amp; $O$1085 + 2),0),4),1,""),""),$O$1085+ 3)</f>
        <v>J410</v>
      </c>
      <c r="D1087" s="1089" t="s">
        <v>1448</v>
      </c>
      <c r="E1087" s="1089" t="s">
        <v>1618</v>
      </c>
      <c r="I1087" s="1026" t="str">
        <f t="shared" si="121"/>
        <v/>
      </c>
      <c r="J1087" s="1376"/>
      <c r="K1087" s="1376" t="str">
        <f t="shared" si="122"/>
        <v/>
      </c>
      <c r="L1087" s="1089" t="s">
        <v>1480</v>
      </c>
      <c r="M1087" s="1376">
        <v>1070</v>
      </c>
      <c r="N1087" s="1376"/>
      <c r="O1087" s="1370">
        <f>'Configurable Tab'!I31</f>
        <v>420</v>
      </c>
      <c r="R1087" s="1376" t="s">
        <v>1168</v>
      </c>
    </row>
    <row r="1088" spans="1:18" s="1370" customFormat="1" x14ac:dyDescent="0.25">
      <c r="A1088" s="1118" t="s">
        <v>1481</v>
      </c>
      <c r="B1088" s="1089" t="str">
        <f ca="1">_xlfn.CONCAT(IFERROR(SUBSTITUTE(ADDRESS(1,MATCH(A1088,INDIRECT("'"&amp;E1088&amp;"'"&amp;"!A" &amp; $O$1085 + 2 &amp; ":Z" &amp; $O$1085 + 2),0),4),1,""),""),$O$1085+ 2)</f>
        <v>N409</v>
      </c>
      <c r="C1088" s="1089" t="str">
        <f ca="1">_xlfn.CONCAT(IFERROR(SUBSTITUTE(ADDRESS(1,MATCH(A1088,INDIRECT("'"&amp;E1088&amp;"'"&amp;"!A" &amp; $O$1085 + 2 &amp; ":Z" &amp; $O$1085 + 2),0),4),1,""),""),$O$1085+ 3)</f>
        <v>N410</v>
      </c>
      <c r="D1088" s="1089" t="s">
        <v>1448</v>
      </c>
      <c r="E1088" s="1089" t="s">
        <v>1618</v>
      </c>
      <c r="I1088" s="1026" t="str">
        <f t="shared" si="121"/>
        <v/>
      </c>
      <c r="J1088" s="1376"/>
      <c r="K1088" s="1376" t="str">
        <f t="shared" si="122"/>
        <v/>
      </c>
      <c r="L1088" s="1089" t="s">
        <v>1481</v>
      </c>
      <c r="M1088" s="1376">
        <v>1071</v>
      </c>
      <c r="N1088" s="1376"/>
      <c r="O1088" s="1370" t="s">
        <v>1760</v>
      </c>
      <c r="R1088" s="1376" t="s">
        <v>1168</v>
      </c>
    </row>
    <row r="1089" spans="1:18" s="1370" customFormat="1" x14ac:dyDescent="0.25">
      <c r="A1089" s="1118" t="s">
        <v>1484</v>
      </c>
      <c r="B1089" s="1089" t="str">
        <f ca="1">IFERROR(_xlfn.CONCAT("C",MATCH(A1089,INDIRECT("'"&amp;E1089&amp;"'!C"&amp;$O$1085&amp;":C"&amp;$O$1087),0)+$O$1085-1),"")</f>
        <v>C413</v>
      </c>
      <c r="C1089" s="1089" t="str">
        <f ca="1">IFERROR(_xlfn.CONCAT("D",MATCH(A1089,INDIRECT("'"&amp;E1089&amp;"'!C"&amp;$O$1085&amp;":C"&amp;$O$1087),0)+$O$1085-1),"")</f>
        <v>D413</v>
      </c>
      <c r="D1089" s="1089" t="s">
        <v>1448</v>
      </c>
      <c r="E1089" s="1089" t="s">
        <v>1618</v>
      </c>
      <c r="I1089" s="1026" t="str">
        <f t="shared" si="121"/>
        <v/>
      </c>
      <c r="J1089" s="1376"/>
      <c r="K1089" s="1376" t="str">
        <f t="shared" si="122"/>
        <v/>
      </c>
      <c r="L1089" s="1089" t="s">
        <v>1484</v>
      </c>
      <c r="M1089" s="1376">
        <v>1072</v>
      </c>
      <c r="N1089" s="1376"/>
      <c r="R1089" s="1376" t="s">
        <v>1168</v>
      </c>
    </row>
    <row r="1090" spans="1:18" s="1370" customFormat="1" x14ac:dyDescent="0.25">
      <c r="A1090" s="1118" t="s">
        <v>1485</v>
      </c>
      <c r="B1090" s="1089" t="str">
        <f ca="1">IFERROR(_xlfn.CONCAT("C",MATCH(A1090,INDIRECT("'"&amp;E1090&amp;"'!C"&amp;$O$1085&amp;":C"&amp;$O$1087),0)+$O$1085-1),"")</f>
        <v>C415</v>
      </c>
      <c r="C1090" s="1089" t="str">
        <f ca="1">IFERROR(_xlfn.CONCAT("D",MATCH(A1090,INDIRECT("'"&amp;E1090&amp;"'!C"&amp;$O$1085&amp;":C"&amp;$O$1087),0)+$O$1085-1),"")</f>
        <v>D415</v>
      </c>
      <c r="D1090" s="1089" t="s">
        <v>1448</v>
      </c>
      <c r="E1090" s="1089" t="s">
        <v>1618</v>
      </c>
      <c r="I1090" s="1026" t="str">
        <f t="shared" si="121"/>
        <v/>
      </c>
      <c r="J1090" s="1376"/>
      <c r="K1090" s="1376" t="str">
        <f t="shared" si="122"/>
        <v/>
      </c>
      <c r="L1090" s="1089" t="s">
        <v>1485</v>
      </c>
      <c r="M1090" s="1376">
        <v>1073</v>
      </c>
      <c r="N1090" s="1376"/>
      <c r="R1090" s="1376" t="s">
        <v>1168</v>
      </c>
    </row>
    <row r="1091" spans="1:18" s="1370" customFormat="1" ht="30" x14ac:dyDescent="0.25">
      <c r="A1091" s="1118" t="s">
        <v>1597</v>
      </c>
      <c r="B1091" s="1089" t="str">
        <f ca="1">IFERROR(_xlfn.CONCAT("C",MATCH(A1091,INDIRECT("'"&amp;E1091&amp;"'!C"&amp;$O$1085&amp;":C"&amp;$O$1087),0)+$O$1085-1),"")</f>
        <v>C417</v>
      </c>
      <c r="C1091" s="1089" t="str">
        <f ca="1">IFERROR(_xlfn.CONCAT("D",MATCH(A1091,INDIRECT("'"&amp;E1091&amp;"'!C"&amp;$O$1085&amp;":C"&amp;$O$1087),0)+$O$1085-1),"")</f>
        <v>D417</v>
      </c>
      <c r="D1091" s="1089" t="s">
        <v>1448</v>
      </c>
      <c r="E1091" s="1089" t="s">
        <v>1618</v>
      </c>
      <c r="I1091" s="1026" t="str">
        <f t="shared" si="121"/>
        <v>Incentive Dates Match Agreement Dates Flag</v>
      </c>
      <c r="J1091" s="1376" t="str">
        <f t="shared" ref="J1091:J1144" si="126">IF(M1091&lt;&gt;"",Q$1&amp;M1091,"")</f>
        <v>1074</v>
      </c>
      <c r="K1091" s="1376" t="str">
        <f t="shared" si="122"/>
        <v>Incentives Worksheet</v>
      </c>
      <c r="L1091" s="1089" t="s">
        <v>1597</v>
      </c>
      <c r="M1091" s="1376">
        <v>1074</v>
      </c>
      <c r="N1091" s="1376"/>
      <c r="R1091" s="1376" t="s">
        <v>1168</v>
      </c>
    </row>
    <row r="1092" spans="1:18" s="1370" customFormat="1" x14ac:dyDescent="0.25">
      <c r="A1092" s="1118" t="s">
        <v>1594</v>
      </c>
      <c r="B1092" s="1089" t="str">
        <f ca="1">_xlfn.CONCAT(IFERROR(SUBSTITUTE(ADDRESS(1,MATCH(A1092,INDIRECT("'"&amp;E1092&amp;"'"&amp;"!A" &amp; $O$1085 + 8 &amp; ":Z" &amp; $O$1085 + 8),0),4),1,""),""),$O$1085+ 8)</f>
        <v>H415</v>
      </c>
      <c r="C1092" s="1089" t="str">
        <f ca="1">_xlfn.CONCAT(IFERROR(SUBSTITUTE(ADDRESS(1,MATCH(A1092,INDIRECT("'"&amp;E1092&amp;"'"&amp;"!A" &amp; $O$1085 + 8 &amp; ":Z" &amp; $O$1085 + 8),0),4),1,""),""),$O$1085+ 9)</f>
        <v>H416</v>
      </c>
      <c r="D1092" s="1089" t="s">
        <v>1448</v>
      </c>
      <c r="E1092" s="1089" t="s">
        <v>1618</v>
      </c>
      <c r="I1092" s="1026" t="str">
        <f t="shared" ref="I1092:I1155" si="127">IF(J1092&lt;&gt;"",A1092,"")</f>
        <v>Include All Customers Flag</v>
      </c>
      <c r="J1092" s="1376" t="str">
        <f t="shared" si="126"/>
        <v>1075</v>
      </c>
      <c r="K1092" s="1376" t="str">
        <f t="shared" ref="K1092:K1155" si="128">IF(J1092&lt;&gt;"",E1092,"")</f>
        <v>Incentives Worksheet</v>
      </c>
      <c r="L1092" s="1089" t="s">
        <v>1594</v>
      </c>
      <c r="M1092" s="1376">
        <v>1075</v>
      </c>
      <c r="N1092" s="1376"/>
      <c r="R1092" s="1376" t="s">
        <v>1168</v>
      </c>
    </row>
    <row r="1093" spans="1:18" s="1370" customFormat="1" x14ac:dyDescent="0.25">
      <c r="A1093" s="1118" t="s">
        <v>1495</v>
      </c>
      <c r="B1093" s="1089" t="str">
        <f ca="1">_xlfn.CONCAT(IFERROR(SUBSTITUTE(ADDRESS(1,MATCH(A1093,INDIRECT("'"&amp;E1093&amp;"'"&amp;"!A" &amp; $O$1085 + 5 &amp; ":Z" &amp; $O$1085 + 5),0),4),1,""),""),$O$1085+ 5)</f>
        <v>H412</v>
      </c>
      <c r="C1093" s="1089" t="str">
        <f ca="1">_xlfn.CONCAT(IFERROR(SUBSTITUTE(ADDRESS(1,MATCH(A1093,INDIRECT("'"&amp;E1093&amp;"'"&amp;"!A" &amp; $O$1085 + 5 &amp; ":Z" &amp; $O$1085 + 5),0),4),1,""),""),$O$1085+ 6)</f>
        <v>H413</v>
      </c>
      <c r="D1093" s="1089" t="s">
        <v>1448</v>
      </c>
      <c r="E1093" s="1089" t="s">
        <v>1618</v>
      </c>
      <c r="I1093" s="1026" t="str">
        <f t="shared" si="127"/>
        <v/>
      </c>
      <c r="J1093" s="1376"/>
      <c r="K1093" s="1376" t="str">
        <f t="shared" si="128"/>
        <v/>
      </c>
      <c r="L1093" s="1089" t="s">
        <v>1495</v>
      </c>
      <c r="M1093" s="1376">
        <v>1076</v>
      </c>
      <c r="N1093" s="1376"/>
      <c r="R1093" s="1376" t="s">
        <v>1168</v>
      </c>
    </row>
    <row r="1094" spans="1:18" s="1370" customFormat="1" x14ac:dyDescent="0.25">
      <c r="A1094" s="1121" t="s">
        <v>1593</v>
      </c>
      <c r="B1094" s="1089" t="str">
        <f ca="1">IFERROR(_xlfn.CONCAT("C",MATCH(A1094,INDIRECT("'"&amp;E1094&amp;"'!C"&amp;$O$1095&amp;":C"&amp;$O$1097),0)+$O$1095-1),"")</f>
        <v>C425</v>
      </c>
      <c r="C1094" s="1089" t="str">
        <f ca="1">IFERROR(_xlfn.CONCAT("D",MATCH(A1094,INDIRECT("'"&amp;E1094&amp;"'!C"&amp;$O$1095&amp;":C"&amp;$O$1097),0)+$O$1095-1),"")</f>
        <v>D425</v>
      </c>
      <c r="D1094" s="1089" t="s">
        <v>1448</v>
      </c>
      <c r="E1094" s="1089" t="s">
        <v>1618</v>
      </c>
      <c r="I1094" s="1026" t="str">
        <f t="shared" si="127"/>
        <v/>
      </c>
      <c r="J1094" s="1376"/>
      <c r="K1094" s="1376" t="str">
        <f t="shared" si="128"/>
        <v/>
      </c>
      <c r="L1094" s="1089" t="s">
        <v>1593</v>
      </c>
      <c r="M1094" s="1376">
        <v>1077</v>
      </c>
      <c r="N1094" s="1376"/>
      <c r="O1094" s="1370" t="s">
        <v>742</v>
      </c>
      <c r="R1094" s="1376" t="s">
        <v>1168</v>
      </c>
    </row>
    <row r="1095" spans="1:18" s="1370" customFormat="1" x14ac:dyDescent="0.25">
      <c r="A1095" s="1121" t="s">
        <v>1809</v>
      </c>
      <c r="B1095" s="1089" t="str">
        <f ca="1">_xlfn.CONCAT(IFERROR(SUBSTITUTE(ADDRESS(1,MATCH(A1095,INDIRECT("'"&amp;E1095&amp;"'"&amp;"!A" &amp; $O$1095 + 11 &amp; ":Z" &amp; $O$1095 + 11),0),4),1,""),""),$O$1095+ 11)</f>
        <v>T432</v>
      </c>
      <c r="C1095" s="1089" t="str">
        <f ca="1">_xlfn.CONCAT(IFERROR(SUBSTITUTE(ADDRESS(1,MATCH(A1095,INDIRECT("'"&amp;E1095&amp;"'"&amp;"!A" &amp; $O$1095 + 11 &amp; ":Z" &amp; $O$1095 + 11),0),4),1,""),""),$O$1095+ 12)</f>
        <v>T433</v>
      </c>
      <c r="D1095" s="1089" t="s">
        <v>1448</v>
      </c>
      <c r="E1095" s="1089" t="s">
        <v>1618</v>
      </c>
      <c r="I1095" s="1026" t="str">
        <f t="shared" si="127"/>
        <v/>
      </c>
      <c r="J1095" s="1376"/>
      <c r="K1095" s="1376" t="str">
        <f t="shared" si="128"/>
        <v/>
      </c>
      <c r="L1095" s="1089" t="s">
        <v>1809</v>
      </c>
      <c r="M1095" s="1376">
        <v>1078</v>
      </c>
      <c r="N1095" s="1376"/>
      <c r="O1095" s="1370">
        <f>'Configurable Tab'!H32</f>
        <v>421</v>
      </c>
      <c r="Q1095" s="1370" t="s">
        <v>653</v>
      </c>
      <c r="R1095" s="1376" t="s">
        <v>1168</v>
      </c>
    </row>
    <row r="1096" spans="1:18" s="1370" customFormat="1" x14ac:dyDescent="0.25">
      <c r="A1096" s="1121" t="s">
        <v>1482</v>
      </c>
      <c r="B1096" s="1089" t="str">
        <f ca="1">IFERROR(_xlfn.CONCAT("C",MATCH(A1096,INDIRECT("'"&amp;E1096&amp;"'!C"&amp;$O$1095&amp;":C"&amp;$O$1097),0)+$O$1095-1),"")</f>
        <v>C423</v>
      </c>
      <c r="C1096" s="1089" t="str">
        <f ca="1">IFERROR(_xlfn.CONCAT("D",MATCH(A1096,INDIRECT("'"&amp;E1096&amp;"'!C"&amp;$O$1095&amp;":C"&amp;$O$1097),0)+$O$1095-1),"")</f>
        <v>D423</v>
      </c>
      <c r="D1096" s="1089" t="s">
        <v>1448</v>
      </c>
      <c r="E1096" s="1089" t="s">
        <v>1618</v>
      </c>
      <c r="I1096" s="1026" t="str">
        <f t="shared" si="127"/>
        <v/>
      </c>
      <c r="J1096" s="1376"/>
      <c r="K1096" s="1376" t="str">
        <f t="shared" si="128"/>
        <v/>
      </c>
      <c r="L1096" s="1089" t="s">
        <v>1482</v>
      </c>
      <c r="M1096" s="1376">
        <v>1079</v>
      </c>
      <c r="N1096" s="1376"/>
      <c r="O1096" s="1370" t="s">
        <v>743</v>
      </c>
      <c r="R1096" s="1376" t="s">
        <v>1168</v>
      </c>
    </row>
    <row r="1097" spans="1:18" s="1370" customFormat="1" x14ac:dyDescent="0.25">
      <c r="A1097" s="1121" t="s">
        <v>1480</v>
      </c>
      <c r="B1097" s="1089" t="str">
        <f ca="1">_xlfn.CONCAT(IFERROR(SUBSTITUTE(ADDRESS(1,MATCH(A1097,INDIRECT("'"&amp;E1097&amp;"'"&amp;"!A" &amp; $O$1095 + 2 &amp; ":Z" &amp; $O$1095 + 2),0),4),1,""),""),$O$1095+ 2)</f>
        <v>J423</v>
      </c>
      <c r="C1097" s="1089" t="str">
        <f ca="1">_xlfn.CONCAT(IFERROR(SUBSTITUTE(ADDRESS(1,MATCH(A1097,INDIRECT("'"&amp;E1097&amp;"'"&amp;"!A" &amp; $O$1095 + 2 &amp; ":Z" &amp; $O$1095 + 2),0),4),1,""),""),$O$1095+ 3)</f>
        <v>J424</v>
      </c>
      <c r="D1097" s="1089" t="s">
        <v>1448</v>
      </c>
      <c r="E1097" s="1089" t="s">
        <v>1618</v>
      </c>
      <c r="I1097" s="1026" t="str">
        <f t="shared" si="127"/>
        <v/>
      </c>
      <c r="J1097" s="1376"/>
      <c r="K1097" s="1376" t="str">
        <f t="shared" si="128"/>
        <v/>
      </c>
      <c r="L1097" s="1089" t="s">
        <v>1480</v>
      </c>
      <c r="M1097" s="1376">
        <v>1080</v>
      </c>
      <c r="N1097" s="1376"/>
      <c r="O1097" s="1370">
        <f>'Configurable Tab'!I32</f>
        <v>434</v>
      </c>
      <c r="R1097" s="1376" t="s">
        <v>1168</v>
      </c>
    </row>
    <row r="1098" spans="1:18" s="1370" customFormat="1" x14ac:dyDescent="0.25">
      <c r="A1098" s="1121" t="s">
        <v>1481</v>
      </c>
      <c r="B1098" s="1089" t="str">
        <f ca="1">_xlfn.CONCAT(IFERROR(SUBSTITUTE(ADDRESS(1,MATCH(A1098,INDIRECT("'"&amp;E1098&amp;"'"&amp;"!A" &amp; $O$1095 + 2 &amp; ":Z" &amp; $O$1095 + 2),0),4),1,""),""),$O$1095+ 2)</f>
        <v>N423</v>
      </c>
      <c r="C1098" s="1089" t="str">
        <f ca="1">_xlfn.CONCAT(IFERROR(SUBSTITUTE(ADDRESS(1,MATCH(A1098,INDIRECT("'"&amp;E1098&amp;"'"&amp;"!A" &amp; $O$1095 + 2 &amp; ":Z" &amp; $O$1095 + 2),0),4),1,""),""),$O$1095+ 3)</f>
        <v>N424</v>
      </c>
      <c r="D1098" s="1089" t="s">
        <v>1448</v>
      </c>
      <c r="E1098" s="1089" t="s">
        <v>1618</v>
      </c>
      <c r="F1098" s="1089"/>
      <c r="G1098" s="1089"/>
      <c r="H1098" s="1089"/>
      <c r="I1098" s="1026" t="str">
        <f t="shared" si="127"/>
        <v/>
      </c>
      <c r="J1098" s="1376"/>
      <c r="K1098" s="1376" t="str">
        <f t="shared" si="128"/>
        <v/>
      </c>
      <c r="L1098" s="1089" t="s">
        <v>1481</v>
      </c>
      <c r="M1098" s="1376">
        <v>1081</v>
      </c>
      <c r="N1098" s="1376"/>
      <c r="O1098" s="1370" t="s">
        <v>1761</v>
      </c>
      <c r="R1098" s="1376" t="s">
        <v>1168</v>
      </c>
    </row>
    <row r="1099" spans="1:18" s="1370" customFormat="1" x14ac:dyDescent="0.25">
      <c r="A1099" s="1121" t="s">
        <v>1484</v>
      </c>
      <c r="B1099" s="1089" t="str">
        <f ca="1">IFERROR(_xlfn.CONCAT("C",MATCH(A1099,INDIRECT("'"&amp;E1099&amp;"'!C"&amp;$O$1095&amp;":C"&amp;$O$1097),0)+$O$1095-1),"")</f>
        <v>C427</v>
      </c>
      <c r="C1099" s="1089" t="str">
        <f ca="1">IFERROR(_xlfn.CONCAT("D",MATCH(A1099,INDIRECT("'"&amp;E1099&amp;"'!C"&amp;$O$1095&amp;":C"&amp;$O$1097),0)+$O$1095-1),"")</f>
        <v>D427</v>
      </c>
      <c r="D1099" s="1089" t="s">
        <v>1448</v>
      </c>
      <c r="E1099" s="1089" t="s">
        <v>1618</v>
      </c>
      <c r="F1099" s="1089"/>
      <c r="G1099" s="1089"/>
      <c r="H1099" s="1089"/>
      <c r="I1099" s="1026" t="str">
        <f t="shared" si="127"/>
        <v/>
      </c>
      <c r="J1099" s="1376"/>
      <c r="K1099" s="1376" t="str">
        <f t="shared" si="128"/>
        <v/>
      </c>
      <c r="L1099" s="1089" t="s">
        <v>1484</v>
      </c>
      <c r="M1099" s="1376">
        <v>1082</v>
      </c>
      <c r="N1099" s="1376"/>
      <c r="R1099" s="1376" t="s">
        <v>1168</v>
      </c>
    </row>
    <row r="1100" spans="1:18" s="1370" customFormat="1" x14ac:dyDescent="0.25">
      <c r="A1100" s="1121" t="s">
        <v>1485</v>
      </c>
      <c r="B1100" s="1089" t="str">
        <f ca="1">IFERROR(_xlfn.CONCAT("C",MATCH(A1100,INDIRECT("'"&amp;E1100&amp;"'!C"&amp;$O$1095&amp;":C"&amp;$O$1097),0)+$O$1095-1),"")</f>
        <v>C429</v>
      </c>
      <c r="C1100" s="1089" t="str">
        <f ca="1">IFERROR(_xlfn.CONCAT("D",MATCH(A1100,INDIRECT("'"&amp;E1100&amp;"'!C"&amp;$O$1095&amp;":C"&amp;$O$1097),0)+$O$1095-1),"")</f>
        <v>D429</v>
      </c>
      <c r="D1100" s="1089" t="s">
        <v>1448</v>
      </c>
      <c r="E1100" s="1089" t="s">
        <v>1618</v>
      </c>
      <c r="F1100" s="1089"/>
      <c r="G1100" s="1089"/>
      <c r="H1100" s="1089"/>
      <c r="I1100" s="1026" t="str">
        <f t="shared" si="127"/>
        <v/>
      </c>
      <c r="J1100" s="1376"/>
      <c r="K1100" s="1376" t="str">
        <f t="shared" si="128"/>
        <v/>
      </c>
      <c r="L1100" s="1089" t="s">
        <v>1485</v>
      </c>
      <c r="M1100" s="1376">
        <v>1083</v>
      </c>
      <c r="N1100" s="1376"/>
      <c r="R1100" s="1376" t="s">
        <v>1168</v>
      </c>
    </row>
    <row r="1101" spans="1:18" s="1370" customFormat="1" ht="30" x14ac:dyDescent="0.25">
      <c r="A1101" s="1121" t="s">
        <v>1597</v>
      </c>
      <c r="B1101" s="1089" t="str">
        <f ca="1">IFERROR(_xlfn.CONCAT("C",MATCH(A1101,INDIRECT("'"&amp;E1101&amp;"'!C"&amp;$O$1095&amp;":C"&amp;$O$1097),0)+$O$1095-1),"")</f>
        <v>C431</v>
      </c>
      <c r="C1101" s="1089" t="str">
        <f ca="1">IFERROR(_xlfn.CONCAT("D",MATCH(A1101,INDIRECT("'"&amp;E1101&amp;"'!C"&amp;$O$1095&amp;":C"&amp;$O$1097),0)+$O$1095-1),"")</f>
        <v>D431</v>
      </c>
      <c r="D1101" s="1089" t="s">
        <v>1448</v>
      </c>
      <c r="E1101" s="1089" t="s">
        <v>1618</v>
      </c>
      <c r="F1101" s="1089"/>
      <c r="G1101" s="1089"/>
      <c r="H1101" s="1089"/>
      <c r="I1101" s="1026" t="str">
        <f t="shared" si="127"/>
        <v>Incentive Dates Match Agreement Dates Flag</v>
      </c>
      <c r="J1101" s="1376" t="str">
        <f t="shared" si="126"/>
        <v>1084</v>
      </c>
      <c r="K1101" s="1376" t="str">
        <f t="shared" si="128"/>
        <v>Incentives Worksheet</v>
      </c>
      <c r="L1101" s="1089" t="s">
        <v>1597</v>
      </c>
      <c r="M1101" s="1376">
        <v>1084</v>
      </c>
      <c r="N1101" s="1376"/>
      <c r="R1101" s="1376" t="s">
        <v>1168</v>
      </c>
    </row>
    <row r="1102" spans="1:18" s="1370" customFormat="1" x14ac:dyDescent="0.25">
      <c r="A1102" s="1121" t="s">
        <v>1594</v>
      </c>
      <c r="B1102" s="1089" t="str">
        <f ca="1">_xlfn.CONCAT(IFERROR(SUBSTITUTE(ADDRESS(1,MATCH(A1102,INDIRECT("'"&amp;E1102&amp;"'"&amp;"!A" &amp; $O$1095 + 8 &amp; ":Z" &amp; $O$1095 + 8 ),0),4),1,""),""),$O$1095+ 8)</f>
        <v>H429</v>
      </c>
      <c r="C1102" s="1089" t="str">
        <f ca="1">_xlfn.CONCAT(IFERROR(SUBSTITUTE(ADDRESS(1,MATCH(A1102,INDIRECT("'"&amp;E1102&amp;"'"&amp;"!A" &amp; $O$1095 + 8 &amp; ":Z" &amp; $O$1095 + 8 ),0),4),1,""),""),$O$1095+ 9)</f>
        <v>H430</v>
      </c>
      <c r="D1102" s="1089" t="s">
        <v>1448</v>
      </c>
      <c r="E1102" s="1089" t="s">
        <v>1618</v>
      </c>
      <c r="F1102" s="1089"/>
      <c r="G1102" s="1089"/>
      <c r="H1102" s="1089"/>
      <c r="I1102" s="1026" t="str">
        <f t="shared" si="127"/>
        <v>Include All Customers Flag</v>
      </c>
      <c r="J1102" s="1376" t="str">
        <f t="shared" si="126"/>
        <v>1085</v>
      </c>
      <c r="K1102" s="1376" t="str">
        <f t="shared" si="128"/>
        <v>Incentives Worksheet</v>
      </c>
      <c r="L1102" s="1089" t="s">
        <v>1594</v>
      </c>
      <c r="M1102" s="1376">
        <v>1085</v>
      </c>
      <c r="N1102" s="1376"/>
      <c r="R1102" s="1376" t="s">
        <v>1168</v>
      </c>
    </row>
    <row r="1103" spans="1:18" s="1370" customFormat="1" x14ac:dyDescent="0.25">
      <c r="A1103" s="1121" t="s">
        <v>1495</v>
      </c>
      <c r="B1103" s="1089" t="str">
        <f ca="1">_xlfn.CONCAT(IFERROR(SUBSTITUTE(ADDRESS(1,MATCH(A1103,INDIRECT("'"&amp;E1103&amp;"'"&amp;"!A" &amp; $O$1095 + 5 &amp; ":Z" &amp; $O$1095 + 5 ),0),4),1,""),""),$O$1095+ 5)</f>
        <v>H426</v>
      </c>
      <c r="C1103" s="1089" t="str">
        <f ca="1">_xlfn.CONCAT(IFERROR(SUBSTITUTE(ADDRESS(1,MATCH(A1103,INDIRECT("'"&amp;E1103&amp;"'"&amp;"!A" &amp; $O$1095 + 5 &amp; ":Z" &amp; $O$1095 + 5 ),0),4),1,""),""),$O$1095+ 6)</f>
        <v>H427</v>
      </c>
      <c r="D1103" s="1089" t="s">
        <v>1448</v>
      </c>
      <c r="E1103" s="1089" t="s">
        <v>1618</v>
      </c>
      <c r="F1103" s="1089"/>
      <c r="G1103" s="1089"/>
      <c r="H1103" s="1089"/>
      <c r="I1103" s="1026" t="str">
        <f t="shared" si="127"/>
        <v/>
      </c>
      <c r="J1103" s="1376"/>
      <c r="K1103" s="1376" t="str">
        <f t="shared" si="128"/>
        <v/>
      </c>
      <c r="L1103" s="1089" t="s">
        <v>1495</v>
      </c>
      <c r="M1103" s="1376">
        <v>1086</v>
      </c>
      <c r="N1103" s="1376"/>
      <c r="R1103" s="1376" t="s">
        <v>1168</v>
      </c>
    </row>
    <row r="1104" spans="1:18" s="1370" customFormat="1" x14ac:dyDescent="0.25">
      <c r="A1104" s="1118" t="s">
        <v>1593</v>
      </c>
      <c r="B1104" s="1089" t="str">
        <f ca="1">IFERROR(_xlfn.CONCAT("C",MATCH(A1104,INDIRECT("'"&amp;E1104&amp;"'!C"&amp;$O$1105&amp;":C"&amp;$O$1107),0)+$O$1105-1),"")</f>
        <v>C439</v>
      </c>
      <c r="C1104" s="1089" t="str">
        <f ca="1">IFERROR(_xlfn.CONCAT("D",MATCH(A1104,INDIRECT("'"&amp;E1104&amp;"'!C"&amp;$O$1105&amp;":C"&amp;$O$1107),0)+$O$1105-1),"")</f>
        <v>D439</v>
      </c>
      <c r="D1104" s="1089" t="s">
        <v>1448</v>
      </c>
      <c r="E1104" s="1089" t="s">
        <v>1618</v>
      </c>
      <c r="F1104" s="1089"/>
      <c r="G1104" s="1089"/>
      <c r="H1104" s="1089"/>
      <c r="I1104" s="1026" t="str">
        <f t="shared" si="127"/>
        <v/>
      </c>
      <c r="J1104" s="1376"/>
      <c r="K1104" s="1376" t="str">
        <f t="shared" si="128"/>
        <v/>
      </c>
      <c r="L1104" s="1089" t="s">
        <v>1593</v>
      </c>
      <c r="M1104" s="1376">
        <v>1087</v>
      </c>
      <c r="N1104" s="1376"/>
      <c r="O1104" s="1370" t="s">
        <v>742</v>
      </c>
      <c r="R1104" s="1376" t="s">
        <v>1168</v>
      </c>
    </row>
    <row r="1105" spans="1:18" s="1370" customFormat="1" x14ac:dyDescent="0.25">
      <c r="A1105" s="1118" t="s">
        <v>1809</v>
      </c>
      <c r="B1105" s="1089" t="str">
        <f ca="1">_xlfn.CONCAT(IFERROR(SUBSTITUTE(ADDRESS(1,MATCH(A1105,INDIRECT("'"&amp;E1105&amp;"'"&amp;"!A" &amp; $O$1105 + 11 &amp; ":Z" &amp; $O$1105 + 11),0),4),1,""),""),$O$1105+ 11)</f>
        <v>T446</v>
      </c>
      <c r="C1105" s="1089" t="str">
        <f ca="1">_xlfn.CONCAT(IFERROR(SUBSTITUTE(ADDRESS(1,MATCH(A1105,INDIRECT("'"&amp;E1105&amp;"'"&amp;"!A" &amp; $O$1105 + 11 &amp; ":Z" &amp; $O$1105 + 11),0),4),1,""),""),$O$1105+ 12)</f>
        <v>T447</v>
      </c>
      <c r="D1105" s="1089" t="s">
        <v>1448</v>
      </c>
      <c r="E1105" s="1089" t="s">
        <v>1618</v>
      </c>
      <c r="F1105" s="1089"/>
      <c r="G1105" s="1089"/>
      <c r="H1105" s="1089"/>
      <c r="I1105" s="1026" t="str">
        <f t="shared" si="127"/>
        <v/>
      </c>
      <c r="J1105" s="1376"/>
      <c r="K1105" s="1376" t="str">
        <f t="shared" si="128"/>
        <v/>
      </c>
      <c r="L1105" s="1089" t="s">
        <v>1809</v>
      </c>
      <c r="M1105" s="1376">
        <v>1088</v>
      </c>
      <c r="N1105" s="1376"/>
      <c r="O1105" s="1370">
        <f>'Configurable Tab'!H33</f>
        <v>435</v>
      </c>
      <c r="Q1105" s="1370" t="s">
        <v>653</v>
      </c>
      <c r="R1105" s="1376" t="s">
        <v>1168</v>
      </c>
    </row>
    <row r="1106" spans="1:18" s="1370" customFormat="1" x14ac:dyDescent="0.25">
      <c r="A1106" s="1118" t="s">
        <v>1482</v>
      </c>
      <c r="B1106" s="1089" t="str">
        <f ca="1">IFERROR(_xlfn.CONCAT("C",MATCH(A1106,INDIRECT("'"&amp;E1106&amp;"'!C"&amp;$O$1105&amp;":C"&amp;$O$1107),0)+$O$1105-1),"")</f>
        <v>C437</v>
      </c>
      <c r="C1106" s="1089" t="str">
        <f ca="1">IFERROR(_xlfn.CONCAT("D",MATCH(A1106,INDIRECT("'"&amp;E1106&amp;"'!C"&amp;$O$1105&amp;":C"&amp;$O$1107),0)+$O$1105-1),"")</f>
        <v>D437</v>
      </c>
      <c r="D1106" s="1089" t="s">
        <v>1448</v>
      </c>
      <c r="E1106" s="1089" t="s">
        <v>1618</v>
      </c>
      <c r="F1106" s="1089"/>
      <c r="G1106" s="1089"/>
      <c r="H1106" s="1089"/>
      <c r="I1106" s="1026" t="str">
        <f t="shared" si="127"/>
        <v/>
      </c>
      <c r="J1106" s="1376"/>
      <c r="K1106" s="1376" t="str">
        <f t="shared" si="128"/>
        <v/>
      </c>
      <c r="L1106" s="1089" t="s">
        <v>1482</v>
      </c>
      <c r="M1106" s="1376">
        <v>1089</v>
      </c>
      <c r="N1106" s="1376"/>
      <c r="O1106" s="1370" t="s">
        <v>743</v>
      </c>
      <c r="R1106" s="1376" t="s">
        <v>1168</v>
      </c>
    </row>
    <row r="1107" spans="1:18" s="1370" customFormat="1" x14ac:dyDescent="0.25">
      <c r="A1107" s="1118" t="s">
        <v>1479</v>
      </c>
      <c r="B1107" s="1089" t="str">
        <f ca="1">_xlfn.CONCAT(IFERROR(SUBSTITUTE(ADDRESS(1,MATCH(A1107,INDIRECT("'"&amp;E1107&amp;"'"&amp;"!A" &amp; $O$1105 + 2 &amp; ":Z" &amp; $O$1105 + 2),0),4),1,""),""),$O$1105+ 2)</f>
        <v>H437</v>
      </c>
      <c r="C1107" s="1089" t="str">
        <f ca="1">_xlfn.CONCAT(IFERROR(SUBSTITUTE(ADDRESS(1,MATCH(A1107,INDIRECT("'"&amp;E1107&amp;"'"&amp;"!A" &amp; $O$1105 + 2 &amp; ":Z" &amp; $O$1105 + 2),0),4),1,""),""),$O$1105+ 3)</f>
        <v>H438</v>
      </c>
      <c r="D1107" s="1089" t="s">
        <v>1448</v>
      </c>
      <c r="E1107" s="1089" t="s">
        <v>1618</v>
      </c>
      <c r="F1107" s="1089"/>
      <c r="G1107" s="1089"/>
      <c r="H1107" s="1089"/>
      <c r="I1107" s="1026" t="str">
        <f t="shared" si="127"/>
        <v/>
      </c>
      <c r="J1107" s="1376"/>
      <c r="K1107" s="1376" t="str">
        <f t="shared" si="128"/>
        <v/>
      </c>
      <c r="L1107" s="1089" t="s">
        <v>1479</v>
      </c>
      <c r="M1107" s="1376">
        <v>1090</v>
      </c>
      <c r="N1107" s="1376"/>
      <c r="O1107" s="1370">
        <f>'Configurable Tab'!I33</f>
        <v>448</v>
      </c>
      <c r="R1107" s="1376" t="s">
        <v>1168</v>
      </c>
    </row>
    <row r="1108" spans="1:18" s="1370" customFormat="1" x14ac:dyDescent="0.25">
      <c r="A1108" s="1118" t="s">
        <v>1480</v>
      </c>
      <c r="B1108" s="1089" t="str">
        <f ca="1">_xlfn.CONCAT(IFERROR(SUBSTITUTE(ADDRESS(1,MATCH(A1108,INDIRECT("'"&amp;E1108&amp;"'"&amp;"!A" &amp; $O$1105 + 2 &amp; ":Z" &amp; $O$1105 + 2),0),4),1,""),""),$O$1105+ 2)</f>
        <v>J437</v>
      </c>
      <c r="C1108" s="1089" t="str">
        <f ca="1">_xlfn.CONCAT(IFERROR(SUBSTITUTE(ADDRESS(1,MATCH(A1108,INDIRECT("'"&amp;E1108&amp;"'"&amp;"!A" &amp; $O$1105 + 2 &amp; ":Z" &amp; $O$1105 + 2),0),4),1,""),""),$O$1105+ 3)</f>
        <v>J438</v>
      </c>
      <c r="D1108" s="1089" t="s">
        <v>1448</v>
      </c>
      <c r="E1108" s="1089" t="s">
        <v>1618</v>
      </c>
      <c r="F1108" s="1089"/>
      <c r="G1108" s="1089"/>
      <c r="H1108" s="1089"/>
      <c r="I1108" s="1026" t="str">
        <f t="shared" si="127"/>
        <v/>
      </c>
      <c r="J1108" s="1376"/>
      <c r="K1108" s="1376" t="str">
        <f t="shared" si="128"/>
        <v/>
      </c>
      <c r="L1108" s="1089" t="s">
        <v>1480</v>
      </c>
      <c r="M1108" s="1376">
        <v>1091</v>
      </c>
      <c r="N1108" s="1376"/>
      <c r="O1108" s="1370" t="s">
        <v>1762</v>
      </c>
      <c r="R1108" s="1376" t="s">
        <v>1168</v>
      </c>
    </row>
    <row r="1109" spans="1:18" s="1370" customFormat="1" x14ac:dyDescent="0.25">
      <c r="A1109" s="1118" t="s">
        <v>1481</v>
      </c>
      <c r="B1109" s="1089" t="str">
        <f ca="1">_xlfn.CONCAT(IFERROR(SUBSTITUTE(ADDRESS(1,MATCH(A1109,INDIRECT("'"&amp;E1109&amp;"'"&amp;"!A" &amp; $O$1105 + 2 &amp; ":Z" &amp; $O$1105 + 2),0),4),1,""),""),$O$1105+ 2)</f>
        <v>N437</v>
      </c>
      <c r="C1109" s="1089" t="str">
        <f ca="1">_xlfn.CONCAT(IFERROR(SUBSTITUTE(ADDRESS(1,MATCH(A1109,INDIRECT("'"&amp;E1109&amp;"'"&amp;"!A" &amp; $O$1105 + 2 &amp; ":Z" &amp; $O$1105 + 2),0),4),1,""),""),$O$1105+ 3)</f>
        <v>N438</v>
      </c>
      <c r="D1109" s="1089" t="s">
        <v>1448</v>
      </c>
      <c r="E1109" s="1089" t="s">
        <v>1618</v>
      </c>
      <c r="F1109" s="1089"/>
      <c r="G1109" s="1089"/>
      <c r="H1109" s="1089"/>
      <c r="I1109" s="1026" t="str">
        <f t="shared" si="127"/>
        <v/>
      </c>
      <c r="J1109" s="1376"/>
      <c r="K1109" s="1376" t="str">
        <f t="shared" si="128"/>
        <v/>
      </c>
      <c r="L1109" s="1089" t="s">
        <v>1481</v>
      </c>
      <c r="M1109" s="1376">
        <v>1092</v>
      </c>
      <c r="N1109" s="1376"/>
      <c r="R1109" s="1376" t="s">
        <v>1168</v>
      </c>
    </row>
    <row r="1110" spans="1:18" s="1370" customFormat="1" x14ac:dyDescent="0.25">
      <c r="A1110" s="1118" t="s">
        <v>1589</v>
      </c>
      <c r="B1110" s="1089" t="str">
        <f ca="1">_xlfn.CONCAT(IFERROR(SUBSTITUTE(ADDRESS(1,MATCH(A1110,INDIRECT("'"&amp;E1110&amp;"'"&amp;"!A" &amp; $O$1105 + 2 &amp; ":Z" &amp; $O$1105 + 2),0),4),1,""),""),$O$1105+ 2)</f>
        <v>R437</v>
      </c>
      <c r="C1110" s="1089" t="str">
        <f ca="1">_xlfn.CONCAT(IFERROR(SUBSTITUTE(ADDRESS(1,MATCH(A1110,INDIRECT("'"&amp;E1110&amp;"'"&amp;"!A" &amp; $O$1105 + 2 &amp; ":Z" &amp; $O$1105 + 2),0),4),1,""),""),$O$1105+ 3)</f>
        <v>R438</v>
      </c>
      <c r="D1110" s="1089" t="s">
        <v>1448</v>
      </c>
      <c r="E1110" s="1089" t="s">
        <v>1618</v>
      </c>
      <c r="F1110" s="1089"/>
      <c r="G1110" s="1089"/>
      <c r="H1110" s="1089"/>
      <c r="I1110" s="1026" t="str">
        <f t="shared" si="127"/>
        <v>Incentive Calendar</v>
      </c>
      <c r="J1110" s="1376" t="str">
        <f t="shared" si="126"/>
        <v>1093</v>
      </c>
      <c r="K1110" s="1376" t="str">
        <f t="shared" si="128"/>
        <v>Incentives Worksheet</v>
      </c>
      <c r="L1110" s="1089" t="s">
        <v>1589</v>
      </c>
      <c r="M1110" s="1376">
        <v>1093</v>
      </c>
      <c r="N1110" s="1376"/>
      <c r="R1110" s="1376" t="s">
        <v>1168</v>
      </c>
    </row>
    <row r="1111" spans="1:18" s="1370" customFormat="1" x14ac:dyDescent="0.25">
      <c r="A1111" s="1118" t="s">
        <v>1590</v>
      </c>
      <c r="B1111" s="1089" t="str">
        <f ca="1">_xlfn.CONCAT(IFERROR(SUBSTITUTE(ADDRESS(1,MATCH(A1111,INDIRECT("'"&amp;E1111&amp;"'"&amp;"!A" &amp; $O$1105 + 2 &amp; ":Z" &amp; $O$1105 + 2),0),4),1,""),""),$O$1105+ 2)</f>
        <v>T437</v>
      </c>
      <c r="C1111" s="1089" t="str">
        <f ca="1">_xlfn.CONCAT(IFERROR(SUBSTITUTE(ADDRESS(1,MATCH(A1111,INDIRECT("'"&amp;E1111&amp;"'"&amp;"!A" &amp; $O$1105 + 2 &amp; ":Z" &amp; $O$1105 + 2),0),4),1,""),""),$O$1105+ 3)</f>
        <v>T438</v>
      </c>
      <c r="D1111" s="1089" t="s">
        <v>1448</v>
      </c>
      <c r="E1111" s="1089" t="s">
        <v>1618</v>
      </c>
      <c r="F1111" s="1089"/>
      <c r="G1111" s="1089"/>
      <c r="H1111" s="1089"/>
      <c r="I1111" s="1026" t="str">
        <f t="shared" si="127"/>
        <v>Post to GL Payment Method Flag</v>
      </c>
      <c r="J1111" s="1376" t="str">
        <f t="shared" si="126"/>
        <v>1094</v>
      </c>
      <c r="K1111" s="1376" t="str">
        <f t="shared" si="128"/>
        <v>Incentives Worksheet</v>
      </c>
      <c r="L1111" s="1089" t="s">
        <v>1590</v>
      </c>
      <c r="M1111" s="1376">
        <v>1094</v>
      </c>
      <c r="N1111" s="1376"/>
      <c r="R1111" s="1376" t="s">
        <v>1168</v>
      </c>
    </row>
    <row r="1112" spans="1:18" s="1370" customFormat="1" x14ac:dyDescent="0.25">
      <c r="A1112" s="1118" t="s">
        <v>1484</v>
      </c>
      <c r="B1112" s="1089" t="str">
        <f ca="1">IFERROR(_xlfn.CONCAT("C",MATCH(A1112,INDIRECT("'"&amp;E1112&amp;"'!C"&amp;$O$1105&amp;":C"&amp;$O$1107),0)+$O$1105-1),"")</f>
        <v>C441</v>
      </c>
      <c r="C1112" s="1089" t="str">
        <f ca="1">IFERROR(_xlfn.CONCAT("D",MATCH(A1112,INDIRECT("'"&amp;E1112&amp;"'!C"&amp;$O$1105&amp;":C"&amp;$O$1107),0)+$O$1105-1),"")</f>
        <v>D441</v>
      </c>
      <c r="D1112" s="1089" t="s">
        <v>1448</v>
      </c>
      <c r="E1112" s="1089" t="s">
        <v>1618</v>
      </c>
      <c r="F1112" s="1089"/>
      <c r="G1112" s="1089"/>
      <c r="H1112" s="1089"/>
      <c r="I1112" s="1026" t="str">
        <f t="shared" si="127"/>
        <v/>
      </c>
      <c r="J1112" s="1376"/>
      <c r="K1112" s="1376" t="str">
        <f t="shared" si="128"/>
        <v/>
      </c>
      <c r="L1112" s="1089" t="s">
        <v>1484</v>
      </c>
      <c r="M1112" s="1376">
        <v>1095</v>
      </c>
      <c r="N1112" s="1376"/>
      <c r="R1112" s="1376" t="s">
        <v>1168</v>
      </c>
    </row>
    <row r="1113" spans="1:18" s="1370" customFormat="1" x14ac:dyDescent="0.25">
      <c r="A1113" s="1118" t="s">
        <v>1485</v>
      </c>
      <c r="B1113" s="1089" t="str">
        <f ca="1">IFERROR(_xlfn.CONCAT("C",MATCH(A1113,INDIRECT("'"&amp;E1113&amp;"'!C"&amp;$O$1105&amp;":C"&amp;$O$1107),0)+$O$1105-1),"")</f>
        <v>C443</v>
      </c>
      <c r="C1113" s="1089" t="str">
        <f ca="1">IFERROR(_xlfn.CONCAT("D",MATCH(A1113,INDIRECT("'"&amp;E1113&amp;"'!C"&amp;$O$1105&amp;":C"&amp;$O$1107),0)+$O$1105-1),"")</f>
        <v>D443</v>
      </c>
      <c r="D1113" s="1089" t="s">
        <v>1448</v>
      </c>
      <c r="E1113" s="1089" t="s">
        <v>1618</v>
      </c>
      <c r="F1113" s="1089"/>
      <c r="G1113" s="1089"/>
      <c r="H1113" s="1089"/>
      <c r="I1113" s="1026" t="str">
        <f t="shared" si="127"/>
        <v/>
      </c>
      <c r="J1113" s="1376"/>
      <c r="K1113" s="1376" t="str">
        <f t="shared" si="128"/>
        <v/>
      </c>
      <c r="L1113" s="1089" t="s">
        <v>1485</v>
      </c>
      <c r="M1113" s="1376">
        <v>1096</v>
      </c>
      <c r="N1113" s="1376"/>
      <c r="R1113" s="1376" t="s">
        <v>1168</v>
      </c>
    </row>
    <row r="1114" spans="1:18" s="1370" customFormat="1" ht="30" x14ac:dyDescent="0.25">
      <c r="A1114" s="1118" t="s">
        <v>1597</v>
      </c>
      <c r="B1114" s="1089" t="str">
        <f ca="1">IFERROR(_xlfn.CONCAT("C",MATCH(A1114,INDIRECT("'"&amp;E1114&amp;"'!C"&amp;$O$1105&amp;":C"&amp;$O$1107),0)+$O$1105-1),"")</f>
        <v>C445</v>
      </c>
      <c r="C1114" s="1089" t="str">
        <f ca="1">IFERROR(_xlfn.CONCAT("D",MATCH(A1114,INDIRECT("'"&amp;E1114&amp;"'!C"&amp;$O$1105&amp;":C"&amp;$O$1107),0)+$O$1105-1),"")</f>
        <v>D445</v>
      </c>
      <c r="D1114" s="1089" t="s">
        <v>1448</v>
      </c>
      <c r="E1114" s="1089" t="s">
        <v>1618</v>
      </c>
      <c r="F1114" s="1089"/>
      <c r="G1114" s="1089"/>
      <c r="H1114" s="1089"/>
      <c r="I1114" s="1026" t="str">
        <f t="shared" si="127"/>
        <v>Incentive Dates Match Agreement Dates Flag</v>
      </c>
      <c r="J1114" s="1376" t="str">
        <f t="shared" si="126"/>
        <v>1097</v>
      </c>
      <c r="K1114" s="1376" t="str">
        <f t="shared" si="128"/>
        <v>Incentives Worksheet</v>
      </c>
      <c r="L1114" s="1089" t="s">
        <v>1597</v>
      </c>
      <c r="M1114" s="1376">
        <v>1097</v>
      </c>
      <c r="N1114" s="1376"/>
      <c r="R1114" s="1376" t="s">
        <v>1168</v>
      </c>
    </row>
    <row r="1115" spans="1:18" s="1370" customFormat="1" x14ac:dyDescent="0.25">
      <c r="A1115" s="1118" t="s">
        <v>1594</v>
      </c>
      <c r="B1115" s="1089" t="str">
        <f ca="1">_xlfn.CONCAT(IFERROR(SUBSTITUTE(ADDRESS(1,MATCH(A1115,INDIRECT("'"&amp;E1115&amp;"'"&amp;"!A" &amp; $O$1105 + 8 &amp; ":Z" &amp; $O$1105 + 8),0),4),1,""),""),$O$1105+ 8)</f>
        <v>H443</v>
      </c>
      <c r="C1115" s="1089" t="str">
        <f ca="1">_xlfn.CONCAT(IFERROR(SUBSTITUTE(ADDRESS(1,MATCH(A1115,INDIRECT("'"&amp;E1115&amp;"'"&amp;"!A" &amp; $O$1105 + 8 &amp; ":Z" &amp; $O$1105 + 8),0),4),1,""),""),$O$1105+ 9)</f>
        <v>H444</v>
      </c>
      <c r="D1115" s="1089" t="s">
        <v>1448</v>
      </c>
      <c r="E1115" s="1089" t="s">
        <v>1618</v>
      </c>
      <c r="F1115" s="1089"/>
      <c r="G1115" s="1089"/>
      <c r="H1115" s="1089"/>
      <c r="I1115" s="1026" t="str">
        <f t="shared" si="127"/>
        <v>Include All Customers Flag</v>
      </c>
      <c r="J1115" s="1376" t="str">
        <f t="shared" si="126"/>
        <v>1098</v>
      </c>
      <c r="K1115" s="1376" t="str">
        <f t="shared" si="128"/>
        <v>Incentives Worksheet</v>
      </c>
      <c r="L1115" s="1089" t="s">
        <v>1594</v>
      </c>
      <c r="M1115" s="1376">
        <v>1098</v>
      </c>
      <c r="N1115" s="1376"/>
      <c r="R1115" s="1376" t="s">
        <v>1168</v>
      </c>
    </row>
    <row r="1116" spans="1:18" s="1370" customFormat="1" x14ac:dyDescent="0.25">
      <c r="A1116" s="1118" t="s">
        <v>1488</v>
      </c>
      <c r="B1116" s="1089" t="str">
        <f ca="1">_xlfn.CONCAT(IFERROR(SUBSTITUTE(ADDRESS(1,MATCH(A1116,INDIRECT("'"&amp;E1116&amp;"'"&amp;"!A" &amp; $O$1105 + 11 &amp; ":Z" &amp; $O$1105 + 11),0),4),1,""),""),$O$1105+ 11)</f>
        <v>H446</v>
      </c>
      <c r="C1116" s="1089" t="str">
        <f ca="1">_xlfn.CONCAT(IFERROR(SUBSTITUTE(ADDRESS(1,MATCH(A1116,INDIRECT("'"&amp;E1116&amp;"'"&amp;"!A" &amp; $O$1105 + 11 &amp; ":Z" &amp; $O$1105 + 11),0),4),1,""),""),$O$1105+ 12)</f>
        <v>H447</v>
      </c>
      <c r="D1116" s="1089" t="s">
        <v>1448</v>
      </c>
      <c r="E1116" s="1089" t="s">
        <v>1618</v>
      </c>
      <c r="F1116" s="1089"/>
      <c r="G1116" s="1089"/>
      <c r="H1116" s="1089"/>
      <c r="I1116" s="1026" t="str">
        <f t="shared" si="127"/>
        <v/>
      </c>
      <c r="J1116" s="1376"/>
      <c r="K1116" s="1376" t="str">
        <f t="shared" si="128"/>
        <v/>
      </c>
      <c r="L1116" s="1089" t="s">
        <v>1488</v>
      </c>
      <c r="M1116" s="1376">
        <v>1099</v>
      </c>
      <c r="N1116" s="1376"/>
      <c r="R1116" s="1376" t="s">
        <v>1168</v>
      </c>
    </row>
    <row r="1117" spans="1:18" s="1370" customFormat="1" x14ac:dyDescent="0.25">
      <c r="A1117" s="1118" t="s">
        <v>1495</v>
      </c>
      <c r="B1117" s="1089" t="str">
        <f ca="1">_xlfn.CONCAT(IFERROR(SUBSTITUTE(ADDRESS(1,MATCH(A1117,INDIRECT("'"&amp;E1117&amp;"'"&amp;"!A" &amp; $O$1105 + 5 &amp; ":Z" &amp; $O$1105 + 5),0),4),1,""),""),$O$1105+ 5)</f>
        <v>H440</v>
      </c>
      <c r="C1117" s="1089" t="str">
        <f ca="1">_xlfn.CONCAT(IFERROR(SUBSTITUTE(ADDRESS(1,MATCH(A1117,INDIRECT("'"&amp;E1117&amp;"'"&amp;"!A" &amp; $O$1105 + 5 &amp; ":Z" &amp; $O$1105 + 5),0),4),1,""),""),$O$1105+ 6)</f>
        <v>H441</v>
      </c>
      <c r="D1117" s="1089" t="s">
        <v>1448</v>
      </c>
      <c r="E1117" s="1089" t="s">
        <v>1618</v>
      </c>
      <c r="F1117" s="1089"/>
      <c r="G1117" s="1089"/>
      <c r="H1117" s="1089"/>
      <c r="I1117" s="1026" t="str">
        <f t="shared" si="127"/>
        <v/>
      </c>
      <c r="J1117" s="1376"/>
      <c r="K1117" s="1376" t="str">
        <f t="shared" si="128"/>
        <v/>
      </c>
      <c r="L1117" s="1089" t="s">
        <v>1495</v>
      </c>
      <c r="M1117" s="1376">
        <v>1100</v>
      </c>
      <c r="N1117" s="1376"/>
      <c r="R1117" s="1376" t="s">
        <v>1168</v>
      </c>
    </row>
    <row r="1118" spans="1:18" s="1370" customFormat="1" x14ac:dyDescent="0.25">
      <c r="A1118" s="1118" t="s">
        <v>1583</v>
      </c>
      <c r="B1118" s="1089" t="str">
        <f ca="1">_xlfn.CONCAT(IFERROR(SUBSTITUTE(ADDRESS(1,MATCH(A1118,INDIRECT("'"&amp;E1118&amp;"'"&amp;"!A" &amp; $O$1105 + 5 &amp; ":Z" &amp; $O$1105 + 5),0),4),1,""),""),$O$1105+ 6)</f>
        <v>J441</v>
      </c>
      <c r="C1118" s="1089" t="str">
        <f t="shared" ref="C1118:C1132" ca="1" si="129">IFERROR(SUBSTITUTE(ADDRESS(1,MATCH(A1118,INDIRECT("'"&amp;E1118&amp;"'"&amp;"!A" &amp; $O$1105 + 5 &amp; ":Z" &amp; $O$1105 + 5),0),4),1,""),"")</f>
        <v>J</v>
      </c>
      <c r="D1118" s="1089" t="s">
        <v>1455</v>
      </c>
      <c r="E1118" s="1089" t="s">
        <v>1618</v>
      </c>
      <c r="F1118" s="1089"/>
      <c r="G1118" s="1089"/>
      <c r="H1118" s="1089"/>
      <c r="I1118" s="1026" t="str">
        <f t="shared" si="127"/>
        <v/>
      </c>
      <c r="J1118" s="1376"/>
      <c r="K1118" s="1376" t="str">
        <f t="shared" si="128"/>
        <v/>
      </c>
      <c r="L1118" s="1089" t="s">
        <v>1583</v>
      </c>
      <c r="M1118" s="1376">
        <v>1101</v>
      </c>
      <c r="N1118" s="1376"/>
      <c r="R1118" s="1376" t="s">
        <v>1168</v>
      </c>
    </row>
    <row r="1119" spans="1:18" s="1370" customFormat="1" x14ac:dyDescent="0.25">
      <c r="A1119" s="1118" t="s">
        <v>751</v>
      </c>
      <c r="B1119" s="1089" t="str">
        <f ca="1">_xlfn.CONCAT(IFERROR(SUBSTITUTE(ADDRESS(1,MATCH(A1119,INDIRECT("'"&amp;E1119&amp;"'"&amp;"!A" &amp; $O$1105 + 5 &amp; ":Z" &amp; $O$1105 + 5),0),4),1,""),""),$O$1105+ 6)</f>
        <v>L441</v>
      </c>
      <c r="C1119" s="1089" t="str">
        <f t="shared" ca="1" si="129"/>
        <v>L</v>
      </c>
      <c r="D1119" s="1089" t="s">
        <v>1455</v>
      </c>
      <c r="E1119" s="1089" t="s">
        <v>1618</v>
      </c>
      <c r="F1119" s="1089"/>
      <c r="G1119" s="1089"/>
      <c r="H1119" s="1089"/>
      <c r="I1119" s="1026" t="str">
        <f t="shared" si="127"/>
        <v/>
      </c>
      <c r="J1119" s="1376"/>
      <c r="K1119" s="1376" t="str">
        <f t="shared" si="128"/>
        <v/>
      </c>
      <c r="L1119" s="1089" t="s">
        <v>751</v>
      </c>
      <c r="M1119" s="1376">
        <v>1102</v>
      </c>
      <c r="N1119" s="1376"/>
      <c r="R1119" s="1376" t="s">
        <v>1168</v>
      </c>
    </row>
    <row r="1120" spans="1:18" s="1370" customFormat="1" x14ac:dyDescent="0.25">
      <c r="A1120" s="1118" t="s">
        <v>1584</v>
      </c>
      <c r="B1120" s="1089" t="str">
        <f ca="1">_xlfn.CONCAT(IFERROR(SUBSTITUTE(ADDRESS(1,MATCH(A1120,INDIRECT("'"&amp;E1120&amp;"'"&amp;"!A" &amp; $O$1105 + 5 &amp; ":Z" &amp; $O$1105 + 5),0),4),1,""),""),$O$1105+ 6)</f>
        <v>N441</v>
      </c>
      <c r="C1120" s="1089" t="str">
        <f t="shared" ca="1" si="129"/>
        <v>N</v>
      </c>
      <c r="D1120" s="1089" t="s">
        <v>1455</v>
      </c>
      <c r="E1120" s="1089" t="s">
        <v>1618</v>
      </c>
      <c r="F1120" s="1089"/>
      <c r="G1120" s="1089"/>
      <c r="H1120" s="1089"/>
      <c r="I1120" s="1026" t="str">
        <f t="shared" si="127"/>
        <v/>
      </c>
      <c r="J1120" s="1376"/>
      <c r="K1120" s="1376" t="str">
        <f t="shared" si="128"/>
        <v/>
      </c>
      <c r="L1120" s="1089" t="s">
        <v>1584</v>
      </c>
      <c r="M1120" s="1376">
        <v>1103</v>
      </c>
      <c r="N1120" s="1376"/>
      <c r="R1120" s="1376" t="s">
        <v>1168</v>
      </c>
    </row>
    <row r="1121" spans="1:18" s="1370" customFormat="1" x14ac:dyDescent="0.25">
      <c r="A1121" s="1118" t="s">
        <v>1583</v>
      </c>
      <c r="B1121" s="1089" t="str">
        <f ca="1">_xlfn.CONCAT(IFERROR(SUBSTITUTE(ADDRESS(1,MATCH(A1121,INDIRECT("'"&amp;E1121&amp;"'"&amp;"!A" &amp; $O$1105 + 5 &amp; ":Z" &amp; $O$1105 + 5),0),4),1,""),""),$O$1105+ 7)</f>
        <v>J442</v>
      </c>
      <c r="C1121" s="1089" t="str">
        <f t="shared" ca="1" si="129"/>
        <v>J</v>
      </c>
      <c r="D1121" s="1089" t="s">
        <v>1455</v>
      </c>
      <c r="E1121" s="1089" t="s">
        <v>1618</v>
      </c>
      <c r="F1121" s="1089"/>
      <c r="G1121" s="1089"/>
      <c r="H1121" s="1089"/>
      <c r="I1121" s="1026" t="str">
        <f t="shared" si="127"/>
        <v/>
      </c>
      <c r="J1121" s="1376"/>
      <c r="K1121" s="1376" t="str">
        <f t="shared" si="128"/>
        <v/>
      </c>
      <c r="L1121" s="1089" t="s">
        <v>1583</v>
      </c>
      <c r="M1121" s="1376">
        <v>1104</v>
      </c>
      <c r="N1121" s="1376"/>
      <c r="R1121" s="1376" t="s">
        <v>1168</v>
      </c>
    </row>
    <row r="1122" spans="1:18" s="1370" customFormat="1" x14ac:dyDescent="0.25">
      <c r="A1122" s="1118" t="s">
        <v>751</v>
      </c>
      <c r="B1122" s="1089" t="str">
        <f ca="1">_xlfn.CONCAT(IFERROR(SUBSTITUTE(ADDRESS(1,MATCH(A1122,INDIRECT("'"&amp;E1122&amp;"'"&amp;"!A" &amp; $O$1105 + 5 &amp; ":Z" &amp; $O$1105 + 5),0),4),1,""),""),$O$1105+ 7)</f>
        <v>L442</v>
      </c>
      <c r="C1122" s="1089" t="str">
        <f t="shared" ca="1" si="129"/>
        <v>L</v>
      </c>
      <c r="D1122" s="1089" t="s">
        <v>1455</v>
      </c>
      <c r="E1122" s="1089" t="s">
        <v>1618</v>
      </c>
      <c r="F1122" s="1089"/>
      <c r="G1122" s="1089"/>
      <c r="H1122" s="1089"/>
      <c r="I1122" s="1026" t="str">
        <f t="shared" si="127"/>
        <v/>
      </c>
      <c r="J1122" s="1376"/>
      <c r="K1122" s="1376" t="str">
        <f t="shared" si="128"/>
        <v/>
      </c>
      <c r="L1122" s="1089" t="s">
        <v>751</v>
      </c>
      <c r="M1122" s="1376">
        <v>1105</v>
      </c>
      <c r="N1122" s="1376"/>
      <c r="R1122" s="1376" t="s">
        <v>1168</v>
      </c>
    </row>
    <row r="1123" spans="1:18" s="1370" customFormat="1" x14ac:dyDescent="0.25">
      <c r="A1123" s="1118" t="s">
        <v>1584</v>
      </c>
      <c r="B1123" s="1089" t="str">
        <f ca="1">_xlfn.CONCAT(IFERROR(SUBSTITUTE(ADDRESS(1,MATCH(A1123,INDIRECT("'"&amp;E1123&amp;"'"&amp;"!A" &amp; $O$1105 + 5 &amp; ":Z" &amp; $O$1105 + 5),0),4),1,""),""),$O$1105+ 7)</f>
        <v>N442</v>
      </c>
      <c r="C1123" s="1089" t="str">
        <f t="shared" ca="1" si="129"/>
        <v>N</v>
      </c>
      <c r="D1123" s="1089" t="s">
        <v>1455</v>
      </c>
      <c r="E1123" s="1089" t="s">
        <v>1618</v>
      </c>
      <c r="F1123" s="1089"/>
      <c r="G1123" s="1089"/>
      <c r="H1123" s="1089"/>
      <c r="I1123" s="1026" t="str">
        <f t="shared" si="127"/>
        <v/>
      </c>
      <c r="J1123" s="1376"/>
      <c r="K1123" s="1376" t="str">
        <f t="shared" si="128"/>
        <v/>
      </c>
      <c r="L1123" s="1089" t="s">
        <v>1584</v>
      </c>
      <c r="M1123" s="1376">
        <v>1106</v>
      </c>
      <c r="N1123" s="1376"/>
      <c r="R1123" s="1376" t="s">
        <v>1168</v>
      </c>
    </row>
    <row r="1124" spans="1:18" s="1370" customFormat="1" x14ac:dyDescent="0.25">
      <c r="A1124" s="1118" t="s">
        <v>1583</v>
      </c>
      <c r="B1124" s="1089" t="str">
        <f ca="1">_xlfn.CONCAT(IFERROR(SUBSTITUTE(ADDRESS(1,MATCH(A1124,INDIRECT("'"&amp;E1124&amp;"'"&amp;"!A" &amp; $O$1105 + 5 &amp; ":Z" &amp; $O$1105 + 5),0),4),1,""),""),$O$1105+ 8)</f>
        <v>J443</v>
      </c>
      <c r="C1124" s="1089" t="str">
        <f t="shared" ca="1" si="129"/>
        <v>J</v>
      </c>
      <c r="D1124" s="1089" t="s">
        <v>1455</v>
      </c>
      <c r="E1124" s="1089" t="s">
        <v>1618</v>
      </c>
      <c r="F1124" s="1089"/>
      <c r="G1124" s="1089"/>
      <c r="H1124" s="1089"/>
      <c r="I1124" s="1026" t="str">
        <f t="shared" si="127"/>
        <v/>
      </c>
      <c r="J1124" s="1376"/>
      <c r="K1124" s="1376" t="str">
        <f t="shared" si="128"/>
        <v/>
      </c>
      <c r="L1124" s="1089" t="s">
        <v>1583</v>
      </c>
      <c r="M1124" s="1376">
        <v>1107</v>
      </c>
      <c r="N1124" s="1376"/>
      <c r="R1124" s="1376" t="s">
        <v>1168</v>
      </c>
    </row>
    <row r="1125" spans="1:18" s="1370" customFormat="1" x14ac:dyDescent="0.25">
      <c r="A1125" s="1118" t="s">
        <v>751</v>
      </c>
      <c r="B1125" s="1089" t="str">
        <f ca="1">_xlfn.CONCAT(IFERROR(SUBSTITUTE(ADDRESS(1,MATCH(A1125,INDIRECT("'"&amp;E1125&amp;"'"&amp;"!A" &amp; $O$1105 + 5 &amp; ":Z" &amp; $O$1105 + 5),0),4),1,""),""),$O$1105+ 8)</f>
        <v>L443</v>
      </c>
      <c r="C1125" s="1089" t="str">
        <f t="shared" ca="1" si="129"/>
        <v>L</v>
      </c>
      <c r="D1125" s="1089" t="s">
        <v>1455</v>
      </c>
      <c r="E1125" s="1089" t="s">
        <v>1618</v>
      </c>
      <c r="F1125" s="1089"/>
      <c r="G1125" s="1089"/>
      <c r="H1125" s="1089"/>
      <c r="I1125" s="1026" t="str">
        <f t="shared" si="127"/>
        <v/>
      </c>
      <c r="J1125" s="1376"/>
      <c r="K1125" s="1376" t="str">
        <f t="shared" si="128"/>
        <v/>
      </c>
      <c r="L1125" s="1089" t="s">
        <v>751</v>
      </c>
      <c r="M1125" s="1376">
        <v>1108</v>
      </c>
      <c r="N1125" s="1376"/>
      <c r="R1125" s="1376" t="s">
        <v>1168</v>
      </c>
    </row>
    <row r="1126" spans="1:18" s="1370" customFormat="1" x14ac:dyDescent="0.25">
      <c r="A1126" s="1118" t="s">
        <v>1584</v>
      </c>
      <c r="B1126" s="1089" t="str">
        <f ca="1">_xlfn.CONCAT(IFERROR(SUBSTITUTE(ADDRESS(1,MATCH(A1126,INDIRECT("'"&amp;E1126&amp;"'"&amp;"!A" &amp; $O$1105 + 5 &amp; ":Z" &amp; $O$1105 + 5),0),4),1,""),""),$O$1105+ 8)</f>
        <v>N443</v>
      </c>
      <c r="C1126" s="1089" t="str">
        <f t="shared" ca="1" si="129"/>
        <v>N</v>
      </c>
      <c r="D1126" s="1089" t="s">
        <v>1455</v>
      </c>
      <c r="E1126" s="1089" t="s">
        <v>1618</v>
      </c>
      <c r="F1126" s="1089"/>
      <c r="G1126" s="1089"/>
      <c r="H1126" s="1089"/>
      <c r="I1126" s="1026" t="str">
        <f t="shared" si="127"/>
        <v/>
      </c>
      <c r="J1126" s="1376"/>
      <c r="K1126" s="1376" t="str">
        <f t="shared" si="128"/>
        <v/>
      </c>
      <c r="L1126" s="1089" t="s">
        <v>1584</v>
      </c>
      <c r="M1126" s="1376">
        <v>1109</v>
      </c>
      <c r="N1126" s="1376"/>
      <c r="R1126" s="1376" t="s">
        <v>1168</v>
      </c>
    </row>
    <row r="1127" spans="1:18" s="1370" customFormat="1" x14ac:dyDescent="0.25">
      <c r="A1127" s="1118" t="s">
        <v>1583</v>
      </c>
      <c r="B1127" s="1089" t="str">
        <f ca="1">_xlfn.CONCAT(IFERROR(SUBSTITUTE(ADDRESS(1,MATCH(A1127,INDIRECT("'"&amp;E1127&amp;"'"&amp;"!A" &amp; $O$1105 + 5 &amp; ":Z" &amp; $O$1105 + 5),0),4),1,""),""),$O$1105+ 9)</f>
        <v>J444</v>
      </c>
      <c r="C1127" s="1089" t="str">
        <f t="shared" ca="1" si="129"/>
        <v>J</v>
      </c>
      <c r="D1127" s="1089" t="s">
        <v>1455</v>
      </c>
      <c r="E1127" s="1089" t="s">
        <v>1618</v>
      </c>
      <c r="F1127" s="1089"/>
      <c r="G1127" s="1089"/>
      <c r="H1127" s="1089"/>
      <c r="I1127" s="1026" t="str">
        <f t="shared" si="127"/>
        <v/>
      </c>
      <c r="J1127" s="1376"/>
      <c r="K1127" s="1376" t="str">
        <f t="shared" si="128"/>
        <v/>
      </c>
      <c r="L1127" s="1089" t="s">
        <v>1583</v>
      </c>
      <c r="M1127" s="1376">
        <v>1110</v>
      </c>
      <c r="N1127" s="1376"/>
      <c r="R1127" s="1376" t="s">
        <v>1168</v>
      </c>
    </row>
    <row r="1128" spans="1:18" s="1370" customFormat="1" x14ac:dyDescent="0.25">
      <c r="A1128" s="1118" t="s">
        <v>751</v>
      </c>
      <c r="B1128" s="1089" t="str">
        <f ca="1">_xlfn.CONCAT(IFERROR(SUBSTITUTE(ADDRESS(1,MATCH(A1128,INDIRECT("'"&amp;E1128&amp;"'"&amp;"!A" &amp; $O$1105 + 5 &amp; ":Z" &amp; $O$1105 + 5),0),4),1,""),""),$O$1105+ 9)</f>
        <v>L444</v>
      </c>
      <c r="C1128" s="1089" t="str">
        <f t="shared" ca="1" si="129"/>
        <v>L</v>
      </c>
      <c r="D1128" s="1089" t="s">
        <v>1455</v>
      </c>
      <c r="E1128" s="1089" t="s">
        <v>1618</v>
      </c>
      <c r="F1128" s="1089"/>
      <c r="G1128" s="1089"/>
      <c r="H1128" s="1089"/>
      <c r="I1128" s="1026" t="str">
        <f t="shared" si="127"/>
        <v/>
      </c>
      <c r="J1128" s="1376"/>
      <c r="K1128" s="1376" t="str">
        <f t="shared" si="128"/>
        <v/>
      </c>
      <c r="L1128" s="1089" t="s">
        <v>751</v>
      </c>
      <c r="M1128" s="1376">
        <v>1111</v>
      </c>
      <c r="N1128" s="1376"/>
      <c r="R1128" s="1376" t="s">
        <v>1168</v>
      </c>
    </row>
    <row r="1129" spans="1:18" s="1370" customFormat="1" x14ac:dyDescent="0.25">
      <c r="A1129" s="1118" t="s">
        <v>1584</v>
      </c>
      <c r="B1129" s="1089" t="str">
        <f ca="1">_xlfn.CONCAT(IFERROR(SUBSTITUTE(ADDRESS(1,MATCH(A1129,INDIRECT("'"&amp;E1129&amp;"'"&amp;"!A" &amp; $O$1105 + 5 &amp; ":Z" &amp; $O$1105 + 5),0),4),1,""),""),$O$1105+ 9)</f>
        <v>N444</v>
      </c>
      <c r="C1129" s="1089" t="str">
        <f t="shared" ca="1" si="129"/>
        <v>N</v>
      </c>
      <c r="D1129" s="1089" t="s">
        <v>1455</v>
      </c>
      <c r="E1129" s="1089" t="s">
        <v>1618</v>
      </c>
      <c r="F1129" s="1089"/>
      <c r="G1129" s="1089"/>
      <c r="H1129" s="1089"/>
      <c r="I1129" s="1026" t="str">
        <f t="shared" si="127"/>
        <v/>
      </c>
      <c r="J1129" s="1376"/>
      <c r="K1129" s="1376" t="str">
        <f t="shared" si="128"/>
        <v/>
      </c>
      <c r="L1129" s="1089" t="s">
        <v>1584</v>
      </c>
      <c r="M1129" s="1376">
        <v>1112</v>
      </c>
      <c r="N1129" s="1376"/>
      <c r="R1129" s="1376" t="s">
        <v>1168</v>
      </c>
    </row>
    <row r="1130" spans="1:18" s="1370" customFormat="1" x14ac:dyDescent="0.25">
      <c r="A1130" s="1118" t="s">
        <v>1583</v>
      </c>
      <c r="B1130" s="1089" t="str">
        <f ca="1">_xlfn.CONCAT(IFERROR(SUBSTITUTE(ADDRESS(1,MATCH(A1130,INDIRECT("'"&amp;E1130&amp;"'"&amp;"!A" &amp; $O$1105 + 5 &amp; ":Z" &amp; $O$1105 + 5),0),4),1,""),""),$O$1105+ 10)</f>
        <v>J445</v>
      </c>
      <c r="C1130" s="1089" t="str">
        <f t="shared" ca="1" si="129"/>
        <v>J</v>
      </c>
      <c r="D1130" s="1089" t="s">
        <v>1455</v>
      </c>
      <c r="E1130" s="1089" t="s">
        <v>1618</v>
      </c>
      <c r="F1130" s="1089"/>
      <c r="G1130" s="1089"/>
      <c r="H1130" s="1089"/>
      <c r="I1130" s="1026" t="str">
        <f t="shared" si="127"/>
        <v/>
      </c>
      <c r="J1130" s="1376"/>
      <c r="K1130" s="1376" t="str">
        <f t="shared" si="128"/>
        <v/>
      </c>
      <c r="L1130" s="1089" t="s">
        <v>1583</v>
      </c>
      <c r="M1130" s="1376">
        <v>1113</v>
      </c>
      <c r="N1130" s="1376"/>
      <c r="R1130" s="1376" t="s">
        <v>1168</v>
      </c>
    </row>
    <row r="1131" spans="1:18" s="1370" customFormat="1" x14ac:dyDescent="0.25">
      <c r="A1131" s="1118" t="s">
        <v>751</v>
      </c>
      <c r="B1131" s="1089" t="str">
        <f ca="1">_xlfn.CONCAT(IFERROR(SUBSTITUTE(ADDRESS(1,MATCH(A1131,INDIRECT("'"&amp;E1131&amp;"'"&amp;"!A" &amp; $O$1105 + 5 &amp; ":Z" &amp; $O$1105 + 5),0),4),1,""),""),$O$1105+ 10)</f>
        <v>L445</v>
      </c>
      <c r="C1131" s="1089" t="str">
        <f t="shared" ca="1" si="129"/>
        <v>L</v>
      </c>
      <c r="D1131" s="1089" t="s">
        <v>1455</v>
      </c>
      <c r="E1131" s="1089" t="s">
        <v>1618</v>
      </c>
      <c r="F1131" s="1089"/>
      <c r="G1131" s="1089"/>
      <c r="H1131" s="1089"/>
      <c r="I1131" s="1026" t="str">
        <f t="shared" si="127"/>
        <v/>
      </c>
      <c r="J1131" s="1376"/>
      <c r="K1131" s="1376" t="str">
        <f t="shared" si="128"/>
        <v/>
      </c>
      <c r="L1131" s="1089" t="s">
        <v>751</v>
      </c>
      <c r="M1131" s="1376">
        <v>1114</v>
      </c>
      <c r="N1131" s="1376"/>
      <c r="R1131" s="1376" t="s">
        <v>1168</v>
      </c>
    </row>
    <row r="1132" spans="1:18" s="1370" customFormat="1" x14ac:dyDescent="0.25">
      <c r="A1132" s="1118" t="s">
        <v>1584</v>
      </c>
      <c r="B1132" s="1089" t="str">
        <f ca="1">_xlfn.CONCAT(IFERROR(SUBSTITUTE(ADDRESS(1,MATCH(A1132,INDIRECT("'"&amp;E1132&amp;"'"&amp;"!A" &amp; $O$1105 + 5 &amp; ":Z" &amp; $O$1105 + 5),0),4),1,""),""),$O$1105+ 10)</f>
        <v>N445</v>
      </c>
      <c r="C1132" s="1089" t="str">
        <f t="shared" ca="1" si="129"/>
        <v>N</v>
      </c>
      <c r="D1132" s="1089" t="s">
        <v>1455</v>
      </c>
      <c r="E1132" s="1089" t="s">
        <v>1618</v>
      </c>
      <c r="F1132" s="1089"/>
      <c r="G1132" s="1089"/>
      <c r="H1132" s="1089"/>
      <c r="I1132" s="1026" t="str">
        <f t="shared" si="127"/>
        <v/>
      </c>
      <c r="J1132" s="1376"/>
      <c r="K1132" s="1376" t="str">
        <f t="shared" si="128"/>
        <v/>
      </c>
      <c r="L1132" s="1089" t="s">
        <v>1584</v>
      </c>
      <c r="M1132" s="1376">
        <v>1115</v>
      </c>
      <c r="N1132" s="1376"/>
      <c r="R1132" s="1376" t="s">
        <v>1168</v>
      </c>
    </row>
    <row r="1133" spans="1:18" s="1370" customFormat="1" x14ac:dyDescent="0.25">
      <c r="A1133" s="1121" t="s">
        <v>1593</v>
      </c>
      <c r="B1133" s="1089" t="str">
        <f ca="1">IFERROR(_xlfn.CONCAT("C",MATCH(A1133,INDIRECT("'"&amp;E1133&amp;"'!C"&amp;$O$1134&amp;":C"&amp;$O$1136),0)+$O$1134-1),"")</f>
        <v>C453</v>
      </c>
      <c r="C1133" s="1089" t="str">
        <f ca="1">IFERROR(_xlfn.CONCAT("D",MATCH(A1133,INDIRECT("'"&amp;E1133&amp;"'!C"&amp;$O$1134&amp;":C"&amp;$O$1136),0)+$O$1134-1),"")</f>
        <v>D453</v>
      </c>
      <c r="D1133" s="1089" t="s">
        <v>1448</v>
      </c>
      <c r="E1133" s="1089" t="s">
        <v>1618</v>
      </c>
      <c r="F1133" s="1089"/>
      <c r="G1133" s="1089"/>
      <c r="H1133" s="1089"/>
      <c r="I1133" s="1026" t="str">
        <f t="shared" si="127"/>
        <v/>
      </c>
      <c r="J1133" s="1376"/>
      <c r="K1133" s="1376" t="str">
        <f t="shared" si="128"/>
        <v/>
      </c>
      <c r="L1133" s="1089" t="s">
        <v>1593</v>
      </c>
      <c r="M1133" s="1376">
        <v>1116</v>
      </c>
      <c r="N1133" s="1376"/>
      <c r="O1133" s="1370" t="s">
        <v>742</v>
      </c>
      <c r="R1133" s="1376" t="s">
        <v>1168</v>
      </c>
    </row>
    <row r="1134" spans="1:18" s="1370" customFormat="1" x14ac:dyDescent="0.25">
      <c r="A1134" s="1121" t="s">
        <v>1809</v>
      </c>
      <c r="B1134" s="1089" t="str">
        <f ca="1">_xlfn.CONCAT(IFERROR(SUBSTITUTE(ADDRESS(1,MATCH(A1134,INDIRECT("'"&amp;E1134&amp;"'"&amp;"!A" &amp; $O$1134 + 11 &amp; ":Z" &amp; $O$1134 + 11),0),4),1,""),""),$O$1134+ 11)</f>
        <v>T460</v>
      </c>
      <c r="C1134" s="1089" t="str">
        <f ca="1">_xlfn.CONCAT(IFERROR(SUBSTITUTE(ADDRESS(1,MATCH(A1134,INDIRECT("'"&amp;E1134&amp;"'"&amp;"!A" &amp; $O$1134 + 11 &amp; ":Z" &amp; $O$1134 + 11),0),4),1,""),""),$O$1134+ 12)</f>
        <v>T461</v>
      </c>
      <c r="D1134" s="1089" t="s">
        <v>1448</v>
      </c>
      <c r="E1134" s="1089" t="s">
        <v>1618</v>
      </c>
      <c r="F1134" s="1089"/>
      <c r="G1134" s="1089"/>
      <c r="H1134" s="1089"/>
      <c r="I1134" s="1026" t="str">
        <f t="shared" si="127"/>
        <v/>
      </c>
      <c r="J1134" s="1376"/>
      <c r="K1134" s="1376" t="str">
        <f t="shared" si="128"/>
        <v/>
      </c>
      <c r="L1134" s="1089" t="s">
        <v>1809</v>
      </c>
      <c r="M1134" s="1376">
        <v>1117</v>
      </c>
      <c r="N1134" s="1376"/>
      <c r="O1134" s="1370">
        <f>'Configurable Tab'!H34</f>
        <v>449</v>
      </c>
      <c r="Q1134" s="1370" t="s">
        <v>653</v>
      </c>
      <c r="R1134" s="1376" t="s">
        <v>1168</v>
      </c>
    </row>
    <row r="1135" spans="1:18" s="1370" customFormat="1" x14ac:dyDescent="0.25">
      <c r="A1135" s="1121" t="s">
        <v>1482</v>
      </c>
      <c r="B1135" s="1089" t="str">
        <f ca="1">IFERROR(_xlfn.CONCAT("C",MATCH(A1135,INDIRECT("'"&amp;E1135&amp;"'!C"&amp;$O$1134&amp;":C"&amp;$O$1136),0)+$O$1134-1),"")</f>
        <v>C451</v>
      </c>
      <c r="C1135" s="1089" t="str">
        <f ca="1">IFERROR(_xlfn.CONCAT("D",MATCH(A1135,INDIRECT("'"&amp;E1135&amp;"'!C"&amp;$O$1134&amp;":C"&amp;$O$1136),0)+$O$1134-1),"")</f>
        <v>D451</v>
      </c>
      <c r="D1135" s="1089" t="s">
        <v>1448</v>
      </c>
      <c r="E1135" s="1089" t="s">
        <v>1618</v>
      </c>
      <c r="F1135" s="1089"/>
      <c r="G1135" s="1089"/>
      <c r="H1135" s="1089"/>
      <c r="I1135" s="1026" t="str">
        <f t="shared" si="127"/>
        <v/>
      </c>
      <c r="J1135" s="1376"/>
      <c r="K1135" s="1376" t="str">
        <f t="shared" si="128"/>
        <v/>
      </c>
      <c r="L1135" s="1089" t="s">
        <v>1482</v>
      </c>
      <c r="M1135" s="1376">
        <v>1118</v>
      </c>
      <c r="N1135" s="1376"/>
      <c r="O1135" s="1370" t="s">
        <v>743</v>
      </c>
      <c r="R1135" s="1376" t="s">
        <v>1168</v>
      </c>
    </row>
    <row r="1136" spans="1:18" s="1370" customFormat="1" x14ac:dyDescent="0.25">
      <c r="A1136" s="1121" t="s">
        <v>1479</v>
      </c>
      <c r="B1136" s="1089" t="str">
        <f ca="1">_xlfn.CONCAT(IFERROR(SUBSTITUTE(ADDRESS(1,MATCH(A1136,INDIRECT("'"&amp;E1136&amp;"'"&amp;"!A" &amp; $O$1134 + 2 &amp; ":Z" &amp; $O$1134 + 2),0),4),1,""),""),$O$1134+ 2)</f>
        <v>H451</v>
      </c>
      <c r="C1136" s="1089" t="str">
        <f ca="1">_xlfn.CONCAT(IFERROR(SUBSTITUTE(ADDRESS(1,MATCH(A1136,INDIRECT("'"&amp;E1136&amp;"'"&amp;"!A" &amp; $O$1134 + 2 &amp; ":Z" &amp; $O$1134 + 2),0),4),1,""),""),$O$1134+ 3)</f>
        <v>H452</v>
      </c>
      <c r="D1136" s="1089" t="s">
        <v>1448</v>
      </c>
      <c r="E1136" s="1089" t="s">
        <v>1618</v>
      </c>
      <c r="F1136" s="1089"/>
      <c r="G1136" s="1089"/>
      <c r="H1136" s="1089"/>
      <c r="I1136" s="1026" t="str">
        <f t="shared" si="127"/>
        <v/>
      </c>
      <c r="J1136" s="1376"/>
      <c r="K1136" s="1376" t="str">
        <f t="shared" si="128"/>
        <v/>
      </c>
      <c r="L1136" s="1089" t="s">
        <v>1479</v>
      </c>
      <c r="M1136" s="1376">
        <v>1119</v>
      </c>
      <c r="N1136" s="1376"/>
      <c r="O1136" s="1370">
        <f>'Configurable Tab'!I34</f>
        <v>462</v>
      </c>
      <c r="R1136" s="1376" t="s">
        <v>1168</v>
      </c>
    </row>
    <row r="1137" spans="1:18" s="1370" customFormat="1" x14ac:dyDescent="0.25">
      <c r="A1137" s="1121" t="s">
        <v>1480</v>
      </c>
      <c r="B1137" s="1089" t="str">
        <f ca="1">_xlfn.CONCAT(IFERROR(SUBSTITUTE(ADDRESS(1,MATCH(A1137,INDIRECT("'"&amp;E1137&amp;"'"&amp;"!A" &amp; $O$1134 + 2 &amp; ":Z" &amp; $O$1134 + 2),0),4),1,""),""),$O$1134+ 2)</f>
        <v>J451</v>
      </c>
      <c r="C1137" s="1089" t="str">
        <f ca="1">_xlfn.CONCAT(IFERROR(SUBSTITUTE(ADDRESS(1,MATCH(A1137,INDIRECT("'"&amp;E1137&amp;"'"&amp;"!A" &amp; $O$1134 + 2 &amp; ":Z" &amp; $O$1134 + 2),0),4),1,""),""),$O$1134+ 3)</f>
        <v>J452</v>
      </c>
      <c r="D1137" s="1089" t="s">
        <v>1448</v>
      </c>
      <c r="E1137" s="1089" t="s">
        <v>1618</v>
      </c>
      <c r="F1137" s="1089"/>
      <c r="G1137" s="1089"/>
      <c r="H1137" s="1089"/>
      <c r="I1137" s="1026" t="str">
        <f t="shared" si="127"/>
        <v/>
      </c>
      <c r="J1137" s="1376"/>
      <c r="K1137" s="1376" t="str">
        <f t="shared" si="128"/>
        <v/>
      </c>
      <c r="L1137" s="1089" t="s">
        <v>1480</v>
      </c>
      <c r="M1137" s="1376">
        <v>1120</v>
      </c>
      <c r="N1137" s="1376"/>
      <c r="O1137" s="1370" t="s">
        <v>1763</v>
      </c>
      <c r="R1137" s="1376" t="s">
        <v>1168</v>
      </c>
    </row>
    <row r="1138" spans="1:18" s="1370" customFormat="1" x14ac:dyDescent="0.25">
      <c r="A1138" s="1121" t="s">
        <v>1481</v>
      </c>
      <c r="B1138" s="1089" t="str">
        <f ca="1">_xlfn.CONCAT(IFERROR(SUBSTITUTE(ADDRESS(1,MATCH(A1138,INDIRECT("'"&amp;E1138&amp;"'"&amp;"!A" &amp; $O$1134 + 2 &amp; ":Z" &amp; $O$1134 + 2),0),4),1,""),""),$O$1134+ 2)</f>
        <v>N451</v>
      </c>
      <c r="C1138" s="1089" t="str">
        <f ca="1">_xlfn.CONCAT(IFERROR(SUBSTITUTE(ADDRESS(1,MATCH(A1138,INDIRECT("'"&amp;E1138&amp;"'"&amp;"!A" &amp; $O$1134 + 2 &amp; ":Z" &amp; $O$1134 + 2),0),4),1,""),""),$O$1134+ 3)</f>
        <v>N452</v>
      </c>
      <c r="D1138" s="1089" t="s">
        <v>1448</v>
      </c>
      <c r="E1138" s="1089" t="s">
        <v>1618</v>
      </c>
      <c r="F1138" s="1089"/>
      <c r="G1138" s="1089"/>
      <c r="H1138" s="1089"/>
      <c r="I1138" s="1026" t="str">
        <f t="shared" si="127"/>
        <v/>
      </c>
      <c r="J1138" s="1376"/>
      <c r="K1138" s="1376" t="str">
        <f t="shared" si="128"/>
        <v/>
      </c>
      <c r="L1138" s="1089" t="s">
        <v>1481</v>
      </c>
      <c r="M1138" s="1376">
        <v>1121</v>
      </c>
      <c r="N1138" s="1376"/>
      <c r="R1138" s="1376" t="s">
        <v>1168</v>
      </c>
    </row>
    <row r="1139" spans="1:18" s="1370" customFormat="1" x14ac:dyDescent="0.25">
      <c r="A1139" s="1121" t="s">
        <v>1589</v>
      </c>
      <c r="B1139" s="1089" t="str">
        <f ca="1">_xlfn.CONCAT(IFERROR(SUBSTITUTE(ADDRESS(1,MATCH(A1139,INDIRECT("'"&amp;E1139&amp;"'"&amp;"!A" &amp; $O$1134 + 2 &amp; ":Z" &amp; $O$1134 + 2),0),4),1,""),""),$O$1134+ 2)</f>
        <v>R451</v>
      </c>
      <c r="C1139" s="1089" t="str">
        <f ca="1">_xlfn.CONCAT(IFERROR(SUBSTITUTE(ADDRESS(1,MATCH(A1139,INDIRECT("'"&amp;E1139&amp;"'"&amp;"!A" &amp; $O$1134 + 2 &amp; ":Z" &amp; $O$1134 + 2),0),4),1,""),""),$O$1134+ 3)</f>
        <v>R452</v>
      </c>
      <c r="D1139" s="1089" t="s">
        <v>1448</v>
      </c>
      <c r="E1139" s="1089" t="s">
        <v>1618</v>
      </c>
      <c r="F1139" s="1089"/>
      <c r="G1139" s="1089"/>
      <c r="H1139" s="1089"/>
      <c r="I1139" s="1026" t="str">
        <f t="shared" si="127"/>
        <v>Incentive Calendar</v>
      </c>
      <c r="J1139" s="1376" t="str">
        <f t="shared" si="126"/>
        <v>1122</v>
      </c>
      <c r="K1139" s="1376" t="str">
        <f t="shared" si="128"/>
        <v>Incentives Worksheet</v>
      </c>
      <c r="L1139" s="1089" t="s">
        <v>1589</v>
      </c>
      <c r="M1139" s="1376">
        <v>1122</v>
      </c>
      <c r="N1139" s="1376"/>
      <c r="R1139" s="1376" t="s">
        <v>1168</v>
      </c>
    </row>
    <row r="1140" spans="1:18" s="1370" customFormat="1" x14ac:dyDescent="0.25">
      <c r="A1140" s="1121" t="s">
        <v>1590</v>
      </c>
      <c r="B1140" s="1089" t="str">
        <f ca="1">_xlfn.CONCAT(IFERROR(SUBSTITUTE(ADDRESS(1,MATCH(A1140,INDIRECT("'"&amp;E1140&amp;"'"&amp;"!A" &amp; $O$1134 + 2 &amp; ":Z" &amp; $O$1134 + 2),0),4),1,""),""),$O$1134+ 2)</f>
        <v>T451</v>
      </c>
      <c r="C1140" s="1089" t="str">
        <f ca="1">_xlfn.CONCAT(IFERROR(SUBSTITUTE(ADDRESS(1,MATCH(A1140,INDIRECT("'"&amp;E1140&amp;"'"&amp;"!A" &amp; $O$1134 + 2 &amp; ":Z" &amp; $O$1134 + 2),0),4),1,""),""),$O$1134+ 3)</f>
        <v>T452</v>
      </c>
      <c r="D1140" s="1089" t="s">
        <v>1448</v>
      </c>
      <c r="E1140" s="1089" t="s">
        <v>1618</v>
      </c>
      <c r="F1140" s="1089"/>
      <c r="G1140" s="1089"/>
      <c r="H1140" s="1089"/>
      <c r="I1140" s="1026" t="str">
        <f t="shared" si="127"/>
        <v>Post to GL Payment Method Flag</v>
      </c>
      <c r="J1140" s="1376" t="str">
        <f t="shared" si="126"/>
        <v>1123</v>
      </c>
      <c r="K1140" s="1376" t="str">
        <f t="shared" si="128"/>
        <v>Incentives Worksheet</v>
      </c>
      <c r="L1140" s="1089" t="s">
        <v>1590</v>
      </c>
      <c r="M1140" s="1376">
        <v>1123</v>
      </c>
      <c r="N1140" s="1376"/>
      <c r="R1140" s="1376" t="s">
        <v>1168</v>
      </c>
    </row>
    <row r="1141" spans="1:18" s="1370" customFormat="1" x14ac:dyDescent="0.25">
      <c r="A1141" s="1121" t="s">
        <v>1484</v>
      </c>
      <c r="B1141" s="1089" t="str">
        <f ca="1">IFERROR(_xlfn.CONCAT("C",MATCH(A1141,INDIRECT("'"&amp;E1141&amp;"'!C"&amp;$O$1134&amp;":C"&amp;$O$1136),0)+$O$1134-1),"")</f>
        <v>C455</v>
      </c>
      <c r="C1141" s="1089" t="str">
        <f ca="1">IFERROR(_xlfn.CONCAT("D",MATCH(A1141,INDIRECT("'"&amp;E1141&amp;"'!C"&amp;$O$1134&amp;":C"&amp;$O$1136),0)+$O$1134-1),"")</f>
        <v>D455</v>
      </c>
      <c r="D1141" s="1089" t="s">
        <v>1448</v>
      </c>
      <c r="E1141" s="1089" t="s">
        <v>1618</v>
      </c>
      <c r="F1141" s="1089"/>
      <c r="G1141" s="1089"/>
      <c r="H1141" s="1089"/>
      <c r="I1141" s="1026" t="str">
        <f t="shared" si="127"/>
        <v/>
      </c>
      <c r="J1141" s="1376"/>
      <c r="K1141" s="1376" t="str">
        <f t="shared" si="128"/>
        <v/>
      </c>
      <c r="L1141" s="1089" t="s">
        <v>1484</v>
      </c>
      <c r="M1141" s="1376">
        <v>1124</v>
      </c>
      <c r="N1141" s="1376"/>
      <c r="R1141" s="1376" t="s">
        <v>1168</v>
      </c>
    </row>
    <row r="1142" spans="1:18" s="1370" customFormat="1" x14ac:dyDescent="0.25">
      <c r="A1142" s="1121" t="s">
        <v>1485</v>
      </c>
      <c r="B1142" s="1089" t="str">
        <f ca="1">IFERROR(_xlfn.CONCAT("C",MATCH(A1142,INDIRECT("'"&amp;E1142&amp;"'!C"&amp;$O$1134&amp;":C"&amp;$O$1136),0)+$O$1134-1),"")</f>
        <v>C457</v>
      </c>
      <c r="C1142" s="1089" t="str">
        <f ca="1">IFERROR(_xlfn.CONCAT("D",MATCH(A1142,INDIRECT("'"&amp;E1142&amp;"'!C"&amp;$O$1134&amp;":C"&amp;$O$1136),0)+$O$1134-1),"")</f>
        <v>D457</v>
      </c>
      <c r="D1142" s="1089" t="s">
        <v>1448</v>
      </c>
      <c r="E1142" s="1089" t="s">
        <v>1618</v>
      </c>
      <c r="F1142" s="1089"/>
      <c r="G1142" s="1089"/>
      <c r="H1142" s="1089"/>
      <c r="I1142" s="1026" t="str">
        <f t="shared" si="127"/>
        <v/>
      </c>
      <c r="J1142" s="1376"/>
      <c r="K1142" s="1376" t="str">
        <f t="shared" si="128"/>
        <v/>
      </c>
      <c r="L1142" s="1089" t="s">
        <v>1485</v>
      </c>
      <c r="M1142" s="1376">
        <v>1125</v>
      </c>
      <c r="N1142" s="1376"/>
      <c r="R1142" s="1376" t="s">
        <v>1168</v>
      </c>
    </row>
    <row r="1143" spans="1:18" s="1370" customFormat="1" ht="30" x14ac:dyDescent="0.25">
      <c r="A1143" s="1121" t="s">
        <v>1597</v>
      </c>
      <c r="B1143" s="1089" t="str">
        <f ca="1">IFERROR(_xlfn.CONCAT("C",MATCH(A1143,INDIRECT("'"&amp;E1143&amp;"'!C"&amp;$O$1134&amp;":C"&amp;$O$1136),0)+$O$1134-1),"")</f>
        <v>C459</v>
      </c>
      <c r="C1143" s="1089" t="str">
        <f ca="1">IFERROR(_xlfn.CONCAT("D",MATCH(A1143,INDIRECT("'"&amp;E1143&amp;"'!C"&amp;$O$1134&amp;":C"&amp;$O$1136),0)+$O$1134-1),"")</f>
        <v>D459</v>
      </c>
      <c r="D1143" s="1089" t="s">
        <v>1448</v>
      </c>
      <c r="E1143" s="1089" t="s">
        <v>1618</v>
      </c>
      <c r="F1143" s="1089"/>
      <c r="G1143" s="1089"/>
      <c r="H1143" s="1089"/>
      <c r="I1143" s="1026" t="str">
        <f t="shared" si="127"/>
        <v>Incentive Dates Match Agreement Dates Flag</v>
      </c>
      <c r="J1143" s="1376" t="str">
        <f t="shared" si="126"/>
        <v>1126</v>
      </c>
      <c r="K1143" s="1376" t="str">
        <f t="shared" si="128"/>
        <v>Incentives Worksheet</v>
      </c>
      <c r="L1143" s="1089" t="s">
        <v>1597</v>
      </c>
      <c r="M1143" s="1376">
        <v>1126</v>
      </c>
      <c r="N1143" s="1376"/>
      <c r="R1143" s="1376" t="s">
        <v>1168</v>
      </c>
    </row>
    <row r="1144" spans="1:18" s="1370" customFormat="1" x14ac:dyDescent="0.25">
      <c r="A1144" s="1121" t="s">
        <v>1594</v>
      </c>
      <c r="B1144" s="1089" t="str">
        <f ca="1">_xlfn.CONCAT(IFERROR(SUBSTITUTE(ADDRESS(1,MATCH(A1144,INDIRECT("'"&amp;E1144&amp;"'"&amp;"!A" &amp; $O$1134 + 8 &amp; ":Z" &amp; $O$1134 + 8),0),4),1,""),""),$O$1134+ 8)</f>
        <v>H457</v>
      </c>
      <c r="C1144" s="1089" t="str">
        <f ca="1">_xlfn.CONCAT(IFERROR(SUBSTITUTE(ADDRESS(1,MATCH(A1144,INDIRECT("'"&amp;E1144&amp;"'"&amp;"!A" &amp; $O$1134 + 8 &amp; ":Z" &amp; $O$1134 + 8),0),4),1,""),""),$O$1134+ 9)</f>
        <v>H458</v>
      </c>
      <c r="D1144" s="1089" t="s">
        <v>1448</v>
      </c>
      <c r="E1144" s="1089" t="s">
        <v>1618</v>
      </c>
      <c r="F1144" s="1089"/>
      <c r="G1144" s="1089"/>
      <c r="H1144" s="1089"/>
      <c r="I1144" s="1026" t="str">
        <f t="shared" si="127"/>
        <v>Include All Customers Flag</v>
      </c>
      <c r="J1144" s="1376" t="str">
        <f t="shared" si="126"/>
        <v>1127</v>
      </c>
      <c r="K1144" s="1376" t="str">
        <f t="shared" si="128"/>
        <v>Incentives Worksheet</v>
      </c>
      <c r="L1144" s="1089" t="s">
        <v>1594</v>
      </c>
      <c r="M1144" s="1376">
        <v>1127</v>
      </c>
      <c r="N1144" s="1376"/>
      <c r="R1144" s="1376" t="s">
        <v>1168</v>
      </c>
    </row>
    <row r="1145" spans="1:18" s="1370" customFormat="1" x14ac:dyDescent="0.25">
      <c r="A1145" s="1121" t="s">
        <v>1488</v>
      </c>
      <c r="B1145" s="1089" t="str">
        <f ca="1">_xlfn.CONCAT(IFERROR(SUBSTITUTE(ADDRESS(1,MATCH(A1145,INDIRECT("'"&amp;E1145&amp;"'"&amp;"!A" &amp; $O$1134 + 11 &amp; ":Z" &amp; $O$1134 + 11),0),4),1,""),""),$O$1134+ 11)</f>
        <v>H460</v>
      </c>
      <c r="C1145" s="1089" t="str">
        <f ca="1">_xlfn.CONCAT(IFERROR(SUBSTITUTE(ADDRESS(1,MATCH(A1145,INDIRECT("'"&amp;E1145&amp;"'"&amp;"!A" &amp; $O$1134 + 11 &amp; ":Z" &amp; $O$1134 + 11),0),4),1,""),""),$O$1134+ 12)</f>
        <v>H461</v>
      </c>
      <c r="D1145" s="1089" t="s">
        <v>1448</v>
      </c>
      <c r="E1145" s="1089" t="s">
        <v>1618</v>
      </c>
      <c r="F1145" s="1089"/>
      <c r="G1145" s="1089"/>
      <c r="H1145" s="1089"/>
      <c r="I1145" s="1026" t="str">
        <f t="shared" si="127"/>
        <v/>
      </c>
      <c r="J1145" s="1376"/>
      <c r="K1145" s="1376" t="str">
        <f t="shared" si="128"/>
        <v/>
      </c>
      <c r="L1145" s="1089" t="s">
        <v>1488</v>
      </c>
      <c r="M1145" s="1376">
        <v>1128</v>
      </c>
      <c r="N1145" s="1376"/>
      <c r="R1145" s="1376" t="s">
        <v>1168</v>
      </c>
    </row>
    <row r="1146" spans="1:18" s="1370" customFormat="1" x14ac:dyDescent="0.25">
      <c r="A1146" s="1121" t="s">
        <v>1495</v>
      </c>
      <c r="B1146" s="1089" t="str">
        <f ca="1">_xlfn.CONCAT(IFERROR(SUBSTITUTE(ADDRESS(1,MATCH(A1146,INDIRECT("'"&amp;E1146&amp;"'"&amp;"!A" &amp; $O$1134 + 5 &amp; ":Z" &amp; $O$1134 + 5),0),4),1,""),""),$O$1134+ 5)</f>
        <v>H454</v>
      </c>
      <c r="C1146" s="1089" t="str">
        <f ca="1">_xlfn.CONCAT(IFERROR(SUBSTITUTE(ADDRESS(1,MATCH(A1146,INDIRECT("'"&amp;E1146&amp;"'"&amp;"!A" &amp; $O$1134 + 5 &amp; ":Z" &amp; $O$1134 + 5),0),4),1,""),""),$O$1134+ 6)</f>
        <v>H455</v>
      </c>
      <c r="D1146" s="1089" t="s">
        <v>1448</v>
      </c>
      <c r="E1146" s="1089" t="s">
        <v>1618</v>
      </c>
      <c r="F1146" s="1089"/>
      <c r="G1146" s="1089"/>
      <c r="H1146" s="1089"/>
      <c r="I1146" s="1026" t="str">
        <f t="shared" si="127"/>
        <v/>
      </c>
      <c r="J1146" s="1376"/>
      <c r="K1146" s="1376" t="str">
        <f t="shared" si="128"/>
        <v/>
      </c>
      <c r="L1146" s="1089" t="s">
        <v>1495</v>
      </c>
      <c r="M1146" s="1376">
        <v>1129</v>
      </c>
      <c r="N1146" s="1376"/>
      <c r="R1146" s="1376" t="s">
        <v>1168</v>
      </c>
    </row>
    <row r="1147" spans="1:18" s="1370" customFormat="1" x14ac:dyDescent="0.25">
      <c r="A1147" s="1121" t="s">
        <v>1583</v>
      </c>
      <c r="B1147" s="1089" t="str">
        <f ca="1">_xlfn.CONCAT(IFERROR(SUBSTITUTE(ADDRESS(1,MATCH(A1147,INDIRECT("'"&amp;E1147&amp;"'"&amp;"!A" &amp; $O$1134 + 5 &amp; ":Z" &amp; $O$1134 + 5),0),4),1,""),""),$O$1134+ 6)</f>
        <v>J455</v>
      </c>
      <c r="C1147" s="1089" t="str">
        <f t="shared" ref="C1147:C1161" ca="1" si="130">IFERROR(SUBSTITUTE(ADDRESS(1,MATCH(A1147,INDIRECT("'"&amp;E1147&amp;"'"&amp;"!A" &amp; $O$1134 + 5 &amp; ":Z" &amp; $O$1134 + 5),0),4),1,""),"")</f>
        <v>J</v>
      </c>
      <c r="D1147" s="1089" t="s">
        <v>1455</v>
      </c>
      <c r="E1147" s="1089" t="s">
        <v>1618</v>
      </c>
      <c r="F1147" s="1089"/>
      <c r="G1147" s="1089"/>
      <c r="H1147" s="1089"/>
      <c r="I1147" s="1026" t="str">
        <f t="shared" si="127"/>
        <v/>
      </c>
      <c r="J1147" s="1376"/>
      <c r="K1147" s="1376" t="str">
        <f t="shared" si="128"/>
        <v/>
      </c>
      <c r="L1147" s="1089" t="s">
        <v>1583</v>
      </c>
      <c r="M1147" s="1376">
        <v>1130</v>
      </c>
      <c r="N1147" s="1376"/>
      <c r="R1147" s="1376" t="s">
        <v>1168</v>
      </c>
    </row>
    <row r="1148" spans="1:18" s="1370" customFormat="1" x14ac:dyDescent="0.25">
      <c r="A1148" s="1121" t="s">
        <v>751</v>
      </c>
      <c r="B1148" s="1089" t="str">
        <f ca="1">_xlfn.CONCAT(IFERROR(SUBSTITUTE(ADDRESS(1,MATCH(A1148,INDIRECT("'"&amp;E1148&amp;"'"&amp;"!A" &amp; $O$1134 + 5 &amp; ":Z" &amp; $O$1134 + 5),0),4),1,""),""),$O$1134+ 6)</f>
        <v>L455</v>
      </c>
      <c r="C1148" s="1089" t="str">
        <f t="shared" ca="1" si="130"/>
        <v>L</v>
      </c>
      <c r="D1148" s="1089" t="s">
        <v>1455</v>
      </c>
      <c r="E1148" s="1089" t="s">
        <v>1618</v>
      </c>
      <c r="F1148" s="1089"/>
      <c r="G1148" s="1089"/>
      <c r="H1148" s="1089"/>
      <c r="I1148" s="1026" t="str">
        <f t="shared" si="127"/>
        <v/>
      </c>
      <c r="J1148" s="1376"/>
      <c r="K1148" s="1376" t="str">
        <f t="shared" si="128"/>
        <v/>
      </c>
      <c r="L1148" s="1089" t="s">
        <v>751</v>
      </c>
      <c r="M1148" s="1376">
        <v>1131</v>
      </c>
      <c r="N1148" s="1376"/>
      <c r="R1148" s="1376" t="s">
        <v>1168</v>
      </c>
    </row>
    <row r="1149" spans="1:18" s="1370" customFormat="1" x14ac:dyDescent="0.25">
      <c r="A1149" s="1121" t="s">
        <v>1584</v>
      </c>
      <c r="B1149" s="1089" t="str">
        <f ca="1">_xlfn.CONCAT(IFERROR(SUBSTITUTE(ADDRESS(1,MATCH(A1149,INDIRECT("'"&amp;E1149&amp;"'"&amp;"!A" &amp; $O$1134 + 5 &amp; ":Z" &amp; $O$1134 + 5),0),4),1,""),""),$O$1134+ 6)</f>
        <v>N455</v>
      </c>
      <c r="C1149" s="1089" t="str">
        <f t="shared" ca="1" si="130"/>
        <v>N</v>
      </c>
      <c r="D1149" s="1089" t="s">
        <v>1455</v>
      </c>
      <c r="E1149" s="1089" t="s">
        <v>1618</v>
      </c>
      <c r="F1149" s="1089"/>
      <c r="G1149" s="1089"/>
      <c r="H1149" s="1089"/>
      <c r="I1149" s="1026" t="str">
        <f t="shared" si="127"/>
        <v/>
      </c>
      <c r="J1149" s="1376"/>
      <c r="K1149" s="1376" t="str">
        <f t="shared" si="128"/>
        <v/>
      </c>
      <c r="L1149" s="1089" t="s">
        <v>1584</v>
      </c>
      <c r="M1149" s="1376">
        <v>1132</v>
      </c>
      <c r="N1149" s="1376"/>
      <c r="R1149" s="1376" t="s">
        <v>1168</v>
      </c>
    </row>
    <row r="1150" spans="1:18" s="1370" customFormat="1" x14ac:dyDescent="0.25">
      <c r="A1150" s="1121" t="s">
        <v>1583</v>
      </c>
      <c r="B1150" s="1089" t="str">
        <f ca="1">_xlfn.CONCAT(IFERROR(SUBSTITUTE(ADDRESS(1,MATCH(A1150,INDIRECT("'"&amp;E1150&amp;"'"&amp;"!A" &amp; $O$1134 + 5 &amp; ":Z" &amp; $O$1134 + 5),0),4),1,""),""),$O$1134+ 7)</f>
        <v>J456</v>
      </c>
      <c r="C1150" s="1089" t="str">
        <f t="shared" ca="1" si="130"/>
        <v>J</v>
      </c>
      <c r="D1150" s="1089" t="s">
        <v>1455</v>
      </c>
      <c r="E1150" s="1089" t="s">
        <v>1618</v>
      </c>
      <c r="F1150" s="1089"/>
      <c r="G1150" s="1089"/>
      <c r="H1150" s="1089"/>
      <c r="I1150" s="1026" t="str">
        <f t="shared" si="127"/>
        <v/>
      </c>
      <c r="J1150" s="1376"/>
      <c r="K1150" s="1376" t="str">
        <f t="shared" si="128"/>
        <v/>
      </c>
      <c r="L1150" s="1089" t="s">
        <v>1583</v>
      </c>
      <c r="M1150" s="1376">
        <v>1133</v>
      </c>
      <c r="N1150" s="1376"/>
      <c r="R1150" s="1376" t="s">
        <v>1168</v>
      </c>
    </row>
    <row r="1151" spans="1:18" s="1370" customFormat="1" x14ac:dyDescent="0.25">
      <c r="A1151" s="1121" t="s">
        <v>751</v>
      </c>
      <c r="B1151" s="1089" t="str">
        <f ca="1">_xlfn.CONCAT(IFERROR(SUBSTITUTE(ADDRESS(1,MATCH(A1151,INDIRECT("'"&amp;E1151&amp;"'"&amp;"!A" &amp; $O$1134 + 5 &amp; ":Z" &amp; $O$1134 + 5),0),4),1,""),""),$O$1134+ 7)</f>
        <v>L456</v>
      </c>
      <c r="C1151" s="1089" t="str">
        <f t="shared" ca="1" si="130"/>
        <v>L</v>
      </c>
      <c r="D1151" s="1089" t="s">
        <v>1455</v>
      </c>
      <c r="E1151" s="1089" t="s">
        <v>1618</v>
      </c>
      <c r="F1151" s="1089"/>
      <c r="G1151" s="1089"/>
      <c r="H1151" s="1089"/>
      <c r="I1151" s="1026" t="str">
        <f t="shared" si="127"/>
        <v/>
      </c>
      <c r="J1151" s="1376"/>
      <c r="K1151" s="1376" t="str">
        <f t="shared" si="128"/>
        <v/>
      </c>
      <c r="L1151" s="1089" t="s">
        <v>751</v>
      </c>
      <c r="M1151" s="1376">
        <v>1134</v>
      </c>
      <c r="N1151" s="1376"/>
      <c r="R1151" s="1376" t="s">
        <v>1168</v>
      </c>
    </row>
    <row r="1152" spans="1:18" s="1370" customFormat="1" x14ac:dyDescent="0.25">
      <c r="A1152" s="1121" t="s">
        <v>1584</v>
      </c>
      <c r="B1152" s="1089" t="str">
        <f ca="1">_xlfn.CONCAT(IFERROR(SUBSTITUTE(ADDRESS(1,MATCH(A1152,INDIRECT("'"&amp;E1152&amp;"'"&amp;"!A" &amp; $O$1134 + 5 &amp; ":Z" &amp; $O$1134 + 5),0),4),1,""),""),$O$1134+ 7)</f>
        <v>N456</v>
      </c>
      <c r="C1152" s="1089" t="str">
        <f t="shared" ca="1" si="130"/>
        <v>N</v>
      </c>
      <c r="D1152" s="1089" t="s">
        <v>1455</v>
      </c>
      <c r="E1152" s="1089" t="s">
        <v>1618</v>
      </c>
      <c r="F1152" s="1089"/>
      <c r="G1152" s="1089"/>
      <c r="H1152" s="1089"/>
      <c r="I1152" s="1026" t="str">
        <f t="shared" si="127"/>
        <v/>
      </c>
      <c r="J1152" s="1376"/>
      <c r="K1152" s="1376" t="str">
        <f t="shared" si="128"/>
        <v/>
      </c>
      <c r="L1152" s="1089" t="s">
        <v>1584</v>
      </c>
      <c r="M1152" s="1376">
        <v>1135</v>
      </c>
      <c r="N1152" s="1376"/>
      <c r="R1152" s="1376" t="s">
        <v>1168</v>
      </c>
    </row>
    <row r="1153" spans="1:18" s="1370" customFormat="1" x14ac:dyDescent="0.25">
      <c r="A1153" s="1121" t="s">
        <v>1583</v>
      </c>
      <c r="B1153" s="1089" t="str">
        <f ca="1">_xlfn.CONCAT(IFERROR(SUBSTITUTE(ADDRESS(1,MATCH(A1153,INDIRECT("'"&amp;E1153&amp;"'"&amp;"!A" &amp; $O$1134 + 5 &amp; ":Z" &amp; $O$1134 + 5),0),4),1,""),""),$O$1134+ 8)</f>
        <v>J457</v>
      </c>
      <c r="C1153" s="1089" t="str">
        <f t="shared" ca="1" si="130"/>
        <v>J</v>
      </c>
      <c r="D1153" s="1089" t="s">
        <v>1455</v>
      </c>
      <c r="E1153" s="1089" t="s">
        <v>1618</v>
      </c>
      <c r="F1153" s="1089"/>
      <c r="G1153" s="1089"/>
      <c r="H1153" s="1089"/>
      <c r="I1153" s="1026" t="str">
        <f t="shared" si="127"/>
        <v/>
      </c>
      <c r="J1153" s="1376"/>
      <c r="K1153" s="1376" t="str">
        <f t="shared" si="128"/>
        <v/>
      </c>
      <c r="L1153" s="1089" t="s">
        <v>1583</v>
      </c>
      <c r="M1153" s="1376">
        <v>1136</v>
      </c>
      <c r="N1153" s="1376"/>
      <c r="R1153" s="1376" t="s">
        <v>1168</v>
      </c>
    </row>
    <row r="1154" spans="1:18" s="1370" customFormat="1" x14ac:dyDescent="0.25">
      <c r="A1154" s="1121" t="s">
        <v>751</v>
      </c>
      <c r="B1154" s="1089" t="str">
        <f ca="1">_xlfn.CONCAT(IFERROR(SUBSTITUTE(ADDRESS(1,MATCH(A1154,INDIRECT("'"&amp;E1154&amp;"'"&amp;"!A" &amp; $O$1134 + 5 &amp; ":Z" &amp; $O$1134 + 5),0),4),1,""),""),$O$1134+ 8)</f>
        <v>L457</v>
      </c>
      <c r="C1154" s="1089" t="str">
        <f t="shared" ca="1" si="130"/>
        <v>L</v>
      </c>
      <c r="D1154" s="1089" t="s">
        <v>1455</v>
      </c>
      <c r="E1154" s="1089" t="s">
        <v>1618</v>
      </c>
      <c r="F1154" s="1089"/>
      <c r="G1154" s="1089"/>
      <c r="H1154" s="1089"/>
      <c r="I1154" s="1026" t="str">
        <f t="shared" si="127"/>
        <v/>
      </c>
      <c r="J1154" s="1376"/>
      <c r="K1154" s="1376" t="str">
        <f t="shared" si="128"/>
        <v/>
      </c>
      <c r="L1154" s="1089" t="s">
        <v>751</v>
      </c>
      <c r="M1154" s="1376">
        <v>1137</v>
      </c>
      <c r="N1154" s="1376"/>
      <c r="R1154" s="1376" t="s">
        <v>1168</v>
      </c>
    </row>
    <row r="1155" spans="1:18" s="1370" customFormat="1" x14ac:dyDescent="0.25">
      <c r="A1155" s="1121" t="s">
        <v>1584</v>
      </c>
      <c r="B1155" s="1089" t="str">
        <f ca="1">_xlfn.CONCAT(IFERROR(SUBSTITUTE(ADDRESS(1,MATCH(A1155,INDIRECT("'"&amp;E1155&amp;"'"&amp;"!A" &amp; $O$1134 + 5 &amp; ":Z" &amp; $O$1134 + 5),0),4),1,""),""),$O$1134+ 8)</f>
        <v>N457</v>
      </c>
      <c r="C1155" s="1089" t="str">
        <f t="shared" ca="1" si="130"/>
        <v>N</v>
      </c>
      <c r="D1155" s="1089" t="s">
        <v>1455</v>
      </c>
      <c r="E1155" s="1089" t="s">
        <v>1618</v>
      </c>
      <c r="F1155" s="1089"/>
      <c r="G1155" s="1089"/>
      <c r="H1155" s="1089"/>
      <c r="I1155" s="1026" t="str">
        <f t="shared" si="127"/>
        <v/>
      </c>
      <c r="J1155" s="1376"/>
      <c r="K1155" s="1376" t="str">
        <f t="shared" si="128"/>
        <v/>
      </c>
      <c r="L1155" s="1089" t="s">
        <v>1584</v>
      </c>
      <c r="M1155" s="1376">
        <v>1138</v>
      </c>
      <c r="N1155" s="1376"/>
      <c r="R1155" s="1376" t="s">
        <v>1168</v>
      </c>
    </row>
    <row r="1156" spans="1:18" s="1370" customFormat="1" x14ac:dyDescent="0.25">
      <c r="A1156" s="1121" t="s">
        <v>1583</v>
      </c>
      <c r="B1156" s="1089" t="str">
        <f ca="1">_xlfn.CONCAT(IFERROR(SUBSTITUTE(ADDRESS(1,MATCH(A1156,INDIRECT("'"&amp;E1156&amp;"'"&amp;"!A" &amp; $O$1134 + 5 &amp; ":Z" &amp; $O$1134 + 5),0),4),1,""),""),$O$1134+ 9)</f>
        <v>J458</v>
      </c>
      <c r="C1156" s="1089" t="str">
        <f t="shared" ca="1" si="130"/>
        <v>J</v>
      </c>
      <c r="D1156" s="1089" t="s">
        <v>1455</v>
      </c>
      <c r="E1156" s="1089" t="s">
        <v>1618</v>
      </c>
      <c r="F1156" s="1089"/>
      <c r="G1156" s="1089"/>
      <c r="H1156" s="1089"/>
      <c r="I1156" s="1026" t="str">
        <f t="shared" ref="I1156:I1219" si="131">IF(J1156&lt;&gt;"",A1156,"")</f>
        <v/>
      </c>
      <c r="J1156" s="1376"/>
      <c r="K1156" s="1376" t="str">
        <f t="shared" ref="K1156:K1219" si="132">IF(J1156&lt;&gt;"",E1156,"")</f>
        <v/>
      </c>
      <c r="L1156" s="1089" t="s">
        <v>1583</v>
      </c>
      <c r="M1156" s="1376">
        <v>1139</v>
      </c>
      <c r="N1156" s="1376"/>
      <c r="R1156" s="1376" t="s">
        <v>1168</v>
      </c>
    </row>
    <row r="1157" spans="1:18" s="1370" customFormat="1" x14ac:dyDescent="0.25">
      <c r="A1157" s="1121" t="s">
        <v>751</v>
      </c>
      <c r="B1157" s="1089" t="str">
        <f ca="1">_xlfn.CONCAT(IFERROR(SUBSTITUTE(ADDRESS(1,MATCH(A1157,INDIRECT("'"&amp;E1157&amp;"'"&amp;"!A" &amp; $O$1134 + 5 &amp; ":Z" &amp; $O$1134 + 5),0),4),1,""),""),$O$1134+ 9)</f>
        <v>L458</v>
      </c>
      <c r="C1157" s="1089" t="str">
        <f t="shared" ca="1" si="130"/>
        <v>L</v>
      </c>
      <c r="D1157" s="1089" t="s">
        <v>1455</v>
      </c>
      <c r="E1157" s="1089" t="s">
        <v>1618</v>
      </c>
      <c r="F1157" s="1089"/>
      <c r="G1157" s="1089"/>
      <c r="H1157" s="1089"/>
      <c r="I1157" s="1026" t="str">
        <f t="shared" si="131"/>
        <v/>
      </c>
      <c r="J1157" s="1376"/>
      <c r="K1157" s="1376" t="str">
        <f t="shared" si="132"/>
        <v/>
      </c>
      <c r="L1157" s="1089" t="s">
        <v>751</v>
      </c>
      <c r="M1157" s="1376">
        <v>1140</v>
      </c>
      <c r="N1157" s="1376"/>
      <c r="R1157" s="1376" t="s">
        <v>1168</v>
      </c>
    </row>
    <row r="1158" spans="1:18" s="1370" customFormat="1" x14ac:dyDescent="0.25">
      <c r="A1158" s="1121" t="s">
        <v>1584</v>
      </c>
      <c r="B1158" s="1089" t="str">
        <f ca="1">_xlfn.CONCAT(IFERROR(SUBSTITUTE(ADDRESS(1,MATCH(A1158,INDIRECT("'"&amp;E1158&amp;"'"&amp;"!A" &amp; $O$1134 + 5 &amp; ":Z" &amp; $O$1134 + 5),0),4),1,""),""),$O$1134+ 9)</f>
        <v>N458</v>
      </c>
      <c r="C1158" s="1089" t="str">
        <f t="shared" ca="1" si="130"/>
        <v>N</v>
      </c>
      <c r="D1158" s="1089" t="s">
        <v>1455</v>
      </c>
      <c r="E1158" s="1089" t="s">
        <v>1618</v>
      </c>
      <c r="F1158" s="1089"/>
      <c r="G1158" s="1089"/>
      <c r="H1158" s="1089"/>
      <c r="I1158" s="1026" t="str">
        <f t="shared" si="131"/>
        <v/>
      </c>
      <c r="J1158" s="1376"/>
      <c r="K1158" s="1376" t="str">
        <f t="shared" si="132"/>
        <v/>
      </c>
      <c r="L1158" s="1089" t="s">
        <v>1584</v>
      </c>
      <c r="M1158" s="1376">
        <v>1141</v>
      </c>
      <c r="N1158" s="1376"/>
      <c r="R1158" s="1376" t="s">
        <v>1168</v>
      </c>
    </row>
    <row r="1159" spans="1:18" s="1370" customFormat="1" x14ac:dyDescent="0.25">
      <c r="A1159" s="1121" t="s">
        <v>1583</v>
      </c>
      <c r="B1159" s="1089" t="str">
        <f ca="1">_xlfn.CONCAT(IFERROR(SUBSTITUTE(ADDRESS(1,MATCH(A1159,INDIRECT("'"&amp;E1159&amp;"'"&amp;"!A" &amp; $O$1134 + 5 &amp; ":Z" &amp; $O$1134 + 5),0),4),1,""),""),$O$1134+ 10)</f>
        <v>J459</v>
      </c>
      <c r="C1159" s="1089" t="str">
        <f t="shared" ca="1" si="130"/>
        <v>J</v>
      </c>
      <c r="D1159" s="1089" t="s">
        <v>1455</v>
      </c>
      <c r="E1159" s="1089" t="s">
        <v>1618</v>
      </c>
      <c r="F1159" s="1089"/>
      <c r="G1159" s="1089"/>
      <c r="H1159" s="1089"/>
      <c r="I1159" s="1026" t="str">
        <f t="shared" si="131"/>
        <v/>
      </c>
      <c r="J1159" s="1376"/>
      <c r="K1159" s="1376" t="str">
        <f t="shared" si="132"/>
        <v/>
      </c>
      <c r="L1159" s="1089" t="s">
        <v>1583</v>
      </c>
      <c r="M1159" s="1376">
        <v>1142</v>
      </c>
      <c r="N1159" s="1376"/>
      <c r="R1159" s="1376" t="s">
        <v>1168</v>
      </c>
    </row>
    <row r="1160" spans="1:18" s="1370" customFormat="1" x14ac:dyDescent="0.25">
      <c r="A1160" s="1121" t="s">
        <v>751</v>
      </c>
      <c r="B1160" s="1089" t="str">
        <f ca="1">_xlfn.CONCAT(IFERROR(SUBSTITUTE(ADDRESS(1,MATCH(A1160,INDIRECT("'"&amp;E1160&amp;"'"&amp;"!A" &amp; $O$1134 + 5 &amp; ":Z" &amp; $O$1134 + 5),0),4),1,""),""),$O$1134+ 10)</f>
        <v>L459</v>
      </c>
      <c r="C1160" s="1089" t="str">
        <f t="shared" ca="1" si="130"/>
        <v>L</v>
      </c>
      <c r="D1160" s="1089" t="s">
        <v>1455</v>
      </c>
      <c r="E1160" s="1089" t="s">
        <v>1618</v>
      </c>
      <c r="F1160" s="1089"/>
      <c r="G1160" s="1089"/>
      <c r="H1160" s="1089"/>
      <c r="I1160" s="1026" t="str">
        <f t="shared" si="131"/>
        <v/>
      </c>
      <c r="J1160" s="1376"/>
      <c r="K1160" s="1376" t="str">
        <f t="shared" si="132"/>
        <v/>
      </c>
      <c r="L1160" s="1089" t="s">
        <v>751</v>
      </c>
      <c r="M1160" s="1376">
        <v>1143</v>
      </c>
      <c r="N1160" s="1376"/>
      <c r="R1160" s="1376" t="s">
        <v>1168</v>
      </c>
    </row>
    <row r="1161" spans="1:18" s="1370" customFormat="1" x14ac:dyDescent="0.25">
      <c r="A1161" s="1121" t="s">
        <v>1584</v>
      </c>
      <c r="B1161" s="1089" t="str">
        <f ca="1">_xlfn.CONCAT(IFERROR(SUBSTITUTE(ADDRESS(1,MATCH(A1161,INDIRECT("'"&amp;E1161&amp;"'"&amp;"!A" &amp; $O$1134 + 5 &amp; ":Z" &amp; $O$1134 + 5),0),4),1,""),""),$O$1134+ 10)</f>
        <v>N459</v>
      </c>
      <c r="C1161" s="1089" t="str">
        <f t="shared" ca="1" si="130"/>
        <v>N</v>
      </c>
      <c r="D1161" s="1089" t="s">
        <v>1455</v>
      </c>
      <c r="E1161" s="1089" t="s">
        <v>1618</v>
      </c>
      <c r="F1161" s="1089"/>
      <c r="G1161" s="1089"/>
      <c r="H1161" s="1089"/>
      <c r="I1161" s="1026" t="str">
        <f t="shared" si="131"/>
        <v/>
      </c>
      <c r="J1161" s="1376"/>
      <c r="K1161" s="1376" t="str">
        <f t="shared" si="132"/>
        <v/>
      </c>
      <c r="L1161" s="1089" t="s">
        <v>1584</v>
      </c>
      <c r="M1161" s="1376">
        <v>1144</v>
      </c>
      <c r="N1161" s="1376"/>
      <c r="R1161" s="1376" t="s">
        <v>1168</v>
      </c>
    </row>
    <row r="1162" spans="1:18" s="1370" customFormat="1" x14ac:dyDescent="0.25">
      <c r="A1162" s="1118" t="s">
        <v>1593</v>
      </c>
      <c r="B1162" s="1089" t="str">
        <f ca="1">IFERROR(_xlfn.CONCAT("C",MATCH(A1162,INDIRECT("'"&amp;E1162&amp;"'!C"&amp;$O$1163&amp;":C"&amp;$O$1165),0)+$O$1163-1),"")</f>
        <v>C467</v>
      </c>
      <c r="C1162" s="1089" t="str">
        <f ca="1">IFERROR(_xlfn.CONCAT("D",MATCH(A1162,INDIRECT("'"&amp;E1162&amp;"'!C"&amp;$O$1163&amp;":C"&amp;$O$1165),0)+$O$1163-1),"")</f>
        <v>D467</v>
      </c>
      <c r="D1162" s="1089" t="s">
        <v>1448</v>
      </c>
      <c r="E1162" s="1089" t="s">
        <v>1618</v>
      </c>
      <c r="F1162" s="1089"/>
      <c r="G1162" s="1089"/>
      <c r="H1162" s="1089"/>
      <c r="I1162" s="1026" t="str">
        <f t="shared" si="131"/>
        <v/>
      </c>
      <c r="J1162" s="1376"/>
      <c r="K1162" s="1376" t="str">
        <f t="shared" si="132"/>
        <v/>
      </c>
      <c r="L1162" s="1089" t="s">
        <v>1593</v>
      </c>
      <c r="M1162" s="1376">
        <v>1145</v>
      </c>
      <c r="N1162" s="1376"/>
      <c r="O1162" s="1370" t="s">
        <v>742</v>
      </c>
      <c r="R1162" s="1376" t="s">
        <v>1168</v>
      </c>
    </row>
    <row r="1163" spans="1:18" s="1370" customFormat="1" x14ac:dyDescent="0.25">
      <c r="A1163" s="1118" t="s">
        <v>1809</v>
      </c>
      <c r="B1163" s="1089" t="str">
        <f ca="1">_xlfn.CONCAT(IFERROR(SUBSTITUTE(ADDRESS(1,MATCH(A1163,INDIRECT("'"&amp;E1163&amp;"'"&amp;"!A" &amp; $O$1163 + 11 &amp; ":Z" &amp; $O$1163 + 11),0),4),1,""),""),$O$1163+ 11)</f>
        <v>T474</v>
      </c>
      <c r="C1163" s="1089" t="str">
        <f ca="1">_xlfn.CONCAT(IFERROR(SUBSTITUTE(ADDRESS(1,MATCH(A1163,INDIRECT("'"&amp;E1163&amp;"'"&amp;"!A" &amp; $O$1163 + 11 &amp; ":Z" &amp; $O$1163 + 11),0),4),1,""),""),$O$1163+ 12)</f>
        <v>T475</v>
      </c>
      <c r="D1163" s="1089" t="s">
        <v>1448</v>
      </c>
      <c r="E1163" s="1089" t="s">
        <v>1618</v>
      </c>
      <c r="F1163" s="1089"/>
      <c r="G1163" s="1089"/>
      <c r="H1163" s="1089"/>
      <c r="I1163" s="1026" t="str">
        <f t="shared" si="131"/>
        <v/>
      </c>
      <c r="J1163" s="1376"/>
      <c r="K1163" s="1376" t="str">
        <f t="shared" si="132"/>
        <v/>
      </c>
      <c r="L1163" s="1089" t="s">
        <v>1809</v>
      </c>
      <c r="M1163" s="1376">
        <v>1146</v>
      </c>
      <c r="N1163" s="1376"/>
      <c r="O1163" s="1370">
        <f>'Configurable Tab'!H35</f>
        <v>463</v>
      </c>
      <c r="Q1163" s="1370" t="s">
        <v>653</v>
      </c>
      <c r="R1163" s="1376" t="s">
        <v>1168</v>
      </c>
    </row>
    <row r="1164" spans="1:18" s="1370" customFormat="1" x14ac:dyDescent="0.25">
      <c r="A1164" s="1118" t="s">
        <v>1482</v>
      </c>
      <c r="B1164" s="1089" t="str">
        <f ca="1">IFERROR(_xlfn.CONCAT("C",MATCH(A1164,INDIRECT("'"&amp;E1164&amp;"'!C"&amp;$O$1163&amp;":C"&amp;$O$1165),0)+$O$1163-1),"")</f>
        <v>C465</v>
      </c>
      <c r="C1164" s="1089" t="str">
        <f ca="1">IFERROR(_xlfn.CONCAT("D",MATCH(A1164,INDIRECT("'"&amp;E1164&amp;"'!C"&amp;$O$1163&amp;":C"&amp;$O$1165),0)+$O$1163-1),"")</f>
        <v>D465</v>
      </c>
      <c r="D1164" s="1089" t="s">
        <v>1448</v>
      </c>
      <c r="E1164" s="1089" t="s">
        <v>1618</v>
      </c>
      <c r="F1164" s="1089"/>
      <c r="G1164" s="1089"/>
      <c r="H1164" s="1089"/>
      <c r="I1164" s="1026" t="str">
        <f t="shared" si="131"/>
        <v/>
      </c>
      <c r="J1164" s="1376"/>
      <c r="K1164" s="1376" t="str">
        <f t="shared" si="132"/>
        <v/>
      </c>
      <c r="L1164" s="1089" t="s">
        <v>1482</v>
      </c>
      <c r="M1164" s="1376">
        <v>1147</v>
      </c>
      <c r="N1164" s="1376"/>
      <c r="O1164" s="1370" t="s">
        <v>743</v>
      </c>
      <c r="R1164" s="1376" t="s">
        <v>1168</v>
      </c>
    </row>
    <row r="1165" spans="1:18" s="1370" customFormat="1" x14ac:dyDescent="0.25">
      <c r="A1165" s="1118" t="s">
        <v>1480</v>
      </c>
      <c r="B1165" s="1089" t="str">
        <f ca="1">_xlfn.CONCAT(IFERROR(SUBSTITUTE(ADDRESS(1,MATCH(A1165,INDIRECT("'"&amp;E1165&amp;"'"&amp;"!A" &amp; $O$1163 + 2 &amp; ":Z" &amp; $O$1163 + 2),0),4),1,""),""),$O$1163+ 2)</f>
        <v>J465</v>
      </c>
      <c r="C1165" s="1089" t="str">
        <f ca="1">_xlfn.CONCAT(IFERROR(SUBSTITUTE(ADDRESS(1,MATCH(A1165,INDIRECT("'"&amp;E1165&amp;"'"&amp;"!A" &amp; $O$1163 + 2 &amp; ":Z" &amp; $O$1163 + 2),0),4),1,""),""),$O$1163+ 3)</f>
        <v>J466</v>
      </c>
      <c r="D1165" s="1089" t="s">
        <v>1448</v>
      </c>
      <c r="E1165" s="1089" t="s">
        <v>1618</v>
      </c>
      <c r="F1165" s="1089"/>
      <c r="G1165" s="1089"/>
      <c r="H1165" s="1089"/>
      <c r="I1165" s="1026" t="str">
        <f t="shared" si="131"/>
        <v/>
      </c>
      <c r="J1165" s="1376"/>
      <c r="K1165" s="1376" t="str">
        <f t="shared" si="132"/>
        <v/>
      </c>
      <c r="L1165" s="1089" t="s">
        <v>1480</v>
      </c>
      <c r="M1165" s="1376">
        <v>1148</v>
      </c>
      <c r="N1165" s="1376"/>
      <c r="O1165" s="1370">
        <f>'Configurable Tab'!I35</f>
        <v>476</v>
      </c>
      <c r="R1165" s="1376" t="s">
        <v>1168</v>
      </c>
    </row>
    <row r="1166" spans="1:18" s="1370" customFormat="1" x14ac:dyDescent="0.25">
      <c r="A1166" s="1118" t="s">
        <v>1481</v>
      </c>
      <c r="B1166" s="1089" t="str">
        <f ca="1">_xlfn.CONCAT(IFERROR(SUBSTITUTE(ADDRESS(1,MATCH(A1166,INDIRECT("'"&amp;E1166&amp;"'"&amp;"!A" &amp; $O$1163 + 2 &amp; ":Z" &amp; $O$1163 + 2),0),4),1,""),""),$O$1163+ 2)</f>
        <v>N465</v>
      </c>
      <c r="C1166" s="1089" t="str">
        <f ca="1">_xlfn.CONCAT(IFERROR(SUBSTITUTE(ADDRESS(1,MATCH(A1166,INDIRECT("'"&amp;E1166&amp;"'"&amp;"!A" &amp; $O$1163 + 2 &amp; ":Z" &amp; $O$1163 + 2),0),4),1,""),""),$O$1163+ 3)</f>
        <v>N466</v>
      </c>
      <c r="D1166" s="1089" t="s">
        <v>1448</v>
      </c>
      <c r="E1166" s="1089" t="s">
        <v>1618</v>
      </c>
      <c r="F1166" s="1089"/>
      <c r="G1166" s="1089"/>
      <c r="H1166" s="1089"/>
      <c r="I1166" s="1026" t="str">
        <f t="shared" si="131"/>
        <v/>
      </c>
      <c r="J1166" s="1376"/>
      <c r="K1166" s="1376" t="str">
        <f t="shared" si="132"/>
        <v/>
      </c>
      <c r="L1166" s="1089" t="s">
        <v>1481</v>
      </c>
      <c r="M1166" s="1376">
        <v>1149</v>
      </c>
      <c r="N1166" s="1376"/>
      <c r="O1166" s="1370" t="s">
        <v>1764</v>
      </c>
      <c r="R1166" s="1376" t="s">
        <v>1168</v>
      </c>
    </row>
    <row r="1167" spans="1:18" s="1370" customFormat="1" x14ac:dyDescent="0.25">
      <c r="A1167" s="1118" t="s">
        <v>1484</v>
      </c>
      <c r="B1167" s="1089" t="str">
        <f ca="1">IFERROR(_xlfn.CONCAT("C",MATCH(A1167,INDIRECT("'"&amp;E1167&amp;"'!C"&amp;$O$1163&amp;":C"&amp;$O$1165),0)+$O$1163-1),"")</f>
        <v>C469</v>
      </c>
      <c r="C1167" s="1089" t="str">
        <f ca="1">IFERROR(_xlfn.CONCAT("D",MATCH(A1167,INDIRECT("'"&amp;E1167&amp;"'!C"&amp;$O$1163&amp;":C"&amp;$O$1165),0)+$O$1163-1),"")</f>
        <v>D469</v>
      </c>
      <c r="D1167" s="1089" t="s">
        <v>1448</v>
      </c>
      <c r="E1167" s="1089" t="s">
        <v>1618</v>
      </c>
      <c r="F1167" s="1089"/>
      <c r="G1167" s="1089"/>
      <c r="H1167" s="1089"/>
      <c r="I1167" s="1026" t="str">
        <f t="shared" si="131"/>
        <v/>
      </c>
      <c r="J1167" s="1376"/>
      <c r="K1167" s="1376" t="str">
        <f t="shared" si="132"/>
        <v/>
      </c>
      <c r="L1167" s="1089" t="s">
        <v>1484</v>
      </c>
      <c r="M1167" s="1376">
        <v>1150</v>
      </c>
      <c r="N1167" s="1376"/>
      <c r="R1167" s="1376" t="s">
        <v>1168</v>
      </c>
    </row>
    <row r="1168" spans="1:18" s="1370" customFormat="1" x14ac:dyDescent="0.25">
      <c r="A1168" s="1118" t="s">
        <v>1485</v>
      </c>
      <c r="B1168" s="1089" t="str">
        <f ca="1">IFERROR(_xlfn.CONCAT("C",MATCH(A1168,INDIRECT("'"&amp;E1168&amp;"'!C"&amp;$O$1163&amp;":C"&amp;$O$1165),0)+$O$1163-1),"")</f>
        <v>C471</v>
      </c>
      <c r="C1168" s="1089" t="str">
        <f ca="1">IFERROR(_xlfn.CONCAT("D",MATCH(A1168,INDIRECT("'"&amp;E1168&amp;"'!C"&amp;$O$1163&amp;":C"&amp;$O$1165),0)+$O$1163-1),"")</f>
        <v>D471</v>
      </c>
      <c r="D1168" s="1089" t="s">
        <v>1448</v>
      </c>
      <c r="E1168" s="1089" t="s">
        <v>1618</v>
      </c>
      <c r="F1168" s="1089"/>
      <c r="G1168" s="1089"/>
      <c r="H1168" s="1089"/>
      <c r="I1168" s="1026" t="str">
        <f t="shared" si="131"/>
        <v/>
      </c>
      <c r="J1168" s="1376"/>
      <c r="K1168" s="1376" t="str">
        <f t="shared" si="132"/>
        <v/>
      </c>
      <c r="L1168" s="1089" t="s">
        <v>1485</v>
      </c>
      <c r="M1168" s="1376">
        <v>1151</v>
      </c>
      <c r="N1168" s="1376"/>
      <c r="R1168" s="1376" t="s">
        <v>1168</v>
      </c>
    </row>
    <row r="1169" spans="1:18" s="1370" customFormat="1" ht="30" x14ac:dyDescent="0.25">
      <c r="A1169" s="1118" t="s">
        <v>1597</v>
      </c>
      <c r="B1169" s="1089" t="str">
        <f ca="1">IFERROR(_xlfn.CONCAT("C",MATCH(A1169,INDIRECT("'"&amp;E1169&amp;"'!C"&amp;$O$1163&amp;":C"&amp;$O$1165),0)+$O$1163-1),"")</f>
        <v>C473</v>
      </c>
      <c r="C1169" s="1089" t="str">
        <f ca="1">IFERROR(_xlfn.CONCAT("D",MATCH(A1169,INDIRECT("'"&amp;E1169&amp;"'!C"&amp;$O$1163&amp;":C"&amp;$O$1165),0)+$O$1163-1),"")</f>
        <v>D473</v>
      </c>
      <c r="D1169" s="1089" t="s">
        <v>1448</v>
      </c>
      <c r="E1169" s="1089" t="s">
        <v>1618</v>
      </c>
      <c r="F1169" s="1089"/>
      <c r="G1169" s="1089"/>
      <c r="H1169" s="1089"/>
      <c r="I1169" s="1026" t="str">
        <f t="shared" si="131"/>
        <v>Incentive Dates Match Agreement Dates Flag</v>
      </c>
      <c r="J1169" s="1376" t="str">
        <f t="shared" ref="J1169:J1195" si="133">IF(M1169&lt;&gt;"",Q$1&amp;M1169,"")</f>
        <v>1152</v>
      </c>
      <c r="K1169" s="1376" t="str">
        <f t="shared" si="132"/>
        <v>Incentives Worksheet</v>
      </c>
      <c r="L1169" s="1089" t="s">
        <v>1597</v>
      </c>
      <c r="M1169" s="1376">
        <v>1152</v>
      </c>
      <c r="N1169" s="1376"/>
      <c r="R1169" s="1376" t="s">
        <v>1168</v>
      </c>
    </row>
    <row r="1170" spans="1:18" s="1370" customFormat="1" x14ac:dyDescent="0.25">
      <c r="A1170" s="1118" t="s">
        <v>1594</v>
      </c>
      <c r="B1170" s="1089" t="str">
        <f ca="1">_xlfn.CONCAT(IFERROR(SUBSTITUTE(ADDRESS(1,MATCH(A1170,INDIRECT("'"&amp;E1170&amp;"'"&amp;"!A" &amp; $O$1163 + 8 &amp; ":Z" &amp; $O$1163 + 8),0),4),1,""),""),$O$1163+ 8)</f>
        <v>H471</v>
      </c>
      <c r="C1170" s="1089" t="str">
        <f ca="1">_xlfn.CONCAT(IFERROR(SUBSTITUTE(ADDRESS(1,MATCH(A1170,INDIRECT("'"&amp;E1170&amp;"'"&amp;"!A" &amp; $O$1163 + 8 &amp; ":Z" &amp; $O$1163 + 8),0),4),1,""),""),$O$1163+ 9)</f>
        <v>H472</v>
      </c>
      <c r="D1170" s="1089" t="s">
        <v>1448</v>
      </c>
      <c r="E1170" s="1089" t="s">
        <v>1618</v>
      </c>
      <c r="F1170" s="1089"/>
      <c r="G1170" s="1089"/>
      <c r="H1170" s="1089"/>
      <c r="I1170" s="1026" t="str">
        <f t="shared" si="131"/>
        <v>Include All Customers Flag</v>
      </c>
      <c r="J1170" s="1376" t="str">
        <f t="shared" si="133"/>
        <v>1153</v>
      </c>
      <c r="K1170" s="1376" t="str">
        <f t="shared" si="132"/>
        <v>Incentives Worksheet</v>
      </c>
      <c r="L1170" s="1089" t="s">
        <v>1594</v>
      </c>
      <c r="M1170" s="1376">
        <v>1153</v>
      </c>
      <c r="N1170" s="1376"/>
      <c r="R1170" s="1376" t="s">
        <v>1168</v>
      </c>
    </row>
    <row r="1171" spans="1:18" s="1370" customFormat="1" x14ac:dyDescent="0.25">
      <c r="A1171" s="1118" t="s">
        <v>1495</v>
      </c>
      <c r="B1171" s="1089" t="str">
        <f ca="1">_xlfn.CONCAT(IFERROR(SUBSTITUTE(ADDRESS(1,MATCH(A1171,INDIRECT("'"&amp;E1171&amp;"'"&amp;"!A" &amp; $O$1163 + 5 &amp; ":Z" &amp; $O$1163 + 5),0),4),1,""),""),$O$1163+ 5)</f>
        <v>H468</v>
      </c>
      <c r="C1171" s="1089" t="str">
        <f ca="1">_xlfn.CONCAT(IFERROR(SUBSTITUTE(ADDRESS(1,MATCH(A1171,INDIRECT("'"&amp;E1171&amp;"'"&amp;"!A" &amp; $O$1163 + 5 &amp; ":Z" &amp; $O$1163 + 5),0),4),1,""),""),$O$1163+ 6)</f>
        <v>H469</v>
      </c>
      <c r="D1171" s="1089" t="s">
        <v>1448</v>
      </c>
      <c r="E1171" s="1089" t="s">
        <v>1618</v>
      </c>
      <c r="F1171" s="1089"/>
      <c r="G1171" s="1089"/>
      <c r="H1171" s="1089"/>
      <c r="I1171" s="1026" t="str">
        <f t="shared" si="131"/>
        <v/>
      </c>
      <c r="J1171" s="1376"/>
      <c r="K1171" s="1376" t="str">
        <f t="shared" si="132"/>
        <v/>
      </c>
      <c r="L1171" s="1089" t="s">
        <v>1495</v>
      </c>
      <c r="M1171" s="1376">
        <v>1154</v>
      </c>
      <c r="N1171" s="1376"/>
      <c r="R1171" s="1376" t="s">
        <v>1168</v>
      </c>
    </row>
    <row r="1172" spans="1:18" s="1370" customFormat="1" x14ac:dyDescent="0.25">
      <c r="A1172" s="1118" t="s">
        <v>1583</v>
      </c>
      <c r="B1172" s="1089" t="str">
        <f ca="1">_xlfn.CONCAT(IFERROR(SUBSTITUTE(ADDRESS(1,MATCH(A1172,INDIRECT("'"&amp;E1172&amp;"'"&amp;"!A" &amp; $O$1163 + 5 &amp; ":Z" &amp; $O$1163 + 5),0),4),1,""),""),$O$1163+ 6)</f>
        <v>J469</v>
      </c>
      <c r="C1172" s="1089" t="str">
        <f t="shared" ref="C1172:C1186" ca="1" si="134">IFERROR(SUBSTITUTE(ADDRESS(1,MATCH(A1172,INDIRECT("'"&amp;E1172&amp;"'"&amp;"!A" &amp; $O$1163 + 5 &amp; ":Z" &amp; $O$1163 + 5),0),4),1,""),"")</f>
        <v>J</v>
      </c>
      <c r="D1172" s="1089" t="s">
        <v>1455</v>
      </c>
      <c r="E1172" s="1089" t="s">
        <v>1618</v>
      </c>
      <c r="F1172" s="1089"/>
      <c r="G1172" s="1089"/>
      <c r="H1172" s="1089"/>
      <c r="I1172" s="1026" t="str">
        <f t="shared" si="131"/>
        <v/>
      </c>
      <c r="J1172" s="1376"/>
      <c r="K1172" s="1376" t="str">
        <f t="shared" si="132"/>
        <v/>
      </c>
      <c r="L1172" s="1089" t="s">
        <v>1583</v>
      </c>
      <c r="M1172" s="1376">
        <v>1155</v>
      </c>
      <c r="N1172" s="1376"/>
      <c r="R1172" s="1376" t="s">
        <v>1168</v>
      </c>
    </row>
    <row r="1173" spans="1:18" s="1370" customFormat="1" x14ac:dyDescent="0.25">
      <c r="A1173" s="1118" t="s">
        <v>751</v>
      </c>
      <c r="B1173" s="1089" t="str">
        <f ca="1">_xlfn.CONCAT(IFERROR(SUBSTITUTE(ADDRESS(1,MATCH(A1173,INDIRECT("'"&amp;E1173&amp;"'"&amp;"!A" &amp; $O$1163 + 5 &amp; ":Z" &amp; $O$1163 + 5),0),4),1,""),""),$O$1163+ 6)</f>
        <v>L469</v>
      </c>
      <c r="C1173" s="1089" t="str">
        <f t="shared" ca="1" si="134"/>
        <v>L</v>
      </c>
      <c r="D1173" s="1089" t="s">
        <v>1455</v>
      </c>
      <c r="E1173" s="1089" t="s">
        <v>1618</v>
      </c>
      <c r="F1173" s="1089"/>
      <c r="G1173" s="1089"/>
      <c r="H1173" s="1089"/>
      <c r="I1173" s="1026" t="str">
        <f t="shared" si="131"/>
        <v/>
      </c>
      <c r="J1173" s="1376"/>
      <c r="K1173" s="1376" t="str">
        <f t="shared" si="132"/>
        <v/>
      </c>
      <c r="L1173" s="1089" t="s">
        <v>751</v>
      </c>
      <c r="M1173" s="1376">
        <v>1156</v>
      </c>
      <c r="N1173" s="1376"/>
      <c r="R1173" s="1376" t="s">
        <v>1168</v>
      </c>
    </row>
    <row r="1174" spans="1:18" s="1370" customFormat="1" x14ac:dyDescent="0.25">
      <c r="A1174" s="1118" t="s">
        <v>1725</v>
      </c>
      <c r="B1174" s="1089" t="str">
        <f ca="1">_xlfn.CONCAT(IFERROR(SUBSTITUTE(ADDRESS(1,MATCH(A1174,INDIRECT("'"&amp;E1174&amp;"'"&amp;"!A" &amp; $O$1163 + 5 &amp; ":Z" &amp; $O$1163 + 5),0),4),1,""),""),$O$1163+ 6)</f>
        <v>N469</v>
      </c>
      <c r="C1174" s="1089" t="str">
        <f t="shared" ca="1" si="134"/>
        <v>N</v>
      </c>
      <c r="D1174" s="1089" t="s">
        <v>1455</v>
      </c>
      <c r="E1174" s="1089" t="s">
        <v>1618</v>
      </c>
      <c r="F1174" s="1089"/>
      <c r="G1174" s="1089"/>
      <c r="H1174" s="1089"/>
      <c r="I1174" s="1026" t="str">
        <f t="shared" si="131"/>
        <v/>
      </c>
      <c r="J1174" s="1376"/>
      <c r="K1174" s="1376" t="str">
        <f t="shared" si="132"/>
        <v/>
      </c>
      <c r="L1174" s="1089" t="s">
        <v>1725</v>
      </c>
      <c r="M1174" s="1376">
        <v>1157</v>
      </c>
      <c r="N1174" s="1376"/>
      <c r="R1174" s="1376" t="s">
        <v>1168</v>
      </c>
    </row>
    <row r="1175" spans="1:18" s="1370" customFormat="1" x14ac:dyDescent="0.25">
      <c r="A1175" s="1118" t="s">
        <v>1583</v>
      </c>
      <c r="B1175" s="1089" t="str">
        <f ca="1">_xlfn.CONCAT(IFERROR(SUBSTITUTE(ADDRESS(1,MATCH(A1175,INDIRECT("'"&amp;E1175&amp;"'"&amp;"!A" &amp; $O$1163 + 5 &amp; ":Z" &amp; $O$1163 + 5),0),4),1,""),""),$O$1163+ 7)</f>
        <v>J470</v>
      </c>
      <c r="C1175" s="1089" t="str">
        <f t="shared" ca="1" si="134"/>
        <v>J</v>
      </c>
      <c r="D1175" s="1089" t="s">
        <v>1455</v>
      </c>
      <c r="E1175" s="1089" t="s">
        <v>1618</v>
      </c>
      <c r="F1175" s="1089"/>
      <c r="G1175" s="1089"/>
      <c r="H1175" s="1089"/>
      <c r="I1175" s="1026" t="str">
        <f t="shared" si="131"/>
        <v/>
      </c>
      <c r="J1175" s="1376"/>
      <c r="K1175" s="1376" t="str">
        <f t="shared" si="132"/>
        <v/>
      </c>
      <c r="L1175" s="1089" t="s">
        <v>1583</v>
      </c>
      <c r="M1175" s="1376">
        <v>1158</v>
      </c>
      <c r="N1175" s="1376"/>
      <c r="R1175" s="1376" t="s">
        <v>1168</v>
      </c>
    </row>
    <row r="1176" spans="1:18" s="1370" customFormat="1" x14ac:dyDescent="0.25">
      <c r="A1176" s="1118" t="s">
        <v>751</v>
      </c>
      <c r="B1176" s="1089" t="str">
        <f ca="1">_xlfn.CONCAT(IFERROR(SUBSTITUTE(ADDRESS(1,MATCH(A1176,INDIRECT("'"&amp;E1176&amp;"'"&amp;"!A" &amp; $O$1163 + 5 &amp; ":Z" &amp; $O$1163 + 5),0),4),1,""),""),$O$1163+ 7)</f>
        <v>L470</v>
      </c>
      <c r="C1176" s="1089" t="str">
        <f t="shared" ca="1" si="134"/>
        <v>L</v>
      </c>
      <c r="D1176" s="1089" t="s">
        <v>1455</v>
      </c>
      <c r="E1176" s="1089" t="s">
        <v>1618</v>
      </c>
      <c r="F1176" s="1089"/>
      <c r="G1176" s="1089"/>
      <c r="H1176" s="1089"/>
      <c r="I1176" s="1026" t="str">
        <f t="shared" si="131"/>
        <v/>
      </c>
      <c r="J1176" s="1376"/>
      <c r="K1176" s="1376" t="str">
        <f t="shared" si="132"/>
        <v/>
      </c>
      <c r="L1176" s="1089" t="s">
        <v>751</v>
      </c>
      <c r="M1176" s="1376">
        <v>1159</v>
      </c>
      <c r="N1176" s="1376"/>
      <c r="R1176" s="1376" t="s">
        <v>1168</v>
      </c>
    </row>
    <row r="1177" spans="1:18" s="1370" customFormat="1" x14ac:dyDescent="0.25">
      <c r="A1177" s="1118" t="s">
        <v>1725</v>
      </c>
      <c r="B1177" s="1089" t="str">
        <f ca="1">_xlfn.CONCAT(IFERROR(SUBSTITUTE(ADDRESS(1,MATCH(A1177,INDIRECT("'"&amp;E1177&amp;"'"&amp;"!A" &amp; $O$1163 + 5 &amp; ":Z" &amp; $O$1163 + 5),0),4),1,""),""),$O$1163+ 7)</f>
        <v>N470</v>
      </c>
      <c r="C1177" s="1089" t="str">
        <f t="shared" ca="1" si="134"/>
        <v>N</v>
      </c>
      <c r="D1177" s="1089" t="s">
        <v>1455</v>
      </c>
      <c r="E1177" s="1089" t="s">
        <v>1618</v>
      </c>
      <c r="F1177" s="1089"/>
      <c r="G1177" s="1089"/>
      <c r="H1177" s="1089"/>
      <c r="I1177" s="1026" t="str">
        <f t="shared" si="131"/>
        <v/>
      </c>
      <c r="J1177" s="1376"/>
      <c r="K1177" s="1376" t="str">
        <f t="shared" si="132"/>
        <v/>
      </c>
      <c r="L1177" s="1089" t="s">
        <v>1725</v>
      </c>
      <c r="M1177" s="1376">
        <v>1160</v>
      </c>
      <c r="N1177" s="1376"/>
      <c r="R1177" s="1376" t="s">
        <v>1168</v>
      </c>
    </row>
    <row r="1178" spans="1:18" s="1370" customFormat="1" x14ac:dyDescent="0.25">
      <c r="A1178" s="1118" t="s">
        <v>1583</v>
      </c>
      <c r="B1178" s="1089" t="str">
        <f ca="1">_xlfn.CONCAT(IFERROR(SUBSTITUTE(ADDRESS(1,MATCH(A1178,INDIRECT("'"&amp;E1178&amp;"'"&amp;"!A" &amp; $O$1163 + 5 &amp; ":Z" &amp; $O$1163 + 5),0),4),1,""),""),$O$1163+ 8)</f>
        <v>J471</v>
      </c>
      <c r="C1178" s="1089" t="str">
        <f t="shared" ca="1" si="134"/>
        <v>J</v>
      </c>
      <c r="D1178" s="1089" t="s">
        <v>1455</v>
      </c>
      <c r="E1178" s="1089" t="s">
        <v>1618</v>
      </c>
      <c r="F1178" s="1089"/>
      <c r="G1178" s="1089"/>
      <c r="H1178" s="1089"/>
      <c r="I1178" s="1026" t="str">
        <f t="shared" si="131"/>
        <v/>
      </c>
      <c r="J1178" s="1376"/>
      <c r="K1178" s="1376" t="str">
        <f t="shared" si="132"/>
        <v/>
      </c>
      <c r="L1178" s="1089" t="s">
        <v>1583</v>
      </c>
      <c r="M1178" s="1376">
        <v>1161</v>
      </c>
      <c r="N1178" s="1376"/>
      <c r="R1178" s="1376" t="s">
        <v>1168</v>
      </c>
    </row>
    <row r="1179" spans="1:18" s="1370" customFormat="1" x14ac:dyDescent="0.25">
      <c r="A1179" s="1118" t="s">
        <v>751</v>
      </c>
      <c r="B1179" s="1089" t="str">
        <f ca="1">_xlfn.CONCAT(IFERROR(SUBSTITUTE(ADDRESS(1,MATCH(A1179,INDIRECT("'"&amp;E1179&amp;"'"&amp;"!A" &amp; $O$1163 + 5 &amp; ":Z" &amp; $O$1163 + 5),0),4),1,""),""),$O$1163+ 8)</f>
        <v>L471</v>
      </c>
      <c r="C1179" s="1089" t="str">
        <f t="shared" ca="1" si="134"/>
        <v>L</v>
      </c>
      <c r="D1179" s="1089" t="s">
        <v>1455</v>
      </c>
      <c r="E1179" s="1089" t="s">
        <v>1618</v>
      </c>
      <c r="F1179" s="1089"/>
      <c r="G1179" s="1089"/>
      <c r="H1179" s="1089"/>
      <c r="I1179" s="1026" t="str">
        <f t="shared" si="131"/>
        <v/>
      </c>
      <c r="J1179" s="1376"/>
      <c r="K1179" s="1376" t="str">
        <f t="shared" si="132"/>
        <v/>
      </c>
      <c r="L1179" s="1089" t="s">
        <v>751</v>
      </c>
      <c r="M1179" s="1376">
        <v>1162</v>
      </c>
      <c r="N1179" s="1376"/>
      <c r="R1179" s="1376" t="s">
        <v>1168</v>
      </c>
    </row>
    <row r="1180" spans="1:18" s="1370" customFormat="1" x14ac:dyDescent="0.25">
      <c r="A1180" s="1118" t="s">
        <v>1725</v>
      </c>
      <c r="B1180" s="1089" t="str">
        <f ca="1">_xlfn.CONCAT(IFERROR(SUBSTITUTE(ADDRESS(1,MATCH(A1180,INDIRECT("'"&amp;E1180&amp;"'"&amp;"!A" &amp; $O$1163 + 5 &amp; ":Z" &amp; $O$1163 + 5),0),4),1,""),""),$O$1163+ 8)</f>
        <v>N471</v>
      </c>
      <c r="C1180" s="1089" t="str">
        <f t="shared" ca="1" si="134"/>
        <v>N</v>
      </c>
      <c r="D1180" s="1089" t="s">
        <v>1455</v>
      </c>
      <c r="E1180" s="1089" t="s">
        <v>1618</v>
      </c>
      <c r="F1180" s="1089"/>
      <c r="G1180" s="1089"/>
      <c r="H1180" s="1089"/>
      <c r="I1180" s="1026" t="str">
        <f t="shared" si="131"/>
        <v/>
      </c>
      <c r="J1180" s="1376"/>
      <c r="K1180" s="1376" t="str">
        <f t="shared" si="132"/>
        <v/>
      </c>
      <c r="L1180" s="1089" t="s">
        <v>1725</v>
      </c>
      <c r="M1180" s="1376">
        <v>1163</v>
      </c>
      <c r="N1180" s="1376"/>
      <c r="R1180" s="1376" t="s">
        <v>1168</v>
      </c>
    </row>
    <row r="1181" spans="1:18" s="1370" customFormat="1" x14ac:dyDescent="0.25">
      <c r="A1181" s="1118" t="s">
        <v>1583</v>
      </c>
      <c r="B1181" s="1089" t="str">
        <f ca="1">_xlfn.CONCAT(IFERROR(SUBSTITUTE(ADDRESS(1,MATCH(A1181,INDIRECT("'"&amp;E1181&amp;"'"&amp;"!A" &amp; $O$1163 + 5 &amp; ":Z" &amp; $O$1163 + 5),0),4),1,""),""),$O$1163+ 9)</f>
        <v>J472</v>
      </c>
      <c r="C1181" s="1089" t="str">
        <f t="shared" ca="1" si="134"/>
        <v>J</v>
      </c>
      <c r="D1181" s="1089" t="s">
        <v>1455</v>
      </c>
      <c r="E1181" s="1089" t="s">
        <v>1618</v>
      </c>
      <c r="F1181" s="1089"/>
      <c r="G1181" s="1089"/>
      <c r="H1181" s="1089"/>
      <c r="I1181" s="1026" t="str">
        <f t="shared" si="131"/>
        <v/>
      </c>
      <c r="J1181" s="1376"/>
      <c r="K1181" s="1376" t="str">
        <f t="shared" si="132"/>
        <v/>
      </c>
      <c r="L1181" s="1089" t="s">
        <v>1583</v>
      </c>
      <c r="M1181" s="1376">
        <v>1164</v>
      </c>
      <c r="N1181" s="1376"/>
      <c r="R1181" s="1376" t="s">
        <v>1168</v>
      </c>
    </row>
    <row r="1182" spans="1:18" s="1370" customFormat="1" x14ac:dyDescent="0.25">
      <c r="A1182" s="1118" t="s">
        <v>751</v>
      </c>
      <c r="B1182" s="1089" t="str">
        <f ca="1">_xlfn.CONCAT(IFERROR(SUBSTITUTE(ADDRESS(1,MATCH(A1182,INDIRECT("'"&amp;E1182&amp;"'"&amp;"!A" &amp; $O$1163 + 5 &amp; ":Z" &amp; $O$1163 + 5),0),4),1,""),""),$O$1163+ 9)</f>
        <v>L472</v>
      </c>
      <c r="C1182" s="1089" t="str">
        <f t="shared" ca="1" si="134"/>
        <v>L</v>
      </c>
      <c r="D1182" s="1089" t="s">
        <v>1455</v>
      </c>
      <c r="E1182" s="1089" t="s">
        <v>1618</v>
      </c>
      <c r="F1182" s="1089"/>
      <c r="G1182" s="1089"/>
      <c r="H1182" s="1089"/>
      <c r="I1182" s="1026" t="str">
        <f t="shared" si="131"/>
        <v/>
      </c>
      <c r="J1182" s="1376"/>
      <c r="K1182" s="1376" t="str">
        <f t="shared" si="132"/>
        <v/>
      </c>
      <c r="L1182" s="1089" t="s">
        <v>751</v>
      </c>
      <c r="M1182" s="1376">
        <v>1165</v>
      </c>
      <c r="N1182" s="1376"/>
      <c r="R1182" s="1376" t="s">
        <v>1168</v>
      </c>
    </row>
    <row r="1183" spans="1:18" s="1370" customFormat="1" x14ac:dyDescent="0.25">
      <c r="A1183" s="1118" t="s">
        <v>1725</v>
      </c>
      <c r="B1183" s="1089" t="str">
        <f ca="1">_xlfn.CONCAT(IFERROR(SUBSTITUTE(ADDRESS(1,MATCH(A1183,INDIRECT("'"&amp;E1183&amp;"'"&amp;"!A" &amp; $O$1163 + 5 &amp; ":Z" &amp; $O$1163 + 5),0),4),1,""),""),$O$1163+ 9)</f>
        <v>N472</v>
      </c>
      <c r="C1183" s="1089" t="str">
        <f t="shared" ca="1" si="134"/>
        <v>N</v>
      </c>
      <c r="D1183" s="1089" t="s">
        <v>1455</v>
      </c>
      <c r="E1183" s="1089" t="s">
        <v>1618</v>
      </c>
      <c r="F1183" s="1089"/>
      <c r="G1183" s="1089"/>
      <c r="H1183" s="1089"/>
      <c r="I1183" s="1026" t="str">
        <f t="shared" si="131"/>
        <v/>
      </c>
      <c r="J1183" s="1376"/>
      <c r="K1183" s="1376" t="str">
        <f t="shared" si="132"/>
        <v/>
      </c>
      <c r="L1183" s="1089" t="s">
        <v>1725</v>
      </c>
      <c r="M1183" s="1376">
        <v>1166</v>
      </c>
      <c r="N1183" s="1376"/>
      <c r="R1183" s="1376" t="s">
        <v>1168</v>
      </c>
    </row>
    <row r="1184" spans="1:18" s="1370" customFormat="1" x14ac:dyDescent="0.25">
      <c r="A1184" s="1118" t="s">
        <v>1583</v>
      </c>
      <c r="B1184" s="1089" t="str">
        <f ca="1">_xlfn.CONCAT(IFERROR(SUBSTITUTE(ADDRESS(1,MATCH(A1184,INDIRECT("'"&amp;E1184&amp;"'"&amp;"!A" &amp; $O$1163 + 5 &amp; ":Z" &amp; $O$1163 + 5),0),4),1,""),""),$O$1163+ 10)</f>
        <v>J473</v>
      </c>
      <c r="C1184" s="1089" t="str">
        <f t="shared" ca="1" si="134"/>
        <v>J</v>
      </c>
      <c r="D1184" s="1089" t="s">
        <v>1455</v>
      </c>
      <c r="E1184" s="1089" t="s">
        <v>1618</v>
      </c>
      <c r="F1184" s="1089"/>
      <c r="G1184" s="1089"/>
      <c r="H1184" s="1089"/>
      <c r="I1184" s="1026" t="str">
        <f t="shared" si="131"/>
        <v/>
      </c>
      <c r="J1184" s="1376"/>
      <c r="K1184" s="1376" t="str">
        <f t="shared" si="132"/>
        <v/>
      </c>
      <c r="L1184" s="1089" t="s">
        <v>1583</v>
      </c>
      <c r="M1184" s="1376">
        <v>1167</v>
      </c>
      <c r="N1184" s="1376"/>
      <c r="R1184" s="1376" t="s">
        <v>1168</v>
      </c>
    </row>
    <row r="1185" spans="1:18" s="1370" customFormat="1" x14ac:dyDescent="0.25">
      <c r="A1185" s="1118" t="s">
        <v>751</v>
      </c>
      <c r="B1185" s="1089" t="str">
        <f ca="1">_xlfn.CONCAT(IFERROR(SUBSTITUTE(ADDRESS(1,MATCH(A1185,INDIRECT("'"&amp;E1185&amp;"'"&amp;"!A" &amp; $O$1163 + 5 &amp; ":Z" &amp; $O$1163 + 5),0),4),1,""),""),$O$1163+ 10)</f>
        <v>L473</v>
      </c>
      <c r="C1185" s="1089" t="str">
        <f t="shared" ca="1" si="134"/>
        <v>L</v>
      </c>
      <c r="D1185" s="1089" t="s">
        <v>1455</v>
      </c>
      <c r="E1185" s="1089" t="s">
        <v>1618</v>
      </c>
      <c r="F1185" s="1089"/>
      <c r="G1185" s="1089"/>
      <c r="H1185" s="1089"/>
      <c r="I1185" s="1026" t="str">
        <f t="shared" si="131"/>
        <v/>
      </c>
      <c r="J1185" s="1376"/>
      <c r="K1185" s="1376" t="str">
        <f t="shared" si="132"/>
        <v/>
      </c>
      <c r="L1185" s="1089" t="s">
        <v>751</v>
      </c>
      <c r="M1185" s="1376">
        <v>1168</v>
      </c>
      <c r="N1185" s="1376"/>
      <c r="R1185" s="1376" t="s">
        <v>1168</v>
      </c>
    </row>
    <row r="1186" spans="1:18" s="1370" customFormat="1" x14ac:dyDescent="0.25">
      <c r="A1186" s="1118" t="s">
        <v>1725</v>
      </c>
      <c r="B1186" s="1089" t="str">
        <f ca="1">_xlfn.CONCAT(IFERROR(SUBSTITUTE(ADDRESS(1,MATCH(A1186,INDIRECT("'"&amp;E1186&amp;"'"&amp;"!A" &amp; $O$1163 + 5 &amp; ":Z" &amp; $O$1163 + 5),0),4),1,""),""),$O$1163+ 10)</f>
        <v>N473</v>
      </c>
      <c r="C1186" s="1089" t="str">
        <f t="shared" ca="1" si="134"/>
        <v>N</v>
      </c>
      <c r="D1186" s="1089" t="s">
        <v>1455</v>
      </c>
      <c r="E1186" s="1089" t="s">
        <v>1618</v>
      </c>
      <c r="F1186" s="1089"/>
      <c r="G1186" s="1089"/>
      <c r="H1186" s="1089"/>
      <c r="I1186" s="1026" t="str">
        <f t="shared" si="131"/>
        <v/>
      </c>
      <c r="J1186" s="1376"/>
      <c r="K1186" s="1376" t="str">
        <f t="shared" si="132"/>
        <v/>
      </c>
      <c r="L1186" s="1089" t="s">
        <v>1725</v>
      </c>
      <c r="M1186" s="1376">
        <v>1169</v>
      </c>
      <c r="N1186" s="1376"/>
      <c r="R1186" s="1376" t="s">
        <v>1168</v>
      </c>
    </row>
    <row r="1187" spans="1:18" s="1370" customFormat="1" x14ac:dyDescent="0.25">
      <c r="A1187" s="1121" t="s">
        <v>1593</v>
      </c>
      <c r="B1187" s="1089" t="str">
        <f ca="1">IFERROR(_xlfn.CONCAT("C",MATCH(A1187,INDIRECT("'"&amp;E1187&amp;"'!C"&amp;$O$1188&amp;":C"&amp;$O$1190),0)+$O$1188-1),"")</f>
        <v>C481</v>
      </c>
      <c r="C1187" s="1089" t="str">
        <f ca="1">IFERROR(_xlfn.CONCAT("D",MATCH(A1187,INDIRECT("'"&amp;E1187&amp;"'!C"&amp;$O$1188&amp;":C"&amp;$O$1190),0)+$O$1188-1),"")</f>
        <v>D481</v>
      </c>
      <c r="D1187" s="1089" t="s">
        <v>1448</v>
      </c>
      <c r="E1187" s="1089" t="s">
        <v>1618</v>
      </c>
      <c r="F1187" s="1089"/>
      <c r="G1187" s="1089"/>
      <c r="H1187" s="1089"/>
      <c r="I1187" s="1026" t="str">
        <f t="shared" si="131"/>
        <v/>
      </c>
      <c r="J1187" s="1376"/>
      <c r="K1187" s="1376" t="str">
        <f t="shared" si="132"/>
        <v/>
      </c>
      <c r="L1187" s="1089" t="s">
        <v>1593</v>
      </c>
      <c r="M1187" s="1376">
        <v>1170</v>
      </c>
      <c r="N1187" s="1376"/>
      <c r="O1187" s="1370" t="s">
        <v>742</v>
      </c>
      <c r="R1187" s="1376" t="s">
        <v>1168</v>
      </c>
    </row>
    <row r="1188" spans="1:18" s="1370" customFormat="1" x14ac:dyDescent="0.25">
      <c r="A1188" s="1121" t="s">
        <v>1809</v>
      </c>
      <c r="B1188" s="1089" t="str">
        <f ca="1">_xlfn.CONCAT(IFERROR(SUBSTITUTE(ADDRESS(1,MATCH(A1188,INDIRECT("'"&amp;E1188&amp;"'"&amp;"!A" &amp; $O$1188 + 11 &amp; ":Z" &amp; $O$1188 + 11),0),4),1,""),""),$O$1188+ 11)</f>
        <v>T488</v>
      </c>
      <c r="C1188" s="1089" t="str">
        <f ca="1">_xlfn.CONCAT(IFERROR(SUBSTITUTE(ADDRESS(1,MATCH(A1188,INDIRECT("'"&amp;E1188&amp;"'"&amp;"!A" &amp; $O$1188 + 11 &amp; ":Z" &amp; $O$1188 + 11),0),4),1,""),""),$O$1188+ 12)</f>
        <v>T489</v>
      </c>
      <c r="D1188" s="1089" t="s">
        <v>1448</v>
      </c>
      <c r="E1188" s="1089" t="s">
        <v>1618</v>
      </c>
      <c r="F1188" s="1089"/>
      <c r="G1188" s="1089"/>
      <c r="H1188" s="1089"/>
      <c r="I1188" s="1026" t="str">
        <f t="shared" si="131"/>
        <v/>
      </c>
      <c r="J1188" s="1376"/>
      <c r="K1188" s="1376" t="str">
        <f t="shared" si="132"/>
        <v/>
      </c>
      <c r="L1188" s="1089" t="s">
        <v>1809</v>
      </c>
      <c r="M1188" s="1376">
        <v>1171</v>
      </c>
      <c r="N1188" s="1376"/>
      <c r="O1188" s="1370">
        <f>'Configurable Tab'!H36</f>
        <v>477</v>
      </c>
      <c r="Q1188" s="1370" t="s">
        <v>653</v>
      </c>
      <c r="R1188" s="1376" t="s">
        <v>1168</v>
      </c>
    </row>
    <row r="1189" spans="1:18" s="1370" customFormat="1" x14ac:dyDescent="0.25">
      <c r="A1189" s="1121" t="s">
        <v>1482</v>
      </c>
      <c r="B1189" s="1089" t="str">
        <f ca="1">IFERROR(_xlfn.CONCAT("C",MATCH(A1189,INDIRECT("'"&amp;E1189&amp;"'!C"&amp;$O$1188&amp;":C"&amp;$O$1190),0)+$O$1188-1),"")</f>
        <v>C479</v>
      </c>
      <c r="C1189" s="1089" t="str">
        <f ca="1">IFERROR(_xlfn.CONCAT("D",MATCH(A1189,INDIRECT("'"&amp;E1189&amp;"'!C"&amp;$O$1188&amp;":C"&amp;$O$1190),0)+$O$1188-1),"")</f>
        <v>D479</v>
      </c>
      <c r="D1189" s="1089" t="s">
        <v>1448</v>
      </c>
      <c r="E1189" s="1089" t="s">
        <v>1618</v>
      </c>
      <c r="F1189" s="1089"/>
      <c r="G1189" s="1089"/>
      <c r="H1189" s="1089"/>
      <c r="I1189" s="1026" t="str">
        <f t="shared" si="131"/>
        <v/>
      </c>
      <c r="J1189" s="1376"/>
      <c r="K1189" s="1376" t="str">
        <f t="shared" si="132"/>
        <v/>
      </c>
      <c r="L1189" s="1089" t="s">
        <v>1482</v>
      </c>
      <c r="M1189" s="1376">
        <v>1172</v>
      </c>
      <c r="N1189" s="1376"/>
      <c r="O1189" s="1370" t="s">
        <v>743</v>
      </c>
      <c r="R1189" s="1376" t="s">
        <v>1168</v>
      </c>
    </row>
    <row r="1190" spans="1:18" s="1370" customFormat="1" x14ac:dyDescent="0.25">
      <c r="A1190" s="1121" t="s">
        <v>1480</v>
      </c>
      <c r="B1190" s="1089" t="str">
        <f ca="1">_xlfn.CONCAT(IFERROR(SUBSTITUTE(ADDRESS(1,MATCH(A1190,INDIRECT("'"&amp;E1190&amp;"'"&amp;"!A" &amp; $O$1188 + 2 &amp; ":Z" &amp; $O$1188 + 2),0),4),1,""),""),$O$1188+ 2)</f>
        <v>J479</v>
      </c>
      <c r="C1190" s="1089" t="str">
        <f ca="1">_xlfn.CONCAT(IFERROR(SUBSTITUTE(ADDRESS(1,MATCH(A1190,INDIRECT("'"&amp;E1190&amp;"'"&amp;"!A" &amp; $O$1188 + 2 &amp; ":Z" &amp; $O$1188 + 2),0),4),1,""),""),$O$1188+ 3)</f>
        <v>J480</v>
      </c>
      <c r="D1190" s="1089" t="s">
        <v>1448</v>
      </c>
      <c r="E1190" s="1089" t="s">
        <v>1618</v>
      </c>
      <c r="F1190" s="1089"/>
      <c r="G1190" s="1089"/>
      <c r="H1190" s="1089"/>
      <c r="I1190" s="1026" t="str">
        <f t="shared" si="131"/>
        <v/>
      </c>
      <c r="J1190" s="1376"/>
      <c r="K1190" s="1376" t="str">
        <f t="shared" si="132"/>
        <v/>
      </c>
      <c r="L1190" s="1089" t="s">
        <v>1480</v>
      </c>
      <c r="M1190" s="1376">
        <v>1173</v>
      </c>
      <c r="N1190" s="1376"/>
      <c r="O1190" s="1370">
        <f>'Configurable Tab'!I36</f>
        <v>490</v>
      </c>
      <c r="R1190" s="1376" t="s">
        <v>1168</v>
      </c>
    </row>
    <row r="1191" spans="1:18" s="1370" customFormat="1" x14ac:dyDescent="0.25">
      <c r="A1191" s="1121" t="s">
        <v>1481</v>
      </c>
      <c r="B1191" s="1089" t="str">
        <f ca="1">_xlfn.CONCAT(IFERROR(SUBSTITUTE(ADDRESS(1,MATCH(A1191,INDIRECT("'"&amp;E1191&amp;"'"&amp;"!A" &amp; $O$1188 + 2 &amp; ":Z" &amp; $O$1188 + 2),0),4),1,""),""),$O$1188+ 2)</f>
        <v>N479</v>
      </c>
      <c r="C1191" s="1089" t="str">
        <f ca="1">_xlfn.CONCAT(IFERROR(SUBSTITUTE(ADDRESS(1,MATCH(A1191,INDIRECT("'"&amp;E1191&amp;"'"&amp;"!A" &amp; $O$1188 + 2 &amp; ":Z" &amp; $O$1188 + 2),0),4),1,""),""),$O$1188+ 3)</f>
        <v>N480</v>
      </c>
      <c r="D1191" s="1089" t="s">
        <v>1448</v>
      </c>
      <c r="E1191" s="1089" t="s">
        <v>1618</v>
      </c>
      <c r="F1191" s="1089"/>
      <c r="G1191" s="1089"/>
      <c r="H1191" s="1089"/>
      <c r="I1191" s="1026" t="str">
        <f t="shared" si="131"/>
        <v/>
      </c>
      <c r="J1191" s="1376"/>
      <c r="K1191" s="1376" t="str">
        <f t="shared" si="132"/>
        <v/>
      </c>
      <c r="L1191" s="1089" t="s">
        <v>1481</v>
      </c>
      <c r="M1191" s="1376">
        <v>1174</v>
      </c>
      <c r="N1191" s="1376"/>
      <c r="O1191" s="1370" t="s">
        <v>1765</v>
      </c>
      <c r="R1191" s="1376" t="s">
        <v>1168</v>
      </c>
    </row>
    <row r="1192" spans="1:18" s="1370" customFormat="1" x14ac:dyDescent="0.25">
      <c r="A1192" s="1121" t="s">
        <v>1484</v>
      </c>
      <c r="B1192" s="1089" t="str">
        <f ca="1">IFERROR(_xlfn.CONCAT("C",MATCH(A1192,INDIRECT("'"&amp;E1192&amp;"'!C"&amp;$O$1188&amp;":C"&amp;$O$1190),0)+$O$1188-1),"")</f>
        <v>C483</v>
      </c>
      <c r="C1192" s="1089" t="str">
        <f ca="1">IFERROR(_xlfn.CONCAT("D",MATCH(A1192,INDIRECT("'"&amp;E1192&amp;"'!C"&amp;$O$1188&amp;":C"&amp;$O$1190),0)+$O$1188-1),"")</f>
        <v>D483</v>
      </c>
      <c r="D1192" s="1089" t="s">
        <v>1448</v>
      </c>
      <c r="E1192" s="1089" t="s">
        <v>1618</v>
      </c>
      <c r="F1192" s="1089"/>
      <c r="G1192" s="1089"/>
      <c r="H1192" s="1089"/>
      <c r="I1192" s="1026" t="str">
        <f t="shared" si="131"/>
        <v/>
      </c>
      <c r="J1192" s="1376"/>
      <c r="K1192" s="1376" t="str">
        <f t="shared" si="132"/>
        <v/>
      </c>
      <c r="L1192" s="1089" t="s">
        <v>1484</v>
      </c>
      <c r="M1192" s="1376">
        <v>1175</v>
      </c>
      <c r="N1192" s="1376"/>
      <c r="R1192" s="1376" t="s">
        <v>1168</v>
      </c>
    </row>
    <row r="1193" spans="1:18" s="1370" customFormat="1" x14ac:dyDescent="0.25">
      <c r="A1193" s="1121" t="s">
        <v>1485</v>
      </c>
      <c r="B1193" s="1089" t="str">
        <f ca="1">IFERROR(_xlfn.CONCAT("C",MATCH(A1193,INDIRECT("'"&amp;E1193&amp;"'!C"&amp;$O$1188&amp;":C"&amp;$O$1190),0)+$O$1188-1),"")</f>
        <v>C485</v>
      </c>
      <c r="C1193" s="1089" t="str">
        <f ca="1">IFERROR(_xlfn.CONCAT("D",MATCH(A1193,INDIRECT("'"&amp;E1193&amp;"'!C"&amp;$O$1188&amp;":C"&amp;$O$1190),0)+$O$1188-1),"")</f>
        <v>D485</v>
      </c>
      <c r="D1193" s="1089" t="s">
        <v>1448</v>
      </c>
      <c r="E1193" s="1089" t="s">
        <v>1618</v>
      </c>
      <c r="F1193" s="1089"/>
      <c r="G1193" s="1089"/>
      <c r="H1193" s="1089"/>
      <c r="I1193" s="1026" t="str">
        <f t="shared" si="131"/>
        <v/>
      </c>
      <c r="J1193" s="1376"/>
      <c r="K1193" s="1376" t="str">
        <f t="shared" si="132"/>
        <v/>
      </c>
      <c r="L1193" s="1089" t="s">
        <v>1485</v>
      </c>
      <c r="M1193" s="1376">
        <v>1176</v>
      </c>
      <c r="N1193" s="1376"/>
      <c r="R1193" s="1376" t="s">
        <v>1168</v>
      </c>
    </row>
    <row r="1194" spans="1:18" s="1370" customFormat="1" ht="30" x14ac:dyDescent="0.25">
      <c r="A1194" s="1121" t="s">
        <v>1597</v>
      </c>
      <c r="B1194" s="1089" t="str">
        <f ca="1">IFERROR(_xlfn.CONCAT("C",MATCH(A1194,INDIRECT("'"&amp;E1194&amp;"'!C"&amp;$O$1188&amp;":C"&amp;$O$1190),0)+$O$1188-1),"")</f>
        <v>C487</v>
      </c>
      <c r="C1194" s="1089" t="str">
        <f ca="1">IFERROR(_xlfn.CONCAT("D",MATCH(A1194,INDIRECT("'"&amp;E1194&amp;"'!C"&amp;$O$1188&amp;":C"&amp;$O$1190),0)+$O$1188-1),"")</f>
        <v>D487</v>
      </c>
      <c r="D1194" s="1089" t="s">
        <v>1448</v>
      </c>
      <c r="E1194" s="1089" t="s">
        <v>1618</v>
      </c>
      <c r="F1194" s="1089"/>
      <c r="G1194" s="1089"/>
      <c r="H1194" s="1089"/>
      <c r="I1194" s="1026" t="str">
        <f t="shared" si="131"/>
        <v>Incentive Dates Match Agreement Dates Flag</v>
      </c>
      <c r="J1194" s="1376" t="str">
        <f t="shared" si="133"/>
        <v>1177</v>
      </c>
      <c r="K1194" s="1376" t="str">
        <f t="shared" si="132"/>
        <v>Incentives Worksheet</v>
      </c>
      <c r="L1194" s="1089" t="s">
        <v>1597</v>
      </c>
      <c r="M1194" s="1376">
        <v>1177</v>
      </c>
      <c r="N1194" s="1376"/>
      <c r="R1194" s="1376" t="s">
        <v>1168</v>
      </c>
    </row>
    <row r="1195" spans="1:18" s="1370" customFormat="1" x14ac:dyDescent="0.25">
      <c r="A1195" s="1121" t="s">
        <v>1594</v>
      </c>
      <c r="B1195" s="1089" t="str">
        <f ca="1">_xlfn.CONCAT(IFERROR(SUBSTITUTE(ADDRESS(1,MATCH(A1195,INDIRECT("'"&amp;E1195&amp;"'"&amp;"!A" &amp; $O$1188 + 8 &amp; ":Z" &amp; $O$1188 + 8),0),4),1,""),""),$O$1188+ 8)</f>
        <v>H485</v>
      </c>
      <c r="C1195" s="1089" t="str">
        <f ca="1">_xlfn.CONCAT(IFERROR(SUBSTITUTE(ADDRESS(1,MATCH(A1195,INDIRECT("'"&amp;E1195&amp;"'"&amp;"!A" &amp; $O$1188 + 8 &amp; ":Z" &amp; $O$1188 + 8),0),4),1,""),""),$O$1188+ 9)</f>
        <v>H486</v>
      </c>
      <c r="D1195" s="1089" t="s">
        <v>1448</v>
      </c>
      <c r="E1195" s="1089" t="s">
        <v>1618</v>
      </c>
      <c r="F1195" s="1089"/>
      <c r="G1195" s="1089"/>
      <c r="H1195" s="1089"/>
      <c r="I1195" s="1026" t="str">
        <f t="shared" si="131"/>
        <v>Include All Customers Flag</v>
      </c>
      <c r="J1195" s="1376" t="str">
        <f t="shared" si="133"/>
        <v>1178</v>
      </c>
      <c r="K1195" s="1376" t="str">
        <f t="shared" si="132"/>
        <v>Incentives Worksheet</v>
      </c>
      <c r="L1195" s="1089" t="s">
        <v>1594</v>
      </c>
      <c r="M1195" s="1376">
        <v>1178</v>
      </c>
      <c r="N1195" s="1376"/>
      <c r="R1195" s="1376" t="s">
        <v>1168</v>
      </c>
    </row>
    <row r="1196" spans="1:18" s="1370" customFormat="1" x14ac:dyDescent="0.25">
      <c r="A1196" s="1121" t="s">
        <v>1495</v>
      </c>
      <c r="B1196" s="1089" t="str">
        <f ca="1">_xlfn.CONCAT(IFERROR(SUBSTITUTE(ADDRESS(1,MATCH(A1196,INDIRECT("'"&amp;E1196&amp;"'"&amp;"!A" &amp; $O$1188 + 5 &amp; ":Z" &amp; $O$1188 + 5),0),4),1,""),""),$O$1188+ 5)</f>
        <v>H482</v>
      </c>
      <c r="C1196" s="1089" t="str">
        <f ca="1">_xlfn.CONCAT(IFERROR(SUBSTITUTE(ADDRESS(1,MATCH(A1196,INDIRECT("'"&amp;E1196&amp;"'"&amp;"!A" &amp; $O$1188 + 5 &amp; ":Z" &amp; $O$1188 + 5),0),4),1,""),""),$O$1188+ 6)</f>
        <v>H483</v>
      </c>
      <c r="D1196" s="1089" t="s">
        <v>1448</v>
      </c>
      <c r="E1196" s="1089" t="s">
        <v>1618</v>
      </c>
      <c r="F1196" s="1089"/>
      <c r="G1196" s="1089"/>
      <c r="H1196" s="1089"/>
      <c r="I1196" s="1026" t="str">
        <f t="shared" si="131"/>
        <v/>
      </c>
      <c r="J1196" s="1376"/>
      <c r="K1196" s="1376" t="str">
        <f t="shared" si="132"/>
        <v/>
      </c>
      <c r="L1196" s="1089" t="s">
        <v>1495</v>
      </c>
      <c r="M1196" s="1376">
        <v>1179</v>
      </c>
      <c r="N1196" s="1376"/>
      <c r="R1196" s="1376" t="s">
        <v>1168</v>
      </c>
    </row>
    <row r="1197" spans="1:18" s="1370" customFormat="1" x14ac:dyDescent="0.25">
      <c r="A1197" s="1121" t="s">
        <v>1583</v>
      </c>
      <c r="B1197" s="1089" t="str">
        <f ca="1">_xlfn.CONCAT(IFERROR(SUBSTITUTE(ADDRESS(1,MATCH(A1197,INDIRECT("'"&amp;E1197&amp;"'"&amp;"!A" &amp; $O$1188 + 5 &amp; ":Z" &amp; $O$1188 + 5),0),4),1,""),""),$O$1188+ 6)</f>
        <v>J483</v>
      </c>
      <c r="C1197" s="1089" t="str">
        <f t="shared" ref="C1197:C1211" ca="1" si="135">IFERROR(SUBSTITUTE(ADDRESS(1,MATCH(A1197,INDIRECT("'"&amp;E1197&amp;"'"&amp;"!A" &amp; $O$1188 + 5 &amp; ":Z" &amp; $O$1188 + 5),0),4),1,""),"")</f>
        <v>J</v>
      </c>
      <c r="D1197" s="1089" t="s">
        <v>1455</v>
      </c>
      <c r="E1197" s="1089" t="s">
        <v>1618</v>
      </c>
      <c r="F1197" s="1089"/>
      <c r="G1197" s="1089"/>
      <c r="H1197" s="1089"/>
      <c r="I1197" s="1026" t="str">
        <f t="shared" si="131"/>
        <v/>
      </c>
      <c r="J1197" s="1376"/>
      <c r="K1197" s="1376" t="str">
        <f t="shared" si="132"/>
        <v/>
      </c>
      <c r="L1197" s="1089" t="s">
        <v>1583</v>
      </c>
      <c r="M1197" s="1376">
        <v>1180</v>
      </c>
      <c r="N1197" s="1376"/>
      <c r="R1197" s="1376" t="s">
        <v>1168</v>
      </c>
    </row>
    <row r="1198" spans="1:18" s="1370" customFormat="1" x14ac:dyDescent="0.25">
      <c r="A1198" s="1121" t="s">
        <v>751</v>
      </c>
      <c r="B1198" s="1089" t="str">
        <f ca="1">_xlfn.CONCAT(IFERROR(SUBSTITUTE(ADDRESS(1,MATCH(A1198,INDIRECT("'"&amp;E1198&amp;"'"&amp;"!A" &amp; $O$1188 + 5 &amp; ":Z" &amp; $O$1188 + 5),0),4),1,""),""),$O$1188+ 6)</f>
        <v>L483</v>
      </c>
      <c r="C1198" s="1089" t="str">
        <f t="shared" ca="1" si="135"/>
        <v>L</v>
      </c>
      <c r="D1198" s="1089" t="s">
        <v>1455</v>
      </c>
      <c r="E1198" s="1089" t="s">
        <v>1618</v>
      </c>
      <c r="F1198" s="1089"/>
      <c r="G1198" s="1089"/>
      <c r="H1198" s="1089"/>
      <c r="I1198" s="1026" t="str">
        <f t="shared" si="131"/>
        <v/>
      </c>
      <c r="J1198" s="1376"/>
      <c r="K1198" s="1376" t="str">
        <f t="shared" si="132"/>
        <v/>
      </c>
      <c r="L1198" s="1089" t="s">
        <v>751</v>
      </c>
      <c r="M1198" s="1376">
        <v>1181</v>
      </c>
      <c r="N1198" s="1376"/>
      <c r="R1198" s="1376" t="s">
        <v>1168</v>
      </c>
    </row>
    <row r="1199" spans="1:18" s="1370" customFormat="1" x14ac:dyDescent="0.25">
      <c r="A1199" s="1121" t="s">
        <v>1725</v>
      </c>
      <c r="B1199" s="1089" t="str">
        <f ca="1">_xlfn.CONCAT(IFERROR(SUBSTITUTE(ADDRESS(1,MATCH(A1199,INDIRECT("'"&amp;E1199&amp;"'"&amp;"!A" &amp; $O$1188 + 5 &amp; ":Z" &amp; $O$1188 + 5),0),4),1,""),""),$O$1188+ 6)</f>
        <v>N483</v>
      </c>
      <c r="C1199" s="1089" t="str">
        <f t="shared" ca="1" si="135"/>
        <v>N</v>
      </c>
      <c r="D1199" s="1089" t="s">
        <v>1455</v>
      </c>
      <c r="E1199" s="1089" t="s">
        <v>1618</v>
      </c>
      <c r="F1199" s="1089"/>
      <c r="G1199" s="1089"/>
      <c r="H1199" s="1089"/>
      <c r="I1199" s="1026" t="str">
        <f t="shared" si="131"/>
        <v/>
      </c>
      <c r="J1199" s="1376"/>
      <c r="K1199" s="1376" t="str">
        <f t="shared" si="132"/>
        <v/>
      </c>
      <c r="L1199" s="1089" t="s">
        <v>1725</v>
      </c>
      <c r="M1199" s="1376">
        <v>1182</v>
      </c>
      <c r="N1199" s="1376"/>
      <c r="R1199" s="1376" t="s">
        <v>1168</v>
      </c>
    </row>
    <row r="1200" spans="1:18" s="1370" customFormat="1" x14ac:dyDescent="0.25">
      <c r="A1200" s="1121" t="s">
        <v>1583</v>
      </c>
      <c r="B1200" s="1089" t="str">
        <f ca="1">_xlfn.CONCAT(IFERROR(SUBSTITUTE(ADDRESS(1,MATCH(A1200,INDIRECT("'"&amp;E1200&amp;"'"&amp;"!A" &amp; $O$1188 + 5 &amp; ":Z" &amp; $O$1188 + 5),0),4),1,""),""),$O$1188+ 7)</f>
        <v>J484</v>
      </c>
      <c r="C1200" s="1089" t="str">
        <f t="shared" ca="1" si="135"/>
        <v>J</v>
      </c>
      <c r="D1200" s="1089" t="s">
        <v>1455</v>
      </c>
      <c r="E1200" s="1089" t="s">
        <v>1618</v>
      </c>
      <c r="F1200" s="1089"/>
      <c r="G1200" s="1089"/>
      <c r="H1200" s="1089"/>
      <c r="I1200" s="1026" t="str">
        <f t="shared" si="131"/>
        <v/>
      </c>
      <c r="J1200" s="1376"/>
      <c r="K1200" s="1376" t="str">
        <f t="shared" si="132"/>
        <v/>
      </c>
      <c r="L1200" s="1089" t="s">
        <v>1583</v>
      </c>
      <c r="M1200" s="1376">
        <v>1183</v>
      </c>
      <c r="N1200" s="1376"/>
      <c r="R1200" s="1376" t="s">
        <v>1168</v>
      </c>
    </row>
    <row r="1201" spans="1:18" s="1370" customFormat="1" x14ac:dyDescent="0.25">
      <c r="A1201" s="1121" t="s">
        <v>751</v>
      </c>
      <c r="B1201" s="1089" t="str">
        <f ca="1">_xlfn.CONCAT(IFERROR(SUBSTITUTE(ADDRESS(1,MATCH(A1201,INDIRECT("'"&amp;E1201&amp;"'"&amp;"!A" &amp; $O$1188 + 5 &amp; ":Z" &amp; $O$1188 + 5),0),4),1,""),""),$O$1188+ 7)</f>
        <v>L484</v>
      </c>
      <c r="C1201" s="1089" t="str">
        <f t="shared" ca="1" si="135"/>
        <v>L</v>
      </c>
      <c r="D1201" s="1089" t="s">
        <v>1455</v>
      </c>
      <c r="E1201" s="1089" t="s">
        <v>1618</v>
      </c>
      <c r="F1201" s="1089"/>
      <c r="G1201" s="1089"/>
      <c r="H1201" s="1089"/>
      <c r="I1201" s="1026" t="str">
        <f t="shared" si="131"/>
        <v/>
      </c>
      <c r="J1201" s="1376"/>
      <c r="K1201" s="1376" t="str">
        <f t="shared" si="132"/>
        <v/>
      </c>
      <c r="L1201" s="1089" t="s">
        <v>751</v>
      </c>
      <c r="M1201" s="1376">
        <v>1184</v>
      </c>
      <c r="N1201" s="1376"/>
      <c r="R1201" s="1376" t="s">
        <v>1168</v>
      </c>
    </row>
    <row r="1202" spans="1:18" s="1370" customFormat="1" x14ac:dyDescent="0.25">
      <c r="A1202" s="1121" t="s">
        <v>1725</v>
      </c>
      <c r="B1202" s="1089" t="str">
        <f ca="1">_xlfn.CONCAT(IFERROR(SUBSTITUTE(ADDRESS(1,MATCH(A1202,INDIRECT("'"&amp;E1202&amp;"'"&amp;"!A" &amp; $O$1188 + 5 &amp; ":Z" &amp; $O$1188 + 5),0),4),1,""),""),$O$1188+ 7)</f>
        <v>N484</v>
      </c>
      <c r="C1202" s="1089" t="str">
        <f t="shared" ca="1" si="135"/>
        <v>N</v>
      </c>
      <c r="D1202" s="1089" t="s">
        <v>1455</v>
      </c>
      <c r="E1202" s="1089" t="s">
        <v>1618</v>
      </c>
      <c r="F1202" s="1089"/>
      <c r="G1202" s="1089"/>
      <c r="H1202" s="1089"/>
      <c r="I1202" s="1026" t="str">
        <f t="shared" si="131"/>
        <v/>
      </c>
      <c r="J1202" s="1376"/>
      <c r="K1202" s="1376" t="str">
        <f t="shared" si="132"/>
        <v/>
      </c>
      <c r="L1202" s="1089" t="s">
        <v>1725</v>
      </c>
      <c r="M1202" s="1376">
        <v>1185</v>
      </c>
      <c r="N1202" s="1376"/>
      <c r="R1202" s="1376" t="s">
        <v>1168</v>
      </c>
    </row>
    <row r="1203" spans="1:18" s="1370" customFormat="1" x14ac:dyDescent="0.25">
      <c r="A1203" s="1121" t="s">
        <v>1583</v>
      </c>
      <c r="B1203" s="1089" t="str">
        <f ca="1">_xlfn.CONCAT(IFERROR(SUBSTITUTE(ADDRESS(1,MATCH(A1203,INDIRECT("'"&amp;E1203&amp;"'"&amp;"!A" &amp; $O$1188 + 5 &amp; ":Z" &amp; $O$1188 + 5),0),4),1,""),""),$O$1188+ 8)</f>
        <v>J485</v>
      </c>
      <c r="C1203" s="1089" t="str">
        <f t="shared" ca="1" si="135"/>
        <v>J</v>
      </c>
      <c r="D1203" s="1089" t="s">
        <v>1455</v>
      </c>
      <c r="E1203" s="1089" t="s">
        <v>1618</v>
      </c>
      <c r="F1203" s="1089"/>
      <c r="G1203" s="1089"/>
      <c r="H1203" s="1089"/>
      <c r="I1203" s="1026" t="str">
        <f t="shared" si="131"/>
        <v/>
      </c>
      <c r="J1203" s="1376"/>
      <c r="K1203" s="1376" t="str">
        <f t="shared" si="132"/>
        <v/>
      </c>
      <c r="L1203" s="1089" t="s">
        <v>1583</v>
      </c>
      <c r="M1203" s="1376">
        <v>1186</v>
      </c>
      <c r="N1203" s="1376"/>
      <c r="R1203" s="1376" t="s">
        <v>1168</v>
      </c>
    </row>
    <row r="1204" spans="1:18" s="1370" customFormat="1" x14ac:dyDescent="0.25">
      <c r="A1204" s="1121" t="s">
        <v>751</v>
      </c>
      <c r="B1204" s="1089" t="str">
        <f ca="1">_xlfn.CONCAT(IFERROR(SUBSTITUTE(ADDRESS(1,MATCH(A1204,INDIRECT("'"&amp;E1204&amp;"'"&amp;"!A" &amp; $O$1188 + 5 &amp; ":Z" &amp; $O$1188 + 5),0),4),1,""),""),$O$1188+ 8)</f>
        <v>L485</v>
      </c>
      <c r="C1204" s="1089" t="str">
        <f t="shared" ca="1" si="135"/>
        <v>L</v>
      </c>
      <c r="D1204" s="1089" t="s">
        <v>1455</v>
      </c>
      <c r="E1204" s="1089" t="s">
        <v>1618</v>
      </c>
      <c r="F1204" s="1089"/>
      <c r="G1204" s="1089"/>
      <c r="H1204" s="1089"/>
      <c r="I1204" s="1026" t="str">
        <f t="shared" si="131"/>
        <v/>
      </c>
      <c r="J1204" s="1376"/>
      <c r="K1204" s="1376" t="str">
        <f t="shared" si="132"/>
        <v/>
      </c>
      <c r="L1204" s="1089" t="s">
        <v>751</v>
      </c>
      <c r="M1204" s="1376">
        <v>1187</v>
      </c>
      <c r="N1204" s="1376"/>
      <c r="R1204" s="1376" t="s">
        <v>1168</v>
      </c>
    </row>
    <row r="1205" spans="1:18" s="1370" customFormat="1" x14ac:dyDescent="0.25">
      <c r="A1205" s="1121" t="s">
        <v>1725</v>
      </c>
      <c r="B1205" s="1089" t="str">
        <f ca="1">_xlfn.CONCAT(IFERROR(SUBSTITUTE(ADDRESS(1,MATCH(A1205,INDIRECT("'"&amp;E1205&amp;"'"&amp;"!A" &amp; $O$1188 + 5 &amp; ":Z" &amp; $O$1188 + 5),0),4),1,""),""),$O$1188+ 8)</f>
        <v>N485</v>
      </c>
      <c r="C1205" s="1089" t="str">
        <f t="shared" ca="1" si="135"/>
        <v>N</v>
      </c>
      <c r="D1205" s="1089" t="s">
        <v>1455</v>
      </c>
      <c r="E1205" s="1089" t="s">
        <v>1618</v>
      </c>
      <c r="F1205" s="1089"/>
      <c r="G1205" s="1089"/>
      <c r="H1205" s="1089"/>
      <c r="I1205" s="1026" t="str">
        <f t="shared" si="131"/>
        <v/>
      </c>
      <c r="J1205" s="1376"/>
      <c r="K1205" s="1376" t="str">
        <f t="shared" si="132"/>
        <v/>
      </c>
      <c r="L1205" s="1089" t="s">
        <v>1725</v>
      </c>
      <c r="M1205" s="1376">
        <v>1188</v>
      </c>
      <c r="N1205" s="1376"/>
      <c r="R1205" s="1376" t="s">
        <v>1168</v>
      </c>
    </row>
    <row r="1206" spans="1:18" s="1370" customFormat="1" x14ac:dyDescent="0.25">
      <c r="A1206" s="1121" t="s">
        <v>1583</v>
      </c>
      <c r="B1206" s="1089" t="str">
        <f ca="1">_xlfn.CONCAT(IFERROR(SUBSTITUTE(ADDRESS(1,MATCH(A1206,INDIRECT("'"&amp;E1206&amp;"'"&amp;"!A" &amp; $O$1188 + 5 &amp; ":Z" &amp; $O$1188 + 5),0),4),1,""),""),$O$1188+ 9)</f>
        <v>J486</v>
      </c>
      <c r="C1206" s="1089" t="str">
        <f t="shared" ca="1" si="135"/>
        <v>J</v>
      </c>
      <c r="D1206" s="1089" t="s">
        <v>1455</v>
      </c>
      <c r="E1206" s="1089" t="s">
        <v>1618</v>
      </c>
      <c r="F1206" s="1089"/>
      <c r="G1206" s="1089"/>
      <c r="H1206" s="1089"/>
      <c r="I1206" s="1026" t="str">
        <f t="shared" si="131"/>
        <v/>
      </c>
      <c r="J1206" s="1376"/>
      <c r="K1206" s="1376" t="str">
        <f t="shared" si="132"/>
        <v/>
      </c>
      <c r="L1206" s="1089" t="s">
        <v>1583</v>
      </c>
      <c r="M1206" s="1376">
        <v>1189</v>
      </c>
      <c r="N1206" s="1376"/>
      <c r="R1206" s="1376" t="s">
        <v>1168</v>
      </c>
    </row>
    <row r="1207" spans="1:18" s="1370" customFormat="1" x14ac:dyDescent="0.25">
      <c r="A1207" s="1121" t="s">
        <v>751</v>
      </c>
      <c r="B1207" s="1089" t="str">
        <f ca="1">_xlfn.CONCAT(IFERROR(SUBSTITUTE(ADDRESS(1,MATCH(A1207,INDIRECT("'"&amp;E1207&amp;"'"&amp;"!A" &amp; $O$1188 + 5 &amp; ":Z" &amp; $O$1188 + 5),0),4),1,""),""),$O$1188+ 9)</f>
        <v>L486</v>
      </c>
      <c r="C1207" s="1089" t="str">
        <f t="shared" ca="1" si="135"/>
        <v>L</v>
      </c>
      <c r="D1207" s="1089" t="s">
        <v>1455</v>
      </c>
      <c r="E1207" s="1089" t="s">
        <v>1618</v>
      </c>
      <c r="F1207" s="1089"/>
      <c r="G1207" s="1089"/>
      <c r="H1207" s="1089"/>
      <c r="I1207" s="1026" t="str">
        <f t="shared" si="131"/>
        <v/>
      </c>
      <c r="J1207" s="1376"/>
      <c r="K1207" s="1376" t="str">
        <f t="shared" si="132"/>
        <v/>
      </c>
      <c r="L1207" s="1089" t="s">
        <v>751</v>
      </c>
      <c r="M1207" s="1376">
        <v>1190</v>
      </c>
      <c r="N1207" s="1376"/>
      <c r="R1207" s="1376" t="s">
        <v>1168</v>
      </c>
    </row>
    <row r="1208" spans="1:18" s="1370" customFormat="1" x14ac:dyDescent="0.25">
      <c r="A1208" s="1121" t="s">
        <v>1725</v>
      </c>
      <c r="B1208" s="1089" t="str">
        <f ca="1">_xlfn.CONCAT(IFERROR(SUBSTITUTE(ADDRESS(1,MATCH(A1208,INDIRECT("'"&amp;E1208&amp;"'"&amp;"!A" &amp; $O$1188 + 5 &amp; ":Z" &amp; $O$1188 + 5),0),4),1,""),""),$O$1188+ 9)</f>
        <v>N486</v>
      </c>
      <c r="C1208" s="1089" t="str">
        <f t="shared" ca="1" si="135"/>
        <v>N</v>
      </c>
      <c r="D1208" s="1089" t="s">
        <v>1455</v>
      </c>
      <c r="E1208" s="1089" t="s">
        <v>1618</v>
      </c>
      <c r="F1208" s="1089"/>
      <c r="G1208" s="1089"/>
      <c r="H1208" s="1089"/>
      <c r="I1208" s="1026" t="str">
        <f t="shared" si="131"/>
        <v/>
      </c>
      <c r="J1208" s="1376"/>
      <c r="K1208" s="1376" t="str">
        <f t="shared" si="132"/>
        <v/>
      </c>
      <c r="L1208" s="1089" t="s">
        <v>1725</v>
      </c>
      <c r="M1208" s="1376">
        <v>1191</v>
      </c>
      <c r="N1208" s="1376"/>
      <c r="R1208" s="1376" t="s">
        <v>1168</v>
      </c>
    </row>
    <row r="1209" spans="1:18" s="1370" customFormat="1" x14ac:dyDescent="0.25">
      <c r="A1209" s="1121" t="s">
        <v>1583</v>
      </c>
      <c r="B1209" s="1089" t="str">
        <f ca="1">_xlfn.CONCAT(IFERROR(SUBSTITUTE(ADDRESS(1,MATCH(A1209,INDIRECT("'"&amp;E1209&amp;"'"&amp;"!A" &amp; $O$1188 + 5 &amp; ":Z" &amp; $O$1188 + 5),0),4),1,""),""),$O$1188+ 10)</f>
        <v>J487</v>
      </c>
      <c r="C1209" s="1089" t="str">
        <f t="shared" ca="1" si="135"/>
        <v>J</v>
      </c>
      <c r="D1209" s="1089" t="s">
        <v>1455</v>
      </c>
      <c r="E1209" s="1089" t="s">
        <v>1618</v>
      </c>
      <c r="F1209" s="1089"/>
      <c r="G1209" s="1089"/>
      <c r="H1209" s="1089"/>
      <c r="I1209" s="1026" t="str">
        <f t="shared" si="131"/>
        <v/>
      </c>
      <c r="J1209" s="1376"/>
      <c r="K1209" s="1376" t="str">
        <f t="shared" si="132"/>
        <v/>
      </c>
      <c r="L1209" s="1089" t="s">
        <v>1583</v>
      </c>
      <c r="M1209" s="1376">
        <v>1192</v>
      </c>
      <c r="N1209" s="1376"/>
      <c r="R1209" s="1376" t="s">
        <v>1168</v>
      </c>
    </row>
    <row r="1210" spans="1:18" s="1370" customFormat="1" x14ac:dyDescent="0.25">
      <c r="A1210" s="1121" t="s">
        <v>751</v>
      </c>
      <c r="B1210" s="1089" t="str">
        <f ca="1">_xlfn.CONCAT(IFERROR(SUBSTITUTE(ADDRESS(1,MATCH(A1210,INDIRECT("'"&amp;E1210&amp;"'"&amp;"!A" &amp; $O$1188 + 5 &amp; ":Z" &amp; $O$1188 + 5),0),4),1,""),""),$O$1188+ 10)</f>
        <v>L487</v>
      </c>
      <c r="C1210" s="1089" t="str">
        <f t="shared" ca="1" si="135"/>
        <v>L</v>
      </c>
      <c r="D1210" s="1089" t="s">
        <v>1455</v>
      </c>
      <c r="E1210" s="1089" t="s">
        <v>1618</v>
      </c>
      <c r="F1210" s="1089"/>
      <c r="G1210" s="1089"/>
      <c r="H1210" s="1089"/>
      <c r="I1210" s="1026" t="str">
        <f t="shared" si="131"/>
        <v/>
      </c>
      <c r="J1210" s="1376"/>
      <c r="K1210" s="1376" t="str">
        <f t="shared" si="132"/>
        <v/>
      </c>
      <c r="L1210" s="1089" t="s">
        <v>751</v>
      </c>
      <c r="M1210" s="1376">
        <v>1193</v>
      </c>
      <c r="N1210" s="1376"/>
      <c r="R1210" s="1376" t="s">
        <v>1168</v>
      </c>
    </row>
    <row r="1211" spans="1:18" s="1370" customFormat="1" x14ac:dyDescent="0.25">
      <c r="A1211" s="1121" t="s">
        <v>1725</v>
      </c>
      <c r="B1211" s="1089" t="str">
        <f ca="1">_xlfn.CONCAT(IFERROR(SUBSTITUTE(ADDRESS(1,MATCH(A1211,INDIRECT("'"&amp;E1211&amp;"'"&amp;"!A" &amp; $O$1188 + 5 &amp; ":Z" &amp; $O$1188 + 5),0),4),1,""),""),$O$1188+ 10)</f>
        <v>N487</v>
      </c>
      <c r="C1211" s="1089" t="str">
        <f t="shared" ca="1" si="135"/>
        <v>N</v>
      </c>
      <c r="D1211" s="1089" t="s">
        <v>1455</v>
      </c>
      <c r="E1211" s="1089" t="s">
        <v>1618</v>
      </c>
      <c r="F1211" s="1089"/>
      <c r="G1211" s="1089"/>
      <c r="H1211" s="1089"/>
      <c r="I1211" s="1026" t="str">
        <f t="shared" si="131"/>
        <v/>
      </c>
      <c r="J1211" s="1376"/>
      <c r="K1211" s="1376" t="str">
        <f t="shared" si="132"/>
        <v/>
      </c>
      <c r="L1211" s="1089" t="s">
        <v>1725</v>
      </c>
      <c r="M1211" s="1376">
        <v>1194</v>
      </c>
      <c r="N1211" s="1376"/>
      <c r="R1211" s="1376" t="s">
        <v>1168</v>
      </c>
    </row>
    <row r="1212" spans="1:18" s="1370" customFormat="1" x14ac:dyDescent="0.25">
      <c r="A1212" s="1118" t="s">
        <v>1593</v>
      </c>
      <c r="B1212" s="1089" t="str">
        <f ca="1">IFERROR(_xlfn.CONCAT("C",MATCH(A1212,INDIRECT("'"&amp;E1212&amp;"'!C"&amp;$O$1213&amp;":C"&amp;$O$1215),0)+$O$1213-1),"")</f>
        <v>C495</v>
      </c>
      <c r="C1212" s="1089" t="str">
        <f ca="1">IFERROR(_xlfn.CONCAT("D",MATCH(A1212,INDIRECT("'"&amp;E1212&amp;"'!C"&amp;$O$1213&amp;":C"&amp;$O$1215),0)+$O$1213-1),"")</f>
        <v>D495</v>
      </c>
      <c r="D1212" s="1089" t="s">
        <v>1448</v>
      </c>
      <c r="E1212" s="1089" t="s">
        <v>1618</v>
      </c>
      <c r="F1212" s="1089"/>
      <c r="G1212" s="1089"/>
      <c r="H1212" s="1089"/>
      <c r="I1212" s="1026" t="str">
        <f t="shared" si="131"/>
        <v/>
      </c>
      <c r="J1212" s="1376"/>
      <c r="K1212" s="1376" t="str">
        <f t="shared" si="132"/>
        <v/>
      </c>
      <c r="L1212" s="1089" t="s">
        <v>1593</v>
      </c>
      <c r="M1212" s="1376">
        <v>1195</v>
      </c>
      <c r="N1212" s="1376"/>
      <c r="O1212" s="1370" t="s">
        <v>742</v>
      </c>
      <c r="R1212" s="1376" t="s">
        <v>1245</v>
      </c>
    </row>
    <row r="1213" spans="1:18" s="1370" customFormat="1" x14ac:dyDescent="0.25">
      <c r="A1213" s="1118" t="s">
        <v>1809</v>
      </c>
      <c r="B1213" s="1089" t="str">
        <f ca="1">_xlfn.CONCAT(IFERROR(SUBSTITUTE(ADDRESS(1,MATCH(A1213,INDIRECT("'"&amp;E1213&amp;"'"&amp;"!A" &amp; $O$1213 + 9 &amp; ":Z" &amp; $O$1213 + 9),0),4),1,""),""),$O$1213+ 9)</f>
        <v>T500</v>
      </c>
      <c r="C1213" s="1089" t="str">
        <f ca="1">_xlfn.CONCAT(IFERROR(SUBSTITUTE(ADDRESS(1,MATCH(A1213,INDIRECT("'"&amp;E1213&amp;"'"&amp;"!A" &amp; $O$1213 + 9 &amp; ":Z" &amp; $O$1213 + 9),0),4),1,""),""),$O$1213+ 10)</f>
        <v>T501</v>
      </c>
      <c r="D1213" s="1089" t="s">
        <v>1448</v>
      </c>
      <c r="E1213" s="1089" t="s">
        <v>1618</v>
      </c>
      <c r="F1213" s="1089"/>
      <c r="G1213" s="1089"/>
      <c r="H1213" s="1089"/>
      <c r="I1213" s="1026" t="str">
        <f t="shared" si="131"/>
        <v/>
      </c>
      <c r="J1213" s="1376"/>
      <c r="K1213" s="1376" t="str">
        <f t="shared" si="132"/>
        <v/>
      </c>
      <c r="L1213" s="1089" t="s">
        <v>1809</v>
      </c>
      <c r="M1213" s="1376">
        <v>1196</v>
      </c>
      <c r="N1213" s="1376"/>
      <c r="O1213" s="1370">
        <f>'Configurable Tab'!H37</f>
        <v>491</v>
      </c>
      <c r="Q1213" s="1370" t="s">
        <v>653</v>
      </c>
      <c r="R1213" s="1376" t="s">
        <v>1245</v>
      </c>
    </row>
    <row r="1214" spans="1:18" s="1370" customFormat="1" x14ac:dyDescent="0.25">
      <c r="A1214" s="1118" t="s">
        <v>1482</v>
      </c>
      <c r="B1214" s="1089" t="str">
        <f ca="1">IFERROR(_xlfn.CONCAT("C",MATCH(A1214,INDIRECT("'"&amp;E1214&amp;"'!C"&amp;$O$1213&amp;":C"&amp;$O$1215),0)+$O$1213-1),"")</f>
        <v>C493</v>
      </c>
      <c r="C1214" s="1089" t="str">
        <f ca="1">IFERROR(_xlfn.CONCAT("D",MATCH(A1214,INDIRECT("'"&amp;E1214&amp;"'!C"&amp;$O$1213&amp;":C"&amp;$O$1215),0)+$O$1213-1),"")</f>
        <v>D493</v>
      </c>
      <c r="D1214" s="1089" t="s">
        <v>1448</v>
      </c>
      <c r="E1214" s="1089" t="s">
        <v>1618</v>
      </c>
      <c r="I1214" s="1026" t="str">
        <f t="shared" si="131"/>
        <v/>
      </c>
      <c r="J1214" s="1376"/>
      <c r="K1214" s="1376" t="str">
        <f t="shared" si="132"/>
        <v/>
      </c>
      <c r="L1214" s="1089" t="s">
        <v>1482</v>
      </c>
      <c r="M1214" s="1376">
        <v>1197</v>
      </c>
      <c r="N1214" s="1376"/>
      <c r="O1214" s="1370" t="s">
        <v>743</v>
      </c>
      <c r="R1214" s="1376" t="s">
        <v>1245</v>
      </c>
    </row>
    <row r="1215" spans="1:18" s="1370" customFormat="1" x14ac:dyDescent="0.25">
      <c r="A1215" s="1118" t="s">
        <v>1480</v>
      </c>
      <c r="B1215" s="1089" t="str">
        <f ca="1">_xlfn.CONCAT(IFERROR(SUBSTITUTE(ADDRESS(1,MATCH(A1215,INDIRECT("'"&amp;E1215&amp;"'"&amp;"!A" &amp; $O$1213 + 2 &amp; ":Z" &amp; $O$1213 + 2),0),4),1,""),""),$O$1213+ 2)</f>
        <v>J493</v>
      </c>
      <c r="C1215" s="1089" t="str">
        <f ca="1">_xlfn.CONCAT(IFERROR(SUBSTITUTE(ADDRESS(1,MATCH(A1215,INDIRECT("'"&amp;E1215&amp;"'"&amp;"!A" &amp; $O$1213 + 2 &amp; ":Z" &amp; $O$1213 + 2),0),4),1,""),""),$O$1213+ 3)</f>
        <v>J494</v>
      </c>
      <c r="D1215" s="1089" t="s">
        <v>1448</v>
      </c>
      <c r="E1215" s="1089" t="s">
        <v>1618</v>
      </c>
      <c r="I1215" s="1026" t="str">
        <f t="shared" si="131"/>
        <v/>
      </c>
      <c r="J1215" s="1376"/>
      <c r="K1215" s="1376" t="str">
        <f t="shared" si="132"/>
        <v/>
      </c>
      <c r="L1215" s="1089" t="s">
        <v>1480</v>
      </c>
      <c r="M1215" s="1376">
        <v>1198</v>
      </c>
      <c r="N1215" s="1376"/>
      <c r="O1215" s="1370">
        <f>'Configurable Tab'!I37</f>
        <v>502</v>
      </c>
      <c r="R1215" s="1376" t="s">
        <v>1245</v>
      </c>
    </row>
    <row r="1216" spans="1:18" s="1370" customFormat="1" x14ac:dyDescent="0.25">
      <c r="A1216" s="1118" t="s">
        <v>1484</v>
      </c>
      <c r="B1216" s="1089" t="str">
        <f ca="1">IFERROR(_xlfn.CONCAT("C",MATCH(A1216,INDIRECT("'"&amp;E1216&amp;"'!C"&amp;$O$1213&amp;":C"&amp;$O$1215),0)+$O$1213-1),"")</f>
        <v>C497</v>
      </c>
      <c r="C1216" s="1089" t="str">
        <f ca="1">IFERROR(_xlfn.CONCAT("D",MATCH(A1216,INDIRECT("'"&amp;E1216&amp;"'!C"&amp;$O$1213&amp;":C"&amp;$O$1215),0)+$O$1213-1),"")</f>
        <v>D497</v>
      </c>
      <c r="D1216" s="1089" t="s">
        <v>1448</v>
      </c>
      <c r="E1216" s="1089" t="s">
        <v>1618</v>
      </c>
      <c r="I1216" s="1026" t="str">
        <f t="shared" si="131"/>
        <v/>
      </c>
      <c r="J1216" s="1376"/>
      <c r="K1216" s="1376" t="str">
        <f t="shared" si="132"/>
        <v/>
      </c>
      <c r="L1216" s="1089" t="s">
        <v>1484</v>
      </c>
      <c r="M1216" s="1376">
        <v>1199</v>
      </c>
      <c r="N1216" s="1376"/>
      <c r="O1216" s="1370" t="s">
        <v>1766</v>
      </c>
      <c r="R1216" s="1376" t="s">
        <v>1245</v>
      </c>
    </row>
    <row r="1217" spans="1:18" s="1370" customFormat="1" x14ac:dyDescent="0.25">
      <c r="A1217" s="1118" t="s">
        <v>1485</v>
      </c>
      <c r="B1217" s="1089" t="str">
        <f ca="1">IFERROR(_xlfn.CONCAT("C",MATCH(A1217,INDIRECT("'"&amp;E1217&amp;"'!C"&amp;$O$1213&amp;":C"&amp;$O$1215),0)+$O$1213-1),"")</f>
        <v>C499</v>
      </c>
      <c r="C1217" s="1089" t="str">
        <f ca="1">IFERROR(_xlfn.CONCAT("D",MATCH(A1217,INDIRECT("'"&amp;E1217&amp;"'!C"&amp;$O$1213&amp;":C"&amp;$O$1215),0)+$O$1213-1),"")</f>
        <v>D499</v>
      </c>
      <c r="D1217" s="1089" t="s">
        <v>1448</v>
      </c>
      <c r="E1217" s="1089" t="s">
        <v>1618</v>
      </c>
      <c r="I1217" s="1026" t="str">
        <f t="shared" si="131"/>
        <v/>
      </c>
      <c r="J1217" s="1376"/>
      <c r="K1217" s="1376" t="str">
        <f t="shared" si="132"/>
        <v/>
      </c>
      <c r="L1217" s="1089" t="s">
        <v>1485</v>
      </c>
      <c r="M1217" s="1376">
        <v>1200</v>
      </c>
      <c r="N1217" s="1376"/>
      <c r="R1217" s="1376" t="s">
        <v>1245</v>
      </c>
    </row>
    <row r="1218" spans="1:18" s="1370" customFormat="1" ht="30" x14ac:dyDescent="0.25">
      <c r="A1218" s="1118" t="s">
        <v>1597</v>
      </c>
      <c r="B1218" s="1089" t="str">
        <f ca="1">IFERROR(_xlfn.CONCAT("C",MATCH(A1218,INDIRECT("'"&amp;E1218&amp;"'!C"&amp;$O$1213&amp;":C"&amp;$O$1215),0)+$O$1213-1),"")</f>
        <v>C501</v>
      </c>
      <c r="C1218" s="1089" t="str">
        <f ca="1">IFERROR(_xlfn.CONCAT("D",MATCH(A1218,INDIRECT("'"&amp;E1218&amp;"'!C"&amp;$O$1213&amp;":C"&amp;$O$1215),0)+$O$1213-1),"")</f>
        <v>D501</v>
      </c>
      <c r="D1218" s="1089" t="s">
        <v>1448</v>
      </c>
      <c r="E1218" s="1089" t="s">
        <v>1618</v>
      </c>
      <c r="I1218" s="1026" t="str">
        <f t="shared" si="131"/>
        <v>Incentive Dates Match Agreement Dates Flag</v>
      </c>
      <c r="J1218" s="1376" t="str">
        <f>IF(M1218&lt;&gt;"",Q$1&amp;M1218,"")</f>
        <v>1201</v>
      </c>
      <c r="K1218" s="1376" t="str">
        <f t="shared" si="132"/>
        <v>Incentives Worksheet</v>
      </c>
      <c r="L1218" s="1089" t="s">
        <v>1597</v>
      </c>
      <c r="M1218" s="1376">
        <v>1201</v>
      </c>
      <c r="N1218" s="1376"/>
      <c r="R1218" s="1376" t="s">
        <v>1245</v>
      </c>
    </row>
    <row r="1219" spans="1:18" s="1370" customFormat="1" x14ac:dyDescent="0.25">
      <c r="A1219" s="1118" t="s">
        <v>1488</v>
      </c>
      <c r="B1219" s="1089" t="str">
        <f ca="1">_xlfn.CONCAT(IFERROR(SUBSTITUTE(ADDRESS(1,MATCH(A1219,INDIRECT("'"&amp;E1219&amp;"'"&amp;"!A" &amp; $O$1213 + 5 &amp; ":Z" &amp; $O$1213 + 5),0),4),1,""),""),$O$1213+ 5)</f>
        <v>L496</v>
      </c>
      <c r="C1219" s="1089" t="str">
        <f ca="1">_xlfn.CONCAT(IFERROR(SUBSTITUTE(ADDRESS(1,MATCH(A1219,INDIRECT("'"&amp;E1219&amp;"'"&amp;"!A" &amp; $O$1213 + 5 &amp; ":Z" &amp; $O$1213 + 5),0),4),1,""),""),$O$1213+ 6)</f>
        <v>L497</v>
      </c>
      <c r="D1219" s="1089" t="s">
        <v>1448</v>
      </c>
      <c r="E1219" s="1089" t="s">
        <v>1618</v>
      </c>
      <c r="I1219" s="1026" t="str">
        <f t="shared" si="131"/>
        <v/>
      </c>
      <c r="J1219" s="1376"/>
      <c r="K1219" s="1376" t="str">
        <f t="shared" si="132"/>
        <v/>
      </c>
      <c r="L1219" s="1089" t="s">
        <v>1488</v>
      </c>
      <c r="M1219" s="1376">
        <v>1202</v>
      </c>
      <c r="N1219" s="1376"/>
      <c r="R1219" s="1376" t="s">
        <v>1245</v>
      </c>
    </row>
    <row r="1220" spans="1:18" s="1370" customFormat="1" x14ac:dyDescent="0.25">
      <c r="A1220" s="1376" t="s">
        <v>1892</v>
      </c>
      <c r="B1220" s="1026" t="str">
        <f>IFERROR(_xlfn.CONCAT("C",MATCH(A1220,[2]Welcome!C$1:C$60,0)),"")</f>
        <v/>
      </c>
      <c r="C1220" s="1026" t="str">
        <f>IFERROR(_xlfn.CONCAT("D",MATCH(A1220,[2]Welcome!C$1:C$61,0)),"")</f>
        <v/>
      </c>
      <c r="D1220" s="1029" t="s">
        <v>1448</v>
      </c>
      <c r="E1220" s="1029" t="s">
        <v>1472</v>
      </c>
      <c r="I1220" s="1026" t="str">
        <f t="shared" ref="I1220:I1282" si="136">IF(J1220&lt;&gt;"",A1220,"")</f>
        <v/>
      </c>
      <c r="J1220" s="1376" t="str">
        <f>IF(M1220&lt;&gt;"",Q$1&amp;M1220,"")</f>
        <v/>
      </c>
      <c r="K1220" s="1376" t="str">
        <f t="shared" ref="K1220:K1282" si="137">IF(J1220&lt;&gt;"",E1220,"")</f>
        <v/>
      </c>
      <c r="L1220" s="1376"/>
      <c r="M1220" s="1376"/>
      <c r="N1220" s="1376"/>
    </row>
    <row r="1221" spans="1:18" s="1370" customFormat="1" x14ac:dyDescent="0.25">
      <c r="A1221" s="1114" t="s">
        <v>1270</v>
      </c>
      <c r="B1221" s="1029" t="str">
        <f ca="1">_xlfn.IFNA(_xlfn.CONCAT(SUBSTITUTE(ADDRESS(1,MATCH(A1221,INDIRECT("'"&amp;E1221&amp;"'"&amp;"!A5:Z5"),0),4),1,""),6),"")</f>
        <v>G6</v>
      </c>
      <c r="C1221" s="1029" t="str">
        <f t="shared" ref="C1221:C1240" ca="1" si="138">_xlfn.IFNA(SUBSTITUTE(ADDRESS(1,MATCH(A1221,INDIRECT("'"&amp;E1221&amp;"'"&amp;"!A5:Z5"),0),4),1,""),"")</f>
        <v>G</v>
      </c>
      <c r="D1221" s="1376" t="s">
        <v>1455</v>
      </c>
      <c r="E1221" s="1029" t="s">
        <v>917</v>
      </c>
      <c r="I1221" s="1026" t="str">
        <f t="shared" si="136"/>
        <v>Shipping Location Number</v>
      </c>
      <c r="J1221" s="1376" t="str">
        <f>IFERROR(Q$1&amp;M167,"")</f>
        <v>34</v>
      </c>
      <c r="K1221" s="1376" t="str">
        <f t="shared" si="137"/>
        <v>Customer Inputs</v>
      </c>
      <c r="L1221" s="1376"/>
      <c r="M1221" s="1376"/>
      <c r="N1221" s="1376"/>
    </row>
    <row r="1222" spans="1:18" s="1370" customFormat="1" x14ac:dyDescent="0.25">
      <c r="A1222" s="1112" t="s">
        <v>1270</v>
      </c>
      <c r="B1222" s="1029" t="str">
        <f ca="1">_xlfn.IFNA(_xlfn.CONCAT(SUBSTITUTE(ADDRESS(1,MATCH(A1222,INDIRECT("'"&amp;E1222&amp;"'"&amp;"!A5:Z5"),0),4),1,""),7),"")</f>
        <v>G7</v>
      </c>
      <c r="C1222" s="1029" t="str">
        <f t="shared" ca="1" si="138"/>
        <v>G</v>
      </c>
      <c r="D1222" s="1376" t="s">
        <v>1455</v>
      </c>
      <c r="E1222" s="1029" t="s">
        <v>917</v>
      </c>
      <c r="I1222" s="1026" t="str">
        <f t="shared" si="136"/>
        <v>Shipping Location Number</v>
      </c>
      <c r="J1222" s="1376" t="str">
        <f>IFERROR(Q$1&amp;M178,"")</f>
        <v>55</v>
      </c>
      <c r="K1222" s="1376" t="str">
        <f t="shared" si="137"/>
        <v>Customer Inputs</v>
      </c>
      <c r="L1222" s="1376"/>
      <c r="M1222" s="1376"/>
      <c r="N1222" s="1376"/>
    </row>
    <row r="1223" spans="1:18" s="1370" customFormat="1" x14ac:dyDescent="0.25">
      <c r="A1223" s="1114" t="s">
        <v>1270</v>
      </c>
      <c r="B1223" s="1029" t="str">
        <f ca="1">_xlfn.IFNA(_xlfn.CONCAT(SUBSTITUTE(ADDRESS(1,MATCH(A1223,INDIRECT("'"&amp;E1223&amp;"'"&amp;"!A5:Z5"),0),4),1,""),8),"")</f>
        <v>G8</v>
      </c>
      <c r="C1223" s="1029" t="str">
        <f t="shared" ca="1" si="138"/>
        <v>G</v>
      </c>
      <c r="D1223" s="1376" t="s">
        <v>1455</v>
      </c>
      <c r="E1223" s="1029" t="s">
        <v>917</v>
      </c>
      <c r="I1223" s="1026" t="str">
        <f t="shared" si="136"/>
        <v>Shipping Location Number</v>
      </c>
      <c r="J1223" s="1376" t="str">
        <f>IFERROR(Q$1&amp;M189,"")</f>
        <v>76</v>
      </c>
      <c r="K1223" s="1376" t="str">
        <f t="shared" si="137"/>
        <v>Customer Inputs</v>
      </c>
      <c r="L1223" s="1376"/>
      <c r="M1223" s="1376"/>
      <c r="N1223" s="1376"/>
    </row>
    <row r="1224" spans="1:18" s="1370" customFormat="1" x14ac:dyDescent="0.25">
      <c r="A1224" s="1112" t="s">
        <v>1270</v>
      </c>
      <c r="B1224" s="1029" t="str">
        <f ca="1">_xlfn.IFNA(_xlfn.CONCAT(SUBSTITUTE(ADDRESS(1,MATCH(A1224,INDIRECT("'"&amp;E1224&amp;"'"&amp;"!A5:Z5"),0),4),1,""),9),"")</f>
        <v>G9</v>
      </c>
      <c r="C1224" s="1029" t="str">
        <f t="shared" ca="1" si="138"/>
        <v>G</v>
      </c>
      <c r="D1224" s="1376" t="s">
        <v>1455</v>
      </c>
      <c r="E1224" s="1029" t="s">
        <v>917</v>
      </c>
      <c r="I1224" s="1026" t="str">
        <f t="shared" si="136"/>
        <v>Shipping Location Number</v>
      </c>
      <c r="J1224" s="1376" t="str">
        <f>IFERROR(Q$1&amp;M200,"")</f>
        <v>97</v>
      </c>
      <c r="K1224" s="1376" t="str">
        <f t="shared" si="137"/>
        <v>Customer Inputs</v>
      </c>
      <c r="L1224" s="1376"/>
      <c r="M1224" s="1376"/>
      <c r="N1224" s="1376"/>
    </row>
    <row r="1225" spans="1:18" s="1370" customFormat="1" x14ac:dyDescent="0.25">
      <c r="A1225" s="1114" t="s">
        <v>1270</v>
      </c>
      <c r="B1225" s="1029" t="str">
        <f ca="1">_xlfn.IFNA(_xlfn.CONCAT(SUBSTITUTE(ADDRESS(1,MATCH(A1225,INDIRECT("'"&amp;E1225&amp;"'"&amp;"!A5:Z5"),0),4),1,""),10),"")</f>
        <v>G10</v>
      </c>
      <c r="C1225" s="1029" t="str">
        <f t="shared" ca="1" si="138"/>
        <v>G</v>
      </c>
      <c r="D1225" s="1376" t="s">
        <v>1455</v>
      </c>
      <c r="E1225" s="1029" t="s">
        <v>917</v>
      </c>
      <c r="I1225" s="1026" t="str">
        <f t="shared" si="136"/>
        <v>Shipping Location Number</v>
      </c>
      <c r="J1225" s="1376" t="str">
        <f>IFERROR(Q$1&amp;M211,"")</f>
        <v>118</v>
      </c>
      <c r="K1225" s="1376" t="str">
        <f t="shared" si="137"/>
        <v>Customer Inputs</v>
      </c>
      <c r="L1225" s="1376"/>
      <c r="M1225" s="1376"/>
      <c r="N1225" s="1376"/>
    </row>
    <row r="1226" spans="1:18" s="1370" customFormat="1" x14ac:dyDescent="0.25">
      <c r="A1226" s="1112" t="s">
        <v>1270</v>
      </c>
      <c r="B1226" s="1029" t="str">
        <f ca="1">_xlfn.IFNA(_xlfn.CONCAT(SUBSTITUTE(ADDRESS(1,MATCH(A1226,INDIRECT("'"&amp;E1226&amp;"'"&amp;"!A5:Z5"),0),4),1,""),11),"")</f>
        <v>G11</v>
      </c>
      <c r="C1226" s="1029" t="str">
        <f t="shared" ca="1" si="138"/>
        <v>G</v>
      </c>
      <c r="D1226" s="1376" t="s">
        <v>1455</v>
      </c>
      <c r="E1226" s="1029" t="s">
        <v>917</v>
      </c>
      <c r="I1226" s="1026" t="str">
        <f t="shared" si="136"/>
        <v>Shipping Location Number</v>
      </c>
      <c r="J1226" s="1376" t="str">
        <f>IFERROR(Q$1&amp;M222,"")</f>
        <v>139</v>
      </c>
      <c r="K1226" s="1376" t="str">
        <f t="shared" si="137"/>
        <v>Customer Inputs</v>
      </c>
      <c r="L1226" s="1376"/>
      <c r="M1226" s="1376"/>
      <c r="N1226" s="1376"/>
    </row>
    <row r="1227" spans="1:18" s="1370" customFormat="1" x14ac:dyDescent="0.25">
      <c r="A1227" s="1114" t="s">
        <v>1270</v>
      </c>
      <c r="B1227" s="1029" t="str">
        <f ca="1">_xlfn.IFNA(_xlfn.CONCAT(SUBSTITUTE(ADDRESS(1,MATCH(A1227,INDIRECT("'"&amp;E1227&amp;"'"&amp;"!A5:Z5"),0),4),1,""),12),"")</f>
        <v>G12</v>
      </c>
      <c r="C1227" s="1029" t="str">
        <f t="shared" ca="1" si="138"/>
        <v>G</v>
      </c>
      <c r="D1227" s="1376" t="s">
        <v>1455</v>
      </c>
      <c r="E1227" s="1029" t="s">
        <v>917</v>
      </c>
      <c r="I1227" s="1026" t="str">
        <f t="shared" si="136"/>
        <v>Shipping Location Number</v>
      </c>
      <c r="J1227" s="1376" t="str">
        <f>IFERROR(Q$1&amp;M233,"")</f>
        <v>160</v>
      </c>
      <c r="K1227" s="1376" t="str">
        <f t="shared" si="137"/>
        <v>Customer Inputs</v>
      </c>
      <c r="L1227" s="1376"/>
      <c r="M1227" s="1376"/>
      <c r="N1227" s="1376"/>
    </row>
    <row r="1228" spans="1:18" s="1370" customFormat="1" x14ac:dyDescent="0.25">
      <c r="A1228" s="1112" t="s">
        <v>1270</v>
      </c>
      <c r="B1228" s="1029" t="str">
        <f ca="1">_xlfn.IFNA(_xlfn.CONCAT(SUBSTITUTE(ADDRESS(1,MATCH(A1228,INDIRECT("'"&amp;E1228&amp;"'"&amp;"!A5:Z5"),0),4),1,""),13),"")</f>
        <v>G13</v>
      </c>
      <c r="C1228" s="1029" t="str">
        <f t="shared" ca="1" si="138"/>
        <v>G</v>
      </c>
      <c r="D1228" s="1376" t="s">
        <v>1455</v>
      </c>
      <c r="E1228" s="1029" t="s">
        <v>917</v>
      </c>
      <c r="I1228" s="1026" t="str">
        <f t="shared" si="136"/>
        <v>Shipping Location Number</v>
      </c>
      <c r="J1228" s="1376" t="str">
        <f>IFERROR(Q$1&amp;M244,"")</f>
        <v>181</v>
      </c>
      <c r="K1228" s="1376" t="str">
        <f t="shared" si="137"/>
        <v>Customer Inputs</v>
      </c>
      <c r="L1228" s="1376"/>
      <c r="M1228" s="1376"/>
      <c r="N1228" s="1376"/>
    </row>
    <row r="1229" spans="1:18" s="1370" customFormat="1" x14ac:dyDescent="0.25">
      <c r="A1229" s="1114" t="s">
        <v>1270</v>
      </c>
      <c r="B1229" s="1029" t="str">
        <f ca="1">_xlfn.IFNA(_xlfn.CONCAT(SUBSTITUTE(ADDRESS(1,MATCH(A1229,INDIRECT("'"&amp;E1229&amp;"'"&amp;"!A5:Z5"),0),4),1,""),14),"")</f>
        <v>G14</v>
      </c>
      <c r="C1229" s="1029" t="str">
        <f t="shared" ca="1" si="138"/>
        <v>G</v>
      </c>
      <c r="D1229" s="1376" t="s">
        <v>1455</v>
      </c>
      <c r="E1229" s="1029" t="s">
        <v>917</v>
      </c>
      <c r="I1229" s="1026" t="str">
        <f t="shared" si="136"/>
        <v>Shipping Location Number</v>
      </c>
      <c r="J1229" s="1376" t="str">
        <f>IFERROR(Q$1&amp;M255,"")</f>
        <v>202</v>
      </c>
      <c r="K1229" s="1376" t="str">
        <f t="shared" si="137"/>
        <v>Customer Inputs</v>
      </c>
      <c r="L1229" s="1376"/>
      <c r="M1229" s="1376"/>
      <c r="N1229" s="1376"/>
    </row>
    <row r="1230" spans="1:18" s="1370" customFormat="1" x14ac:dyDescent="0.25">
      <c r="A1230" s="1112" t="s">
        <v>1270</v>
      </c>
      <c r="B1230" s="1029" t="str">
        <f ca="1">_xlfn.IFNA(_xlfn.CONCAT(SUBSTITUTE(ADDRESS(1,MATCH(A1230,INDIRECT("'"&amp;E1230&amp;"'"&amp;"!A5:Z5"),0),4),1,""),15),"")</f>
        <v>G15</v>
      </c>
      <c r="C1230" s="1029" t="str">
        <f t="shared" ca="1" si="138"/>
        <v>G</v>
      </c>
      <c r="D1230" s="1376" t="s">
        <v>1455</v>
      </c>
      <c r="E1230" s="1029" t="s">
        <v>917</v>
      </c>
      <c r="I1230" s="1026" t="str">
        <f t="shared" si="136"/>
        <v>Shipping Location Number</v>
      </c>
      <c r="J1230" s="1376" t="str">
        <f>IFERROR(Q$1&amp;M266,"")</f>
        <v>223</v>
      </c>
      <c r="K1230" s="1376" t="str">
        <f t="shared" si="137"/>
        <v>Customer Inputs</v>
      </c>
      <c r="L1230" s="1376"/>
      <c r="M1230" s="1376"/>
      <c r="N1230" s="1376"/>
    </row>
    <row r="1231" spans="1:18" s="1370" customFormat="1" x14ac:dyDescent="0.25">
      <c r="A1231" s="1115" t="s">
        <v>204</v>
      </c>
      <c r="B1231" s="1029" t="str">
        <f t="shared" ref="B1231:B1240" ca="1" si="139">_xlfn.IFNA(_xlfn.CONCAT(SUBSTITUTE(ADDRESS(1,MATCH(A1231,INDIRECT("'"&amp;E1231&amp;"'"&amp;"!A5:Z5"),0),4),1,""),15),"")</f>
        <v>S15</v>
      </c>
      <c r="C1231" s="1029" t="str">
        <f t="shared" ca="1" si="138"/>
        <v>S</v>
      </c>
      <c r="D1231" s="1376" t="s">
        <v>1455</v>
      </c>
      <c r="E1231" s="1029" t="s">
        <v>917</v>
      </c>
      <c r="I1231" s="1026" t="str">
        <f t="shared" si="136"/>
        <v>Zip Code</v>
      </c>
      <c r="J1231" s="1376" t="str">
        <f>IFERROR(Q$1&amp;M177,"")</f>
        <v>54</v>
      </c>
      <c r="K1231" s="1376" t="str">
        <f t="shared" si="137"/>
        <v>Customer Inputs</v>
      </c>
      <c r="L1231" s="1376"/>
      <c r="M1231" s="1376"/>
      <c r="N1231" s="1376"/>
    </row>
    <row r="1232" spans="1:18" s="1370" customFormat="1" x14ac:dyDescent="0.25">
      <c r="A1232" s="1112" t="s">
        <v>204</v>
      </c>
      <c r="B1232" s="1029" t="str">
        <f t="shared" ca="1" si="139"/>
        <v>S15</v>
      </c>
      <c r="C1232" s="1029" t="str">
        <f t="shared" ca="1" si="138"/>
        <v>S</v>
      </c>
      <c r="D1232" s="1376" t="s">
        <v>1455</v>
      </c>
      <c r="E1232" s="1029" t="s">
        <v>917</v>
      </c>
      <c r="I1232" s="1026" t="str">
        <f t="shared" si="136"/>
        <v>Zip Code</v>
      </c>
      <c r="J1232" s="1376" t="str">
        <f>IFERROR(Q$1&amp;M188,"")</f>
        <v>75</v>
      </c>
      <c r="K1232" s="1376" t="str">
        <f t="shared" si="137"/>
        <v>Customer Inputs</v>
      </c>
      <c r="L1232" s="1376"/>
      <c r="M1232" s="1376"/>
      <c r="N1232" s="1376"/>
    </row>
    <row r="1233" spans="1:14" s="1370" customFormat="1" x14ac:dyDescent="0.25">
      <c r="A1233" s="1115" t="s">
        <v>204</v>
      </c>
      <c r="B1233" s="1029" t="str">
        <f t="shared" ca="1" si="139"/>
        <v>S15</v>
      </c>
      <c r="C1233" s="1029" t="str">
        <f t="shared" ca="1" si="138"/>
        <v>S</v>
      </c>
      <c r="D1233" s="1376" t="s">
        <v>1455</v>
      </c>
      <c r="E1233" s="1029" t="s">
        <v>917</v>
      </c>
      <c r="I1233" s="1026" t="str">
        <f t="shared" si="136"/>
        <v>Zip Code</v>
      </c>
      <c r="J1233" s="1376" t="str">
        <f>IFERROR(Q$1&amp;M199,"")</f>
        <v>96</v>
      </c>
      <c r="K1233" s="1376" t="str">
        <f t="shared" si="137"/>
        <v>Customer Inputs</v>
      </c>
      <c r="L1233" s="1376"/>
      <c r="M1233" s="1376"/>
      <c r="N1233" s="1376"/>
    </row>
    <row r="1234" spans="1:14" s="1370" customFormat="1" x14ac:dyDescent="0.25">
      <c r="A1234" s="1112" t="s">
        <v>204</v>
      </c>
      <c r="B1234" s="1029" t="str">
        <f t="shared" ca="1" si="139"/>
        <v>S15</v>
      </c>
      <c r="C1234" s="1029" t="str">
        <f t="shared" ca="1" si="138"/>
        <v>S</v>
      </c>
      <c r="D1234" s="1376" t="s">
        <v>1455</v>
      </c>
      <c r="E1234" s="1029" t="s">
        <v>917</v>
      </c>
      <c r="I1234" s="1026" t="str">
        <f t="shared" si="136"/>
        <v>Zip Code</v>
      </c>
      <c r="J1234" s="1376" t="str">
        <f>IFERROR(Q$1&amp;M210,"")</f>
        <v>117</v>
      </c>
      <c r="K1234" s="1376" t="str">
        <f t="shared" si="137"/>
        <v>Customer Inputs</v>
      </c>
      <c r="L1234" s="1376"/>
      <c r="M1234" s="1376"/>
      <c r="N1234" s="1376"/>
    </row>
    <row r="1235" spans="1:14" s="1370" customFormat="1" x14ac:dyDescent="0.25">
      <c r="A1235" s="1115" t="s">
        <v>204</v>
      </c>
      <c r="B1235" s="1029" t="str">
        <f t="shared" ca="1" si="139"/>
        <v>S15</v>
      </c>
      <c r="C1235" s="1029" t="str">
        <f t="shared" ca="1" si="138"/>
        <v>S</v>
      </c>
      <c r="D1235" s="1376" t="s">
        <v>1455</v>
      </c>
      <c r="E1235" s="1029" t="s">
        <v>917</v>
      </c>
      <c r="I1235" s="1026" t="str">
        <f t="shared" si="136"/>
        <v>Zip Code</v>
      </c>
      <c r="J1235" s="1376" t="str">
        <f>IFERROR(Q$1&amp;M221,"")</f>
        <v>138</v>
      </c>
      <c r="K1235" s="1376" t="str">
        <f t="shared" si="137"/>
        <v>Customer Inputs</v>
      </c>
      <c r="L1235" s="1376"/>
      <c r="M1235" s="1376"/>
      <c r="N1235" s="1376"/>
    </row>
    <row r="1236" spans="1:14" s="1370" customFormat="1" x14ac:dyDescent="0.25">
      <c r="A1236" s="1112" t="s">
        <v>204</v>
      </c>
      <c r="B1236" s="1029" t="str">
        <f t="shared" ca="1" si="139"/>
        <v>S15</v>
      </c>
      <c r="C1236" s="1029" t="str">
        <f t="shared" ca="1" si="138"/>
        <v>S</v>
      </c>
      <c r="D1236" s="1376" t="s">
        <v>1455</v>
      </c>
      <c r="E1236" s="1029" t="s">
        <v>917</v>
      </c>
      <c r="I1236" s="1026" t="str">
        <f t="shared" si="136"/>
        <v>Zip Code</v>
      </c>
      <c r="J1236" s="1376" t="str">
        <f>IFERROR(Q$1&amp;M232,"")</f>
        <v>159</v>
      </c>
      <c r="K1236" s="1376" t="str">
        <f t="shared" si="137"/>
        <v>Customer Inputs</v>
      </c>
      <c r="L1236" s="1376"/>
      <c r="M1236" s="1376"/>
      <c r="N1236" s="1376"/>
    </row>
    <row r="1237" spans="1:14" s="1370" customFormat="1" x14ac:dyDescent="0.25">
      <c r="A1237" s="1115" t="s">
        <v>204</v>
      </c>
      <c r="B1237" s="1029" t="str">
        <f t="shared" ca="1" si="139"/>
        <v>S15</v>
      </c>
      <c r="C1237" s="1029" t="str">
        <f t="shared" ca="1" si="138"/>
        <v>S</v>
      </c>
      <c r="D1237" s="1376" t="s">
        <v>1455</v>
      </c>
      <c r="E1237" s="1029" t="s">
        <v>917</v>
      </c>
      <c r="I1237" s="1026" t="str">
        <f t="shared" si="136"/>
        <v>Zip Code</v>
      </c>
      <c r="J1237" s="1376" t="str">
        <f>IFERROR(Q$1&amp;M243,"")</f>
        <v>180</v>
      </c>
      <c r="K1237" s="1376" t="str">
        <f t="shared" si="137"/>
        <v>Customer Inputs</v>
      </c>
      <c r="L1237" s="1376"/>
      <c r="M1237" s="1376"/>
      <c r="N1237" s="1376"/>
    </row>
    <row r="1238" spans="1:14" s="1370" customFormat="1" x14ac:dyDescent="0.25">
      <c r="A1238" s="1112" t="s">
        <v>204</v>
      </c>
      <c r="B1238" s="1029" t="str">
        <f t="shared" ca="1" si="139"/>
        <v>S15</v>
      </c>
      <c r="C1238" s="1029" t="str">
        <f t="shared" ca="1" si="138"/>
        <v>S</v>
      </c>
      <c r="D1238" s="1376" t="s">
        <v>1455</v>
      </c>
      <c r="E1238" s="1029" t="s">
        <v>917</v>
      </c>
      <c r="I1238" s="1026" t="str">
        <f t="shared" si="136"/>
        <v>Zip Code</v>
      </c>
      <c r="J1238" s="1376" t="str">
        <f>IFERROR(Q$1&amp;M254,"")</f>
        <v>201</v>
      </c>
      <c r="K1238" s="1376" t="str">
        <f t="shared" si="137"/>
        <v>Customer Inputs</v>
      </c>
      <c r="L1238" s="1376"/>
      <c r="M1238" s="1376"/>
      <c r="N1238" s="1376"/>
    </row>
    <row r="1239" spans="1:14" s="1370" customFormat="1" x14ac:dyDescent="0.25">
      <c r="A1239" s="1115" t="s">
        <v>204</v>
      </c>
      <c r="B1239" s="1029" t="str">
        <f t="shared" ca="1" si="139"/>
        <v>S15</v>
      </c>
      <c r="C1239" s="1029" t="str">
        <f t="shared" ca="1" si="138"/>
        <v>S</v>
      </c>
      <c r="D1239" s="1376" t="s">
        <v>1455</v>
      </c>
      <c r="E1239" s="1029" t="s">
        <v>917</v>
      </c>
      <c r="I1239" s="1026" t="str">
        <f t="shared" si="136"/>
        <v>Zip Code</v>
      </c>
      <c r="J1239" s="1376" t="str">
        <f>IFERROR(Q$1&amp;M265,"")</f>
        <v>222</v>
      </c>
      <c r="K1239" s="1376" t="str">
        <f t="shared" si="137"/>
        <v>Customer Inputs</v>
      </c>
      <c r="L1239" s="1376"/>
      <c r="M1239" s="1376"/>
      <c r="N1239" s="1376"/>
    </row>
    <row r="1240" spans="1:14" s="1370" customFormat="1" x14ac:dyDescent="0.25">
      <c r="A1240" s="1112" t="s">
        <v>204</v>
      </c>
      <c r="B1240" s="1029" t="str">
        <f t="shared" ca="1" si="139"/>
        <v>S15</v>
      </c>
      <c r="C1240" s="1029" t="str">
        <f t="shared" ca="1" si="138"/>
        <v>S</v>
      </c>
      <c r="D1240" s="1376" t="s">
        <v>1455</v>
      </c>
      <c r="E1240" s="1029" t="s">
        <v>917</v>
      </c>
      <c r="I1240" s="1026" t="str">
        <f t="shared" si="136"/>
        <v>Zip Code</v>
      </c>
      <c r="J1240" s="1376" t="str">
        <f>IFERROR(Q$1&amp;M276,"")</f>
        <v>243</v>
      </c>
      <c r="K1240" s="1376" t="str">
        <f t="shared" si="137"/>
        <v>Customer Inputs</v>
      </c>
      <c r="L1240" s="1376"/>
      <c r="M1240" s="1376"/>
      <c r="N1240" s="1376"/>
    </row>
    <row r="1241" spans="1:14" s="1370" customFormat="1" x14ac:dyDescent="0.25">
      <c r="A1241" s="1118" t="s">
        <v>1338</v>
      </c>
      <c r="B1241" s="1026" t="str">
        <f ca="1">_xlfn.CONCAT(IFERROR(SUBSTITUTE(ADDRESS(1,MATCH(A1241,INDIRECT("'"&amp;E1241&amp;"'"&amp;"!A9:Z9"),0),4),1,""),""),10)</f>
        <v>D10</v>
      </c>
      <c r="C1241" s="1026" t="str">
        <f ca="1">_xlfn.CONCAT(IFERROR(SUBSTITUTE(ADDRESS(1,MATCH(A1241,INDIRECT("'"&amp;E1241&amp;"'"&amp;"!A9:Z9"),0),4),1,""),""))</f>
        <v>D</v>
      </c>
      <c r="D1241" s="1376" t="s">
        <v>1455</v>
      </c>
      <c r="E1241" s="1029" t="s">
        <v>208</v>
      </c>
      <c r="I1241" s="1026" t="str">
        <f t="shared" si="136"/>
        <v>Per</v>
      </c>
      <c r="J1241" s="1376" t="str">
        <f>IFERROR(Q$1&amp;M280,"")</f>
        <v>249</v>
      </c>
      <c r="K1241" s="1376" t="str">
        <f t="shared" si="137"/>
        <v>PIM Model</v>
      </c>
      <c r="L1241" s="1376"/>
      <c r="M1241" s="1376"/>
      <c r="N1241" s="1376"/>
    </row>
    <row r="1242" spans="1:14" s="1370" customFormat="1" x14ac:dyDescent="0.25">
      <c r="A1242" s="1121" t="s">
        <v>1338</v>
      </c>
      <c r="B1242" s="1026" t="str">
        <f ca="1">_xlfn.CONCAT(IFERROR(SUBSTITUTE(ADDRESS(1,MATCH(A1242,INDIRECT("'"&amp;E1242&amp;"'"&amp;"!A9:Z9"),0),4),1,""),""),11)</f>
        <v>D11</v>
      </c>
      <c r="C1242" s="1026" t="str">
        <f t="shared" ref="C1242:C1261" ca="1" si="140">_xlfn.CONCAT(IFERROR(SUBSTITUTE(ADDRESS(1,MATCH(A1242,INDIRECT("'"&amp;E1242&amp;"'"&amp;"!A9:Z9"),0),4),1,""),""))</f>
        <v>D</v>
      </c>
      <c r="D1242" s="1376" t="s">
        <v>1455</v>
      </c>
      <c r="E1242" s="1029" t="s">
        <v>208</v>
      </c>
      <c r="I1242" s="1026" t="str">
        <f t="shared" si="136"/>
        <v>Per</v>
      </c>
      <c r="J1242" s="1376" t="str">
        <f>IFERROR(Q$1&amp;M292,"")</f>
        <v>261</v>
      </c>
      <c r="K1242" s="1376" t="str">
        <f t="shared" si="137"/>
        <v>PIM Model</v>
      </c>
      <c r="L1242" s="1376"/>
      <c r="M1242" s="1376"/>
      <c r="N1242" s="1376"/>
    </row>
    <row r="1243" spans="1:14" s="1370" customFormat="1" x14ac:dyDescent="0.25">
      <c r="A1243" s="1118" t="s">
        <v>1338</v>
      </c>
      <c r="B1243" s="1026" t="str">
        <f ca="1">_xlfn.CONCAT(IFERROR(SUBSTITUTE(ADDRESS(1,MATCH(A1243,INDIRECT("'"&amp;E1243&amp;"'"&amp;"!A9:Z9"),0),4),1,""),""),12)</f>
        <v>D12</v>
      </c>
      <c r="C1243" s="1026" t="str">
        <f t="shared" ca="1" si="140"/>
        <v>D</v>
      </c>
      <c r="D1243" s="1376" t="s">
        <v>1455</v>
      </c>
      <c r="E1243" s="1029" t="s">
        <v>208</v>
      </c>
      <c r="I1243" s="1026" t="str">
        <f t="shared" si="136"/>
        <v>Per</v>
      </c>
      <c r="J1243" s="1376" t="str">
        <f>IFERROR(Q$1&amp;M304,"")</f>
        <v>273</v>
      </c>
      <c r="K1243" s="1376" t="str">
        <f t="shared" si="137"/>
        <v>PIM Model</v>
      </c>
      <c r="L1243" s="1376"/>
      <c r="M1243" s="1376"/>
      <c r="N1243" s="1376"/>
    </row>
    <row r="1244" spans="1:14" s="1370" customFormat="1" x14ac:dyDescent="0.25">
      <c r="A1244" s="1121" t="s">
        <v>1338</v>
      </c>
      <c r="B1244" s="1026" t="str">
        <f ca="1">_xlfn.CONCAT(IFERROR(SUBSTITUTE(ADDRESS(1,MATCH(A1244,INDIRECT("'"&amp;E1244&amp;"'"&amp;"!A9:Z9"),0),4),1,""),""),13)</f>
        <v>D13</v>
      </c>
      <c r="C1244" s="1026" t="str">
        <f t="shared" ca="1" si="140"/>
        <v>D</v>
      </c>
      <c r="D1244" s="1376" t="s">
        <v>1455</v>
      </c>
      <c r="E1244" s="1029" t="s">
        <v>208</v>
      </c>
      <c r="I1244" s="1026" t="str">
        <f t="shared" si="136"/>
        <v>Per</v>
      </c>
      <c r="J1244" s="1376" t="str">
        <f>IFERROR(Q$1&amp;M316,"")</f>
        <v>285</v>
      </c>
      <c r="K1244" s="1376" t="str">
        <f t="shared" si="137"/>
        <v>PIM Model</v>
      </c>
      <c r="L1244" s="1376"/>
      <c r="M1244" s="1376"/>
      <c r="N1244" s="1376"/>
    </row>
    <row r="1245" spans="1:14" s="1370" customFormat="1" x14ac:dyDescent="0.25">
      <c r="A1245" s="1118" t="s">
        <v>1338</v>
      </c>
      <c r="B1245" s="1026" t="str">
        <f ca="1">_xlfn.CONCAT(IFERROR(SUBSTITUTE(ADDRESS(1,MATCH(A1245,INDIRECT("'"&amp;E1245&amp;"'"&amp;"!A9:Z9"),0),4),1,""),""),14)</f>
        <v>D14</v>
      </c>
      <c r="C1245" s="1026" t="str">
        <f t="shared" ca="1" si="140"/>
        <v>D</v>
      </c>
      <c r="D1245" s="1376" t="s">
        <v>1455</v>
      </c>
      <c r="E1245" s="1029" t="s">
        <v>208</v>
      </c>
      <c r="I1245" s="1026" t="str">
        <f t="shared" si="136"/>
        <v>Per</v>
      </c>
      <c r="J1245" s="1376" t="str">
        <f>IFERROR(Q$1&amp;M328,"")</f>
        <v>297</v>
      </c>
      <c r="K1245" s="1376" t="str">
        <f t="shared" si="137"/>
        <v>PIM Model</v>
      </c>
      <c r="L1245" s="1376"/>
      <c r="M1245" s="1376"/>
      <c r="N1245" s="1376"/>
    </row>
    <row r="1246" spans="1:14" s="1370" customFormat="1" x14ac:dyDescent="0.25">
      <c r="A1246" s="1121" t="s">
        <v>1338</v>
      </c>
      <c r="B1246" s="1026" t="str">
        <f ca="1">_xlfn.CONCAT(IFERROR(SUBSTITUTE(ADDRESS(1,MATCH(A1246,INDIRECT("'"&amp;E1246&amp;"'"&amp;"!A9:Z9"),0),4),1,""),""),15)</f>
        <v>D15</v>
      </c>
      <c r="C1246" s="1026" t="str">
        <f t="shared" ca="1" si="140"/>
        <v>D</v>
      </c>
      <c r="D1246" s="1376" t="s">
        <v>1455</v>
      </c>
      <c r="E1246" s="1029" t="s">
        <v>208</v>
      </c>
      <c r="I1246" s="1026" t="str">
        <f t="shared" si="136"/>
        <v>Per</v>
      </c>
      <c r="J1246" s="1376" t="str">
        <f>IFERROR(Q$1&amp;M340,"")</f>
        <v>309</v>
      </c>
      <c r="K1246" s="1376" t="str">
        <f t="shared" si="137"/>
        <v>PIM Model</v>
      </c>
      <c r="L1246" s="1376"/>
      <c r="M1246" s="1376"/>
      <c r="N1246" s="1376"/>
    </row>
    <row r="1247" spans="1:14" s="1370" customFormat="1" x14ac:dyDescent="0.25">
      <c r="A1247" s="1118" t="s">
        <v>1338</v>
      </c>
      <c r="B1247" s="1026" t="str">
        <f ca="1">_xlfn.CONCAT(IFERROR(SUBSTITUTE(ADDRESS(1,MATCH(A1247,INDIRECT("'"&amp;E1247&amp;"'"&amp;"!A9:Z9"),0),4),1,""),""),16)</f>
        <v>D16</v>
      </c>
      <c r="C1247" s="1026" t="str">
        <f t="shared" ca="1" si="140"/>
        <v>D</v>
      </c>
      <c r="D1247" s="1376" t="s">
        <v>1455</v>
      </c>
      <c r="E1247" s="1029" t="s">
        <v>208</v>
      </c>
      <c r="I1247" s="1026" t="str">
        <f t="shared" si="136"/>
        <v>Per</v>
      </c>
      <c r="J1247" s="1376" t="str">
        <f>IFERROR(Q$1&amp;M352,"")</f>
        <v>321</v>
      </c>
      <c r="K1247" s="1376" t="str">
        <f t="shared" si="137"/>
        <v>PIM Model</v>
      </c>
      <c r="L1247" s="1376"/>
      <c r="M1247" s="1376"/>
      <c r="N1247" s="1376"/>
    </row>
    <row r="1248" spans="1:14" s="1370" customFormat="1" x14ac:dyDescent="0.25">
      <c r="A1248" s="1121" t="s">
        <v>1338</v>
      </c>
      <c r="B1248" s="1026" t="str">
        <f ca="1">_xlfn.CONCAT(IFERROR(SUBSTITUTE(ADDRESS(1,MATCH(A1248,INDIRECT("'"&amp;E1248&amp;"'"&amp;"!A9:Z9"),0),4),1,""),""),17)</f>
        <v>D17</v>
      </c>
      <c r="C1248" s="1026" t="str">
        <f t="shared" ca="1" si="140"/>
        <v>D</v>
      </c>
      <c r="D1248" s="1376" t="s">
        <v>1455</v>
      </c>
      <c r="E1248" s="1029" t="s">
        <v>208</v>
      </c>
      <c r="I1248" s="1026" t="str">
        <f t="shared" si="136"/>
        <v>Per</v>
      </c>
      <c r="J1248" s="1376" t="str">
        <f>IFERROR(Q$1&amp;M364,"")</f>
        <v>333</v>
      </c>
      <c r="K1248" s="1376" t="str">
        <f t="shared" si="137"/>
        <v>PIM Model</v>
      </c>
      <c r="L1248" s="1376"/>
      <c r="M1248" s="1376"/>
      <c r="N1248" s="1376"/>
    </row>
    <row r="1249" spans="1:14" s="1370" customFormat="1" x14ac:dyDescent="0.25">
      <c r="A1249" s="1118" t="s">
        <v>1338</v>
      </c>
      <c r="B1249" s="1026" t="str">
        <f ca="1">_xlfn.CONCAT(IFERROR(SUBSTITUTE(ADDRESS(1,MATCH(A1249,INDIRECT("'"&amp;E1249&amp;"'"&amp;"!A9:Z9"),0),4),1,""),""),18)</f>
        <v>D18</v>
      </c>
      <c r="C1249" s="1026" t="str">
        <f t="shared" ca="1" si="140"/>
        <v>D</v>
      </c>
      <c r="D1249" s="1376" t="s">
        <v>1455</v>
      </c>
      <c r="E1249" s="1029" t="s">
        <v>208</v>
      </c>
      <c r="I1249" s="1026" t="str">
        <f t="shared" si="136"/>
        <v>Per</v>
      </c>
      <c r="J1249" s="1376" t="str">
        <f>IFERROR(Q$1&amp;M376,"")</f>
        <v>345</v>
      </c>
      <c r="K1249" s="1376" t="str">
        <f t="shared" si="137"/>
        <v>PIM Model</v>
      </c>
      <c r="L1249" s="1376"/>
      <c r="M1249" s="1376"/>
      <c r="N1249" s="1376"/>
    </row>
    <row r="1250" spans="1:14" s="1370" customFormat="1" x14ac:dyDescent="0.25">
      <c r="A1250" s="1121" t="s">
        <v>1338</v>
      </c>
      <c r="B1250" s="1026" t="str">
        <f ca="1">_xlfn.CONCAT(IFERROR(SUBSTITUTE(ADDRESS(1,MATCH(A1250,INDIRECT("'"&amp;E1250&amp;"'"&amp;"!A9:Z9"),0),4),1,""),""),19)</f>
        <v>D19</v>
      </c>
      <c r="C1250" s="1026" t="str">
        <f t="shared" ca="1" si="140"/>
        <v>D</v>
      </c>
      <c r="D1250" s="1376" t="s">
        <v>1455</v>
      </c>
      <c r="E1250" s="1029" t="s">
        <v>208</v>
      </c>
      <c r="I1250" s="1026" t="str">
        <f t="shared" si="136"/>
        <v>Per</v>
      </c>
      <c r="J1250" s="1376" t="str">
        <f>IFERROR(Q$1&amp;M388,"")</f>
        <v>357</v>
      </c>
      <c r="K1250" s="1376" t="str">
        <f t="shared" si="137"/>
        <v>PIM Model</v>
      </c>
      <c r="L1250" s="1376"/>
      <c r="M1250" s="1376"/>
      <c r="N1250" s="1376"/>
    </row>
    <row r="1251" spans="1:14" s="1370" customFormat="1" x14ac:dyDescent="0.25">
      <c r="A1251" s="1118" t="s">
        <v>1338</v>
      </c>
      <c r="B1251" s="1026" t="str">
        <f ca="1">_xlfn.CONCAT(IFERROR(SUBSTITUTE(ADDRESS(1,MATCH(A1251,INDIRECT("'"&amp;E1251&amp;"'"&amp;"!A9:Z9"),0),4),1,""),""),20)</f>
        <v>D20</v>
      </c>
      <c r="C1251" s="1026" t="str">
        <f t="shared" ca="1" si="140"/>
        <v>D</v>
      </c>
      <c r="D1251" s="1376" t="s">
        <v>1455</v>
      </c>
      <c r="E1251" s="1029" t="s">
        <v>208</v>
      </c>
      <c r="I1251" s="1026" t="str">
        <f t="shared" si="136"/>
        <v>Per</v>
      </c>
      <c r="J1251" s="1376" t="str">
        <f>IFERROR(Q$1&amp;M400,"")</f>
        <v>369</v>
      </c>
      <c r="K1251" s="1376" t="str">
        <f t="shared" si="137"/>
        <v>PIM Model</v>
      </c>
      <c r="L1251" s="1376"/>
      <c r="M1251" s="1376"/>
      <c r="N1251" s="1376"/>
    </row>
    <row r="1252" spans="1:14" s="1370" customFormat="1" x14ac:dyDescent="0.25">
      <c r="A1252" s="1121" t="s">
        <v>1338</v>
      </c>
      <c r="B1252" s="1026" t="str">
        <f ca="1">_xlfn.CONCAT(IFERROR(SUBSTITUTE(ADDRESS(1,MATCH(A1252,INDIRECT("'"&amp;E1252&amp;"'"&amp;"!A9:Z9"),0),4),1,""),""),21)</f>
        <v>D21</v>
      </c>
      <c r="C1252" s="1026" t="str">
        <f t="shared" ca="1" si="140"/>
        <v>D</v>
      </c>
      <c r="D1252" s="1376" t="s">
        <v>1455</v>
      </c>
      <c r="E1252" s="1029" t="s">
        <v>208</v>
      </c>
      <c r="I1252" s="1026" t="str">
        <f t="shared" si="136"/>
        <v>Per</v>
      </c>
      <c r="J1252" s="1376" t="str">
        <f>IFERROR(Q$1&amp;M412,"")</f>
        <v>381</v>
      </c>
      <c r="K1252" s="1376" t="str">
        <f t="shared" si="137"/>
        <v>PIM Model</v>
      </c>
      <c r="L1252" s="1376"/>
      <c r="M1252" s="1376"/>
      <c r="N1252" s="1376"/>
    </row>
    <row r="1253" spans="1:14" s="1370" customFormat="1" x14ac:dyDescent="0.25">
      <c r="A1253" s="1118" t="s">
        <v>1338</v>
      </c>
      <c r="B1253" s="1026" t="str">
        <f ca="1">_xlfn.CONCAT(IFERROR(SUBSTITUTE(ADDRESS(1,MATCH(A1253,INDIRECT("'"&amp;E1253&amp;"'"&amp;"!A9:Z9"),0),4),1,""),""),22)</f>
        <v>D22</v>
      </c>
      <c r="C1253" s="1026" t="str">
        <f t="shared" ca="1" si="140"/>
        <v>D</v>
      </c>
      <c r="D1253" s="1376" t="s">
        <v>1455</v>
      </c>
      <c r="E1253" s="1029" t="s">
        <v>208</v>
      </c>
      <c r="I1253" s="1026" t="str">
        <f t="shared" si="136"/>
        <v>Per</v>
      </c>
      <c r="J1253" s="1376" t="str">
        <f>IFERROR(Q$1&amp;M424,"")</f>
        <v>393</v>
      </c>
      <c r="K1253" s="1376" t="str">
        <f t="shared" si="137"/>
        <v>PIM Model</v>
      </c>
      <c r="L1253" s="1376"/>
      <c r="M1253" s="1376"/>
      <c r="N1253" s="1376"/>
    </row>
    <row r="1254" spans="1:14" s="1370" customFormat="1" x14ac:dyDescent="0.25">
      <c r="A1254" s="1121" t="s">
        <v>1338</v>
      </c>
      <c r="B1254" s="1026" t="str">
        <f ca="1">_xlfn.CONCAT(IFERROR(SUBSTITUTE(ADDRESS(1,MATCH(A1254,INDIRECT("'"&amp;E1254&amp;"'"&amp;"!A9:Z9"),0),4),1,""),""),23)</f>
        <v>D23</v>
      </c>
      <c r="C1254" s="1026" t="str">
        <f t="shared" ca="1" si="140"/>
        <v>D</v>
      </c>
      <c r="D1254" s="1376" t="s">
        <v>1455</v>
      </c>
      <c r="E1254" s="1029" t="s">
        <v>208</v>
      </c>
      <c r="I1254" s="1026" t="str">
        <f t="shared" si="136"/>
        <v>Per</v>
      </c>
      <c r="J1254" s="1376" t="str">
        <f>IFERROR(Q$1&amp;M436,"")</f>
        <v>405</v>
      </c>
      <c r="K1254" s="1376" t="str">
        <f t="shared" si="137"/>
        <v>PIM Model</v>
      </c>
      <c r="L1254" s="1376"/>
      <c r="M1254" s="1376"/>
      <c r="N1254" s="1376"/>
    </row>
    <row r="1255" spans="1:14" s="1370" customFormat="1" x14ac:dyDescent="0.25">
      <c r="A1255" s="1118" t="s">
        <v>1338</v>
      </c>
      <c r="B1255" s="1026" t="str">
        <f ca="1">_xlfn.CONCAT(IFERROR(SUBSTITUTE(ADDRESS(1,MATCH(A1255,INDIRECT("'"&amp;E1255&amp;"'"&amp;"!A9:Z9"),0),4),1,""),""),24)</f>
        <v>D24</v>
      </c>
      <c r="C1255" s="1026" t="str">
        <f t="shared" ca="1" si="140"/>
        <v>D</v>
      </c>
      <c r="D1255" s="1376" t="s">
        <v>1455</v>
      </c>
      <c r="E1255" s="1029" t="s">
        <v>208</v>
      </c>
      <c r="I1255" s="1026" t="str">
        <f t="shared" si="136"/>
        <v>Per</v>
      </c>
      <c r="J1255" s="1376" t="str">
        <f>IFERROR(Q$1&amp;M448,"")</f>
        <v>417</v>
      </c>
      <c r="K1255" s="1376" t="str">
        <f t="shared" si="137"/>
        <v>PIM Model</v>
      </c>
      <c r="L1255" s="1376"/>
      <c r="M1255" s="1376"/>
      <c r="N1255" s="1376"/>
    </row>
    <row r="1256" spans="1:14" s="1370" customFormat="1" x14ac:dyDescent="0.25">
      <c r="A1256" s="1121" t="s">
        <v>1338</v>
      </c>
      <c r="B1256" s="1026" t="str">
        <f ca="1">_xlfn.CONCAT(IFERROR(SUBSTITUTE(ADDRESS(1,MATCH(A1256,INDIRECT("'"&amp;E1256&amp;"'"&amp;"!A9:Z9"),0),4),1,""),""),25)</f>
        <v>D25</v>
      </c>
      <c r="C1256" s="1026" t="str">
        <f t="shared" ca="1" si="140"/>
        <v>D</v>
      </c>
      <c r="D1256" s="1376" t="s">
        <v>1455</v>
      </c>
      <c r="E1256" s="1029" t="s">
        <v>208</v>
      </c>
      <c r="I1256" s="1026" t="str">
        <f t="shared" si="136"/>
        <v>Per</v>
      </c>
      <c r="J1256" s="1376" t="str">
        <f>IFERROR(Q$1&amp;M460,"")</f>
        <v>429</v>
      </c>
      <c r="K1256" s="1376" t="str">
        <f t="shared" si="137"/>
        <v>PIM Model</v>
      </c>
      <c r="L1256" s="1376"/>
      <c r="M1256" s="1376"/>
      <c r="N1256" s="1376"/>
    </row>
    <row r="1257" spans="1:14" s="1370" customFormat="1" x14ac:dyDescent="0.25">
      <c r="A1257" s="1118" t="s">
        <v>1338</v>
      </c>
      <c r="B1257" s="1026" t="str">
        <f ca="1">_xlfn.CONCAT(IFERROR(SUBSTITUTE(ADDRESS(1,MATCH(A1257,INDIRECT("'"&amp;E1257&amp;"'"&amp;"!A9:Z9"),0),4),1,""),""),26)</f>
        <v>D26</v>
      </c>
      <c r="C1257" s="1026" t="str">
        <f t="shared" ca="1" si="140"/>
        <v>D</v>
      </c>
      <c r="D1257" s="1376" t="s">
        <v>1455</v>
      </c>
      <c r="E1257" s="1029" t="s">
        <v>208</v>
      </c>
      <c r="I1257" s="1026" t="str">
        <f t="shared" si="136"/>
        <v>Per</v>
      </c>
      <c r="J1257" s="1376" t="str">
        <f>IFERROR(Q$1&amp;M472,"")</f>
        <v>441</v>
      </c>
      <c r="K1257" s="1376" t="str">
        <f t="shared" si="137"/>
        <v>PIM Model</v>
      </c>
      <c r="L1257" s="1376"/>
      <c r="M1257" s="1376"/>
      <c r="N1257" s="1376"/>
    </row>
    <row r="1258" spans="1:14" s="1370" customFormat="1" x14ac:dyDescent="0.25">
      <c r="A1258" s="1121" t="s">
        <v>1338</v>
      </c>
      <c r="B1258" s="1026" t="str">
        <f ca="1">_xlfn.CONCAT(IFERROR(SUBSTITUTE(ADDRESS(1,MATCH(A1258,INDIRECT("'"&amp;E1258&amp;"'"&amp;"!A9:Z9"),0),4),1,""),""),27)</f>
        <v>D27</v>
      </c>
      <c r="C1258" s="1026" t="str">
        <f t="shared" ca="1" si="140"/>
        <v>D</v>
      </c>
      <c r="D1258" s="1376" t="s">
        <v>1455</v>
      </c>
      <c r="E1258" s="1029" t="s">
        <v>208</v>
      </c>
      <c r="I1258" s="1026" t="str">
        <f t="shared" si="136"/>
        <v>Per</v>
      </c>
      <c r="J1258" s="1376" t="str">
        <f>IFERROR(Q$1&amp;M484,"")</f>
        <v>453</v>
      </c>
      <c r="K1258" s="1376" t="str">
        <f t="shared" si="137"/>
        <v>PIM Model</v>
      </c>
      <c r="L1258" s="1376"/>
      <c r="M1258" s="1376"/>
      <c r="N1258" s="1376"/>
    </row>
    <row r="1259" spans="1:14" s="1370" customFormat="1" x14ac:dyDescent="0.25">
      <c r="A1259" s="1118" t="s">
        <v>1338</v>
      </c>
      <c r="B1259" s="1026" t="str">
        <f ca="1">_xlfn.CONCAT(IFERROR(SUBSTITUTE(ADDRESS(1,MATCH(A1259,INDIRECT("'"&amp;E1259&amp;"'"&amp;"!A9:Z9"),0),4),1,""),""),28)</f>
        <v>D28</v>
      </c>
      <c r="C1259" s="1026" t="str">
        <f t="shared" ca="1" si="140"/>
        <v>D</v>
      </c>
      <c r="D1259" s="1376" t="s">
        <v>1455</v>
      </c>
      <c r="E1259" s="1029" t="s">
        <v>208</v>
      </c>
      <c r="I1259" s="1026" t="str">
        <f t="shared" si="136"/>
        <v>Per</v>
      </c>
      <c r="J1259" s="1376" t="str">
        <f>IFERROR(Q$1&amp;M496,"")</f>
        <v>465</v>
      </c>
      <c r="K1259" s="1376" t="str">
        <f t="shared" si="137"/>
        <v>PIM Model</v>
      </c>
      <c r="L1259" s="1376"/>
      <c r="M1259" s="1376"/>
      <c r="N1259" s="1376"/>
    </row>
    <row r="1260" spans="1:14" s="1370" customFormat="1" x14ac:dyDescent="0.25">
      <c r="A1260" s="1121" t="s">
        <v>1338</v>
      </c>
      <c r="B1260" s="1026" t="str">
        <f ca="1">_xlfn.CONCAT(IFERROR(SUBSTITUTE(ADDRESS(1,MATCH(A1260,INDIRECT("'"&amp;E1260&amp;"'"&amp;"!A9:Z9"),0),4),1,""),""),29)</f>
        <v>D29</v>
      </c>
      <c r="C1260" s="1026" t="str">
        <f t="shared" ca="1" si="140"/>
        <v>D</v>
      </c>
      <c r="D1260" s="1376" t="s">
        <v>1455</v>
      </c>
      <c r="E1260" s="1029" t="s">
        <v>208</v>
      </c>
      <c r="I1260" s="1026" t="str">
        <f t="shared" si="136"/>
        <v>Per</v>
      </c>
      <c r="J1260" s="1376" t="str">
        <f>IFERROR(Q$1&amp;M508,"")</f>
        <v>477</v>
      </c>
      <c r="K1260" s="1376" t="str">
        <f t="shared" si="137"/>
        <v>PIM Model</v>
      </c>
      <c r="L1260" s="1376"/>
      <c r="M1260" s="1376"/>
      <c r="N1260" s="1376"/>
    </row>
    <row r="1261" spans="1:14" s="1370" customFormat="1" x14ac:dyDescent="0.25">
      <c r="A1261" s="1118" t="s">
        <v>1338</v>
      </c>
      <c r="B1261" s="1026" t="str">
        <f ca="1">_xlfn.CONCAT(IFERROR(SUBSTITUTE(ADDRESS(1,MATCH(A1261,INDIRECT("'"&amp;E1261&amp;"'"&amp;"!A9:Z9"),0),4),1,""),""),30)</f>
        <v>D30</v>
      </c>
      <c r="C1261" s="1026" t="str">
        <f t="shared" ca="1" si="140"/>
        <v>D</v>
      </c>
      <c r="D1261" s="1376" t="s">
        <v>1455</v>
      </c>
      <c r="E1261" s="1029" t="s">
        <v>208</v>
      </c>
      <c r="I1261" s="1026" t="str">
        <f t="shared" si="136"/>
        <v>Per</v>
      </c>
      <c r="J1261" s="1376" t="str">
        <f>IFERROR(Q$1&amp;M520,"")</f>
        <v>489</v>
      </c>
      <c r="K1261" s="1376" t="str">
        <f t="shared" si="137"/>
        <v>PIM Model</v>
      </c>
      <c r="L1261" s="1376"/>
      <c r="M1261" s="1376"/>
      <c r="N1261" s="1376"/>
    </row>
    <row r="1262" spans="1:14" s="1370" customFormat="1" x14ac:dyDescent="0.25">
      <c r="A1262" s="1118" t="s">
        <v>225</v>
      </c>
      <c r="B1262" s="1026" t="str">
        <f ca="1">_xlfn.CONCAT(IFERROR(SUBSTITUTE(ADDRESS(1,MATCH(A1262,INDIRECT("'"&amp;E1262&amp;"'"&amp;"!A9:Z9"),0),4),1,""),""),10)</f>
        <v>K10</v>
      </c>
      <c r="C1262" s="1026" t="str">
        <f ca="1">_xlfn.CONCAT(IFERROR(SUBSTITUTE(ADDRESS(1,MATCH(A1262,INDIRECT("'"&amp;E1262&amp;"'"&amp;"!A9:Z9"),0),4),1,""),""))</f>
        <v>K</v>
      </c>
      <c r="D1262" s="1376" t="s">
        <v>1455</v>
      </c>
      <c r="E1262" s="1029" t="s">
        <v>208</v>
      </c>
      <c r="I1262" s="1026" t="str">
        <f t="shared" si="136"/>
        <v>Enter Margin</v>
      </c>
      <c r="J1262" s="1376" t="str">
        <f>IFERROR(Q$1&amp;M281,"")</f>
        <v>250</v>
      </c>
      <c r="K1262" s="1376" t="str">
        <f t="shared" si="137"/>
        <v>PIM Model</v>
      </c>
      <c r="L1262" s="1376"/>
      <c r="M1262" s="1376"/>
      <c r="N1262" s="1376"/>
    </row>
    <row r="1263" spans="1:14" s="1370" customFormat="1" x14ac:dyDescent="0.25">
      <c r="A1263" s="1121" t="s">
        <v>225</v>
      </c>
      <c r="B1263" s="1026" t="str">
        <f ca="1">_xlfn.CONCAT(IFERROR(SUBSTITUTE(ADDRESS(1,MATCH(A1263,INDIRECT("'"&amp;E1263&amp;"'"&amp;"!A9:Z9"),0),4),1,""),""),11)</f>
        <v>K11</v>
      </c>
      <c r="C1263" s="1026" t="str">
        <f t="shared" ref="C1263:C1282" ca="1" si="141">_xlfn.CONCAT(IFERROR(SUBSTITUTE(ADDRESS(1,MATCH(A1263,INDIRECT("'"&amp;E1263&amp;"'"&amp;"!A9:Z9"),0),4),1,""),""))</f>
        <v>K</v>
      </c>
      <c r="D1263" s="1376" t="s">
        <v>1455</v>
      </c>
      <c r="E1263" s="1029" t="s">
        <v>208</v>
      </c>
      <c r="I1263" s="1026" t="str">
        <f t="shared" si="136"/>
        <v>Enter Margin</v>
      </c>
      <c r="J1263" s="1376" t="str">
        <f>IFERROR(Q$1&amp;M293,"")</f>
        <v>262</v>
      </c>
      <c r="K1263" s="1376" t="str">
        <f t="shared" si="137"/>
        <v>PIM Model</v>
      </c>
      <c r="L1263" s="1376"/>
      <c r="M1263" s="1376"/>
      <c r="N1263" s="1376"/>
    </row>
    <row r="1264" spans="1:14" s="1370" customFormat="1" x14ac:dyDescent="0.25">
      <c r="A1264" s="1118" t="s">
        <v>225</v>
      </c>
      <c r="B1264" s="1026" t="str">
        <f ca="1">_xlfn.CONCAT(IFERROR(SUBSTITUTE(ADDRESS(1,MATCH(A1264,INDIRECT("'"&amp;E1264&amp;"'"&amp;"!A9:Z9"),0),4),1,""),""),12)</f>
        <v>K12</v>
      </c>
      <c r="C1264" s="1026" t="str">
        <f t="shared" ca="1" si="141"/>
        <v>K</v>
      </c>
      <c r="D1264" s="1376" t="s">
        <v>1455</v>
      </c>
      <c r="E1264" s="1029" t="s">
        <v>208</v>
      </c>
      <c r="I1264" s="1026" t="str">
        <f t="shared" si="136"/>
        <v>Enter Margin</v>
      </c>
      <c r="J1264" s="1376" t="str">
        <f>IFERROR(Q$1&amp;M305,"")</f>
        <v>274</v>
      </c>
      <c r="K1264" s="1376" t="str">
        <f t="shared" si="137"/>
        <v>PIM Model</v>
      </c>
      <c r="L1264" s="1376"/>
      <c r="M1264" s="1376"/>
      <c r="N1264" s="1376"/>
    </row>
    <row r="1265" spans="1:14" s="1370" customFormat="1" x14ac:dyDescent="0.25">
      <c r="A1265" s="1121" t="s">
        <v>225</v>
      </c>
      <c r="B1265" s="1026" t="str">
        <f ca="1">_xlfn.CONCAT(IFERROR(SUBSTITUTE(ADDRESS(1,MATCH(A1265,INDIRECT("'"&amp;E1265&amp;"'"&amp;"!A9:Z9"),0),4),1,""),""),13)</f>
        <v>K13</v>
      </c>
      <c r="C1265" s="1026" t="str">
        <f t="shared" ca="1" si="141"/>
        <v>K</v>
      </c>
      <c r="D1265" s="1376" t="s">
        <v>1455</v>
      </c>
      <c r="E1265" s="1029" t="s">
        <v>208</v>
      </c>
      <c r="I1265" s="1026" t="str">
        <f t="shared" si="136"/>
        <v>Enter Margin</v>
      </c>
      <c r="J1265" s="1376" t="str">
        <f>IFERROR(Q$1&amp;M317,"")</f>
        <v>286</v>
      </c>
      <c r="K1265" s="1376" t="str">
        <f t="shared" si="137"/>
        <v>PIM Model</v>
      </c>
      <c r="L1265" s="1376"/>
      <c r="M1265" s="1376"/>
      <c r="N1265" s="1376"/>
    </row>
    <row r="1266" spans="1:14" s="1370" customFormat="1" x14ac:dyDescent="0.25">
      <c r="A1266" s="1118" t="s">
        <v>225</v>
      </c>
      <c r="B1266" s="1026" t="str">
        <f ca="1">_xlfn.CONCAT(IFERROR(SUBSTITUTE(ADDRESS(1,MATCH(A1266,INDIRECT("'"&amp;E1266&amp;"'"&amp;"!A9:Z9"),0),4),1,""),""),14)</f>
        <v>K14</v>
      </c>
      <c r="C1266" s="1026" t="str">
        <f t="shared" ca="1" si="141"/>
        <v>K</v>
      </c>
      <c r="D1266" s="1376" t="s">
        <v>1455</v>
      </c>
      <c r="E1266" s="1029" t="s">
        <v>208</v>
      </c>
      <c r="I1266" s="1026" t="str">
        <f t="shared" si="136"/>
        <v>Enter Margin</v>
      </c>
      <c r="J1266" s="1376" t="str">
        <f>IFERROR(Q$1&amp;M329,"")</f>
        <v>298</v>
      </c>
      <c r="K1266" s="1376" t="str">
        <f t="shared" si="137"/>
        <v>PIM Model</v>
      </c>
      <c r="L1266" s="1376"/>
      <c r="M1266" s="1376"/>
      <c r="N1266" s="1376"/>
    </row>
    <row r="1267" spans="1:14" s="1370" customFormat="1" x14ac:dyDescent="0.25">
      <c r="A1267" s="1121" t="s">
        <v>225</v>
      </c>
      <c r="B1267" s="1026" t="str">
        <f ca="1">_xlfn.CONCAT(IFERROR(SUBSTITUTE(ADDRESS(1,MATCH(A1267,INDIRECT("'"&amp;E1267&amp;"'"&amp;"!A9:Z9"),0),4),1,""),""),15)</f>
        <v>K15</v>
      </c>
      <c r="C1267" s="1026" t="str">
        <f t="shared" ca="1" si="141"/>
        <v>K</v>
      </c>
      <c r="D1267" s="1376" t="s">
        <v>1455</v>
      </c>
      <c r="E1267" s="1029" t="s">
        <v>208</v>
      </c>
      <c r="I1267" s="1026" t="str">
        <f t="shared" si="136"/>
        <v>Enter Margin</v>
      </c>
      <c r="J1267" s="1376" t="str">
        <f>IFERROR(Q$1&amp;M341,"")</f>
        <v>310</v>
      </c>
      <c r="K1267" s="1376" t="str">
        <f t="shared" si="137"/>
        <v>PIM Model</v>
      </c>
      <c r="L1267" s="1376"/>
      <c r="M1267" s="1376"/>
      <c r="N1267" s="1376"/>
    </row>
    <row r="1268" spans="1:14" s="1370" customFormat="1" x14ac:dyDescent="0.25">
      <c r="A1268" s="1118" t="s">
        <v>225</v>
      </c>
      <c r="B1268" s="1026" t="str">
        <f ca="1">_xlfn.CONCAT(IFERROR(SUBSTITUTE(ADDRESS(1,MATCH(A1268,INDIRECT("'"&amp;E1268&amp;"'"&amp;"!A9:Z9"),0),4),1,""),""),16)</f>
        <v>K16</v>
      </c>
      <c r="C1268" s="1026" t="str">
        <f t="shared" ca="1" si="141"/>
        <v>K</v>
      </c>
      <c r="D1268" s="1376" t="s">
        <v>1455</v>
      </c>
      <c r="E1268" s="1029" t="s">
        <v>208</v>
      </c>
      <c r="I1268" s="1026" t="str">
        <f t="shared" si="136"/>
        <v>Enter Margin</v>
      </c>
      <c r="J1268" s="1376" t="str">
        <f>IFERROR(Q$1&amp;M353,"")</f>
        <v>322</v>
      </c>
      <c r="K1268" s="1376" t="str">
        <f t="shared" si="137"/>
        <v>PIM Model</v>
      </c>
      <c r="L1268" s="1376"/>
      <c r="M1268" s="1376"/>
      <c r="N1268" s="1376"/>
    </row>
    <row r="1269" spans="1:14" s="1370" customFormat="1" x14ac:dyDescent="0.25">
      <c r="A1269" s="1121" t="s">
        <v>225</v>
      </c>
      <c r="B1269" s="1026" t="str">
        <f ca="1">_xlfn.CONCAT(IFERROR(SUBSTITUTE(ADDRESS(1,MATCH(A1269,INDIRECT("'"&amp;E1269&amp;"'"&amp;"!A9:Z9"),0),4),1,""),""),17)</f>
        <v>K17</v>
      </c>
      <c r="C1269" s="1026" t="str">
        <f t="shared" ca="1" si="141"/>
        <v>K</v>
      </c>
      <c r="D1269" s="1376" t="s">
        <v>1455</v>
      </c>
      <c r="E1269" s="1029" t="s">
        <v>208</v>
      </c>
      <c r="I1269" s="1026" t="str">
        <f t="shared" si="136"/>
        <v>Enter Margin</v>
      </c>
      <c r="J1269" s="1376" t="str">
        <f>IFERROR(Q$1&amp;M365,"")</f>
        <v>334</v>
      </c>
      <c r="K1269" s="1376" t="str">
        <f t="shared" si="137"/>
        <v>PIM Model</v>
      </c>
      <c r="L1269" s="1376"/>
      <c r="M1269" s="1376"/>
      <c r="N1269" s="1376"/>
    </row>
    <row r="1270" spans="1:14" s="1370" customFormat="1" x14ac:dyDescent="0.25">
      <c r="A1270" s="1118" t="s">
        <v>225</v>
      </c>
      <c r="B1270" s="1026" t="str">
        <f ca="1">_xlfn.CONCAT(IFERROR(SUBSTITUTE(ADDRESS(1,MATCH(A1270,INDIRECT("'"&amp;E1270&amp;"'"&amp;"!A9:Z9"),0),4),1,""),""),18)</f>
        <v>K18</v>
      </c>
      <c r="C1270" s="1026" t="str">
        <f t="shared" ca="1" si="141"/>
        <v>K</v>
      </c>
      <c r="D1270" s="1376" t="s">
        <v>1455</v>
      </c>
      <c r="E1270" s="1029" t="s">
        <v>208</v>
      </c>
      <c r="I1270" s="1026" t="str">
        <f t="shared" si="136"/>
        <v>Enter Margin</v>
      </c>
      <c r="J1270" s="1376" t="str">
        <f>IFERROR(Q$1&amp;M377,"")</f>
        <v>346</v>
      </c>
      <c r="K1270" s="1376" t="str">
        <f t="shared" si="137"/>
        <v>PIM Model</v>
      </c>
      <c r="L1270" s="1376"/>
      <c r="M1270" s="1376"/>
      <c r="N1270" s="1376"/>
    </row>
    <row r="1271" spans="1:14" s="1370" customFormat="1" x14ac:dyDescent="0.25">
      <c r="A1271" s="1121" t="s">
        <v>225</v>
      </c>
      <c r="B1271" s="1026" t="str">
        <f ca="1">_xlfn.CONCAT(IFERROR(SUBSTITUTE(ADDRESS(1,MATCH(A1271,INDIRECT("'"&amp;E1271&amp;"'"&amp;"!A9:Z9"),0),4),1,""),""),19)</f>
        <v>K19</v>
      </c>
      <c r="C1271" s="1026" t="str">
        <f t="shared" ca="1" si="141"/>
        <v>K</v>
      </c>
      <c r="D1271" s="1376" t="s">
        <v>1455</v>
      </c>
      <c r="E1271" s="1029" t="s">
        <v>208</v>
      </c>
      <c r="I1271" s="1026" t="str">
        <f t="shared" si="136"/>
        <v>Enter Margin</v>
      </c>
      <c r="J1271" s="1376" t="str">
        <f>IFERROR(Q$1&amp;M389,"")</f>
        <v>358</v>
      </c>
      <c r="K1271" s="1376" t="str">
        <f t="shared" si="137"/>
        <v>PIM Model</v>
      </c>
      <c r="L1271" s="1376"/>
      <c r="M1271" s="1376"/>
      <c r="N1271" s="1376"/>
    </row>
    <row r="1272" spans="1:14" s="1370" customFormat="1" x14ac:dyDescent="0.25">
      <c r="A1272" s="1118" t="s">
        <v>225</v>
      </c>
      <c r="B1272" s="1026" t="str">
        <f ca="1">_xlfn.CONCAT(IFERROR(SUBSTITUTE(ADDRESS(1,MATCH(A1272,INDIRECT("'"&amp;E1272&amp;"'"&amp;"!A9:Z9"),0),4),1,""),""),20)</f>
        <v>K20</v>
      </c>
      <c r="C1272" s="1026" t="str">
        <f t="shared" ca="1" si="141"/>
        <v>K</v>
      </c>
      <c r="D1272" s="1376" t="s">
        <v>1455</v>
      </c>
      <c r="E1272" s="1029" t="s">
        <v>208</v>
      </c>
      <c r="I1272" s="1026" t="str">
        <f t="shared" si="136"/>
        <v>Enter Margin</v>
      </c>
      <c r="J1272" s="1376" t="str">
        <f>IFERROR(Q$1&amp;M401,"")</f>
        <v>370</v>
      </c>
      <c r="K1272" s="1376" t="str">
        <f t="shared" si="137"/>
        <v>PIM Model</v>
      </c>
      <c r="L1272" s="1376"/>
      <c r="M1272" s="1376"/>
      <c r="N1272" s="1376"/>
    </row>
    <row r="1273" spans="1:14" s="1370" customFormat="1" x14ac:dyDescent="0.25">
      <c r="A1273" s="1121" t="s">
        <v>225</v>
      </c>
      <c r="B1273" s="1026" t="str">
        <f ca="1">_xlfn.CONCAT(IFERROR(SUBSTITUTE(ADDRESS(1,MATCH(A1273,INDIRECT("'"&amp;E1273&amp;"'"&amp;"!A9:Z9"),0),4),1,""),""),21)</f>
        <v>K21</v>
      </c>
      <c r="C1273" s="1026" t="str">
        <f t="shared" ca="1" si="141"/>
        <v>K</v>
      </c>
      <c r="D1273" s="1376" t="s">
        <v>1455</v>
      </c>
      <c r="E1273" s="1029" t="s">
        <v>208</v>
      </c>
      <c r="I1273" s="1026" t="str">
        <f t="shared" si="136"/>
        <v>Enter Margin</v>
      </c>
      <c r="J1273" s="1376" t="str">
        <f>IFERROR(Q$1&amp;M413,"")</f>
        <v>382</v>
      </c>
      <c r="K1273" s="1376" t="str">
        <f t="shared" si="137"/>
        <v>PIM Model</v>
      </c>
      <c r="L1273" s="1376"/>
      <c r="M1273" s="1376"/>
      <c r="N1273" s="1376"/>
    </row>
    <row r="1274" spans="1:14" s="1370" customFormat="1" x14ac:dyDescent="0.25">
      <c r="A1274" s="1118" t="s">
        <v>225</v>
      </c>
      <c r="B1274" s="1026" t="str">
        <f ca="1">_xlfn.CONCAT(IFERROR(SUBSTITUTE(ADDRESS(1,MATCH(A1274,INDIRECT("'"&amp;E1274&amp;"'"&amp;"!A9:Z9"),0),4),1,""),""),22)</f>
        <v>K22</v>
      </c>
      <c r="C1274" s="1026" t="str">
        <f t="shared" ca="1" si="141"/>
        <v>K</v>
      </c>
      <c r="D1274" s="1376" t="s">
        <v>1455</v>
      </c>
      <c r="E1274" s="1029" t="s">
        <v>208</v>
      </c>
      <c r="I1274" s="1026" t="str">
        <f t="shared" si="136"/>
        <v>Enter Margin</v>
      </c>
      <c r="J1274" s="1376" t="str">
        <f>IFERROR(Q$1&amp;M425,"")</f>
        <v>394</v>
      </c>
      <c r="K1274" s="1376" t="str">
        <f t="shared" si="137"/>
        <v>PIM Model</v>
      </c>
      <c r="L1274" s="1376"/>
      <c r="M1274" s="1376"/>
      <c r="N1274" s="1376"/>
    </row>
    <row r="1275" spans="1:14" s="1370" customFormat="1" x14ac:dyDescent="0.25">
      <c r="A1275" s="1121" t="s">
        <v>225</v>
      </c>
      <c r="B1275" s="1026" t="str">
        <f ca="1">_xlfn.CONCAT(IFERROR(SUBSTITUTE(ADDRESS(1,MATCH(A1275,INDIRECT("'"&amp;E1275&amp;"'"&amp;"!A9:Z9"),0),4),1,""),""),23)</f>
        <v>K23</v>
      </c>
      <c r="C1275" s="1026" t="str">
        <f t="shared" ca="1" si="141"/>
        <v>K</v>
      </c>
      <c r="D1275" s="1376" t="s">
        <v>1455</v>
      </c>
      <c r="E1275" s="1029" t="s">
        <v>208</v>
      </c>
      <c r="I1275" s="1026" t="str">
        <f t="shared" si="136"/>
        <v>Enter Margin</v>
      </c>
      <c r="J1275" s="1376" t="str">
        <f>IFERROR(Q$1&amp;M437,"")</f>
        <v>406</v>
      </c>
      <c r="K1275" s="1376" t="str">
        <f t="shared" si="137"/>
        <v>PIM Model</v>
      </c>
      <c r="L1275" s="1376"/>
      <c r="M1275" s="1376"/>
      <c r="N1275" s="1376"/>
    </row>
    <row r="1276" spans="1:14" s="1370" customFormat="1" x14ac:dyDescent="0.25">
      <c r="A1276" s="1118" t="s">
        <v>225</v>
      </c>
      <c r="B1276" s="1026" t="str">
        <f ca="1">_xlfn.CONCAT(IFERROR(SUBSTITUTE(ADDRESS(1,MATCH(A1276,INDIRECT("'"&amp;E1276&amp;"'"&amp;"!A9:Z9"),0),4),1,""),""),24)</f>
        <v>K24</v>
      </c>
      <c r="C1276" s="1026" t="str">
        <f t="shared" ca="1" si="141"/>
        <v>K</v>
      </c>
      <c r="D1276" s="1376" t="s">
        <v>1455</v>
      </c>
      <c r="E1276" s="1029" t="s">
        <v>208</v>
      </c>
      <c r="I1276" s="1026" t="str">
        <f t="shared" si="136"/>
        <v>Enter Margin</v>
      </c>
      <c r="J1276" s="1376" t="str">
        <f>IFERROR(Q$1&amp;M449,"")</f>
        <v>418</v>
      </c>
      <c r="K1276" s="1376" t="str">
        <f t="shared" si="137"/>
        <v>PIM Model</v>
      </c>
      <c r="L1276" s="1376"/>
      <c r="M1276" s="1376"/>
      <c r="N1276" s="1376"/>
    </row>
    <row r="1277" spans="1:14" s="1370" customFormat="1" x14ac:dyDescent="0.25">
      <c r="A1277" s="1121" t="s">
        <v>225</v>
      </c>
      <c r="B1277" s="1026" t="str">
        <f ca="1">_xlfn.CONCAT(IFERROR(SUBSTITUTE(ADDRESS(1,MATCH(A1277,INDIRECT("'"&amp;E1277&amp;"'"&amp;"!A9:Z9"),0),4),1,""),""),25)</f>
        <v>K25</v>
      </c>
      <c r="C1277" s="1026" t="str">
        <f t="shared" ca="1" si="141"/>
        <v>K</v>
      </c>
      <c r="D1277" s="1376" t="s">
        <v>1455</v>
      </c>
      <c r="E1277" s="1029" t="s">
        <v>208</v>
      </c>
      <c r="I1277" s="1026" t="str">
        <f t="shared" si="136"/>
        <v>Enter Margin</v>
      </c>
      <c r="J1277" s="1376" t="str">
        <f>IFERROR(Q$1&amp;M461,"")</f>
        <v>430</v>
      </c>
      <c r="K1277" s="1376" t="str">
        <f t="shared" si="137"/>
        <v>PIM Model</v>
      </c>
      <c r="L1277" s="1376"/>
      <c r="M1277" s="1376"/>
      <c r="N1277" s="1376"/>
    </row>
    <row r="1278" spans="1:14" s="1370" customFormat="1" x14ac:dyDescent="0.25">
      <c r="A1278" s="1118" t="s">
        <v>225</v>
      </c>
      <c r="B1278" s="1026" t="str">
        <f ca="1">_xlfn.CONCAT(IFERROR(SUBSTITUTE(ADDRESS(1,MATCH(A1278,INDIRECT("'"&amp;E1278&amp;"'"&amp;"!A9:Z9"),0),4),1,""),""),26)</f>
        <v>K26</v>
      </c>
      <c r="C1278" s="1026" t="str">
        <f t="shared" ca="1" si="141"/>
        <v>K</v>
      </c>
      <c r="D1278" s="1376" t="s">
        <v>1455</v>
      </c>
      <c r="E1278" s="1029" t="s">
        <v>208</v>
      </c>
      <c r="I1278" s="1026" t="str">
        <f t="shared" si="136"/>
        <v>Enter Margin</v>
      </c>
      <c r="J1278" s="1376" t="str">
        <f>IFERROR(Q$1&amp;M473,"")</f>
        <v>442</v>
      </c>
      <c r="K1278" s="1376" t="str">
        <f t="shared" si="137"/>
        <v>PIM Model</v>
      </c>
      <c r="L1278" s="1376"/>
      <c r="M1278" s="1376"/>
      <c r="N1278" s="1376"/>
    </row>
    <row r="1279" spans="1:14" s="1370" customFormat="1" x14ac:dyDescent="0.25">
      <c r="A1279" s="1121" t="s">
        <v>225</v>
      </c>
      <c r="B1279" s="1026" t="str">
        <f ca="1">_xlfn.CONCAT(IFERROR(SUBSTITUTE(ADDRESS(1,MATCH(A1279,INDIRECT("'"&amp;E1279&amp;"'"&amp;"!A9:Z9"),0),4),1,""),""),27)</f>
        <v>K27</v>
      </c>
      <c r="C1279" s="1026" t="str">
        <f t="shared" ca="1" si="141"/>
        <v>K</v>
      </c>
      <c r="D1279" s="1376" t="s">
        <v>1455</v>
      </c>
      <c r="E1279" s="1029" t="s">
        <v>208</v>
      </c>
      <c r="I1279" s="1026" t="str">
        <f t="shared" si="136"/>
        <v>Enter Margin</v>
      </c>
      <c r="J1279" s="1376" t="str">
        <f>IFERROR(Q$1&amp;M485,"")</f>
        <v>454</v>
      </c>
      <c r="K1279" s="1376" t="str">
        <f t="shared" si="137"/>
        <v>PIM Model</v>
      </c>
      <c r="L1279" s="1376"/>
      <c r="M1279" s="1376"/>
      <c r="N1279" s="1376"/>
    </row>
    <row r="1280" spans="1:14" s="1370" customFormat="1" x14ac:dyDescent="0.25">
      <c r="A1280" s="1118" t="s">
        <v>225</v>
      </c>
      <c r="B1280" s="1026" t="str">
        <f ca="1">_xlfn.CONCAT(IFERROR(SUBSTITUTE(ADDRESS(1,MATCH(A1280,INDIRECT("'"&amp;E1280&amp;"'"&amp;"!A9:Z9"),0),4),1,""),""),28)</f>
        <v>K28</v>
      </c>
      <c r="C1280" s="1026" t="str">
        <f t="shared" ca="1" si="141"/>
        <v>K</v>
      </c>
      <c r="D1280" s="1376" t="s">
        <v>1455</v>
      </c>
      <c r="E1280" s="1029" t="s">
        <v>208</v>
      </c>
      <c r="I1280" s="1026" t="str">
        <f t="shared" si="136"/>
        <v>Enter Margin</v>
      </c>
      <c r="J1280" s="1376" t="str">
        <f>IFERROR(Q$1&amp;M497,"")</f>
        <v>466</v>
      </c>
      <c r="K1280" s="1376" t="str">
        <f t="shared" si="137"/>
        <v>PIM Model</v>
      </c>
      <c r="L1280" s="1376"/>
      <c r="M1280" s="1376"/>
      <c r="N1280" s="1376"/>
    </row>
    <row r="1281" spans="1:22" s="1370" customFormat="1" x14ac:dyDescent="0.25">
      <c r="A1281" s="1121" t="s">
        <v>225</v>
      </c>
      <c r="B1281" s="1026" t="str">
        <f ca="1">_xlfn.CONCAT(IFERROR(SUBSTITUTE(ADDRESS(1,MATCH(A1281,INDIRECT("'"&amp;E1281&amp;"'"&amp;"!A9:Z9"),0),4),1,""),""),29)</f>
        <v>K29</v>
      </c>
      <c r="C1281" s="1026" t="str">
        <f t="shared" ca="1" si="141"/>
        <v>K</v>
      </c>
      <c r="D1281" s="1376" t="s">
        <v>1455</v>
      </c>
      <c r="E1281" s="1029" t="s">
        <v>208</v>
      </c>
      <c r="I1281" s="1026" t="str">
        <f t="shared" si="136"/>
        <v>Enter Margin</v>
      </c>
      <c r="J1281" s="1376" t="str">
        <f>IFERROR(Q$1&amp;M509,"")</f>
        <v>478</v>
      </c>
      <c r="K1281" s="1376" t="str">
        <f t="shared" si="137"/>
        <v>PIM Model</v>
      </c>
      <c r="L1281" s="1376"/>
      <c r="M1281" s="1376"/>
      <c r="N1281" s="1376"/>
    </row>
    <row r="1282" spans="1:22" s="1370" customFormat="1" x14ac:dyDescent="0.25">
      <c r="A1282" s="1118" t="s">
        <v>225</v>
      </c>
      <c r="B1282" s="1026" t="str">
        <f ca="1">_xlfn.CONCAT(IFERROR(SUBSTITUTE(ADDRESS(1,MATCH(A1282,INDIRECT("'"&amp;E1282&amp;"'"&amp;"!A9:Z9"),0),4),1,""),""),30)</f>
        <v>K30</v>
      </c>
      <c r="C1282" s="1026" t="str">
        <f t="shared" ca="1" si="141"/>
        <v>K</v>
      </c>
      <c r="D1282" s="1376" t="s">
        <v>1455</v>
      </c>
      <c r="E1282" s="1029" t="s">
        <v>208</v>
      </c>
      <c r="I1282" s="1026" t="str">
        <f t="shared" si="136"/>
        <v>Enter Margin</v>
      </c>
      <c r="J1282" s="1376" t="str">
        <f>IFERROR(Q$1&amp;M521,"")</f>
        <v>490</v>
      </c>
      <c r="K1282" s="1376" t="str">
        <f t="shared" si="137"/>
        <v>PIM Model</v>
      </c>
      <c r="L1282" s="1376"/>
      <c r="M1282" s="1376"/>
      <c r="N1282" s="1376"/>
    </row>
    <row r="1283" spans="1:22" s="1370" customFormat="1" x14ac:dyDescent="0.25">
      <c r="A1283" s="1376" t="s">
        <v>1574</v>
      </c>
      <c r="B1283" s="1026" t="str">
        <f>IFERROR(_xlfn.CONCAT("D",MATCH(A1283,Incentives!D$1:D$60,0)),"")</f>
        <v>D4</v>
      </c>
      <c r="C1283" s="1026" t="str">
        <f>IFERROR(_xlfn.CONCAT("E",MATCH(A1283,Incentives!D$1:D$60,0)),"")</f>
        <v>E4</v>
      </c>
      <c r="D1283" s="1376" t="s">
        <v>1448</v>
      </c>
      <c r="E1283" s="1029" t="s">
        <v>1893</v>
      </c>
      <c r="I1283" s="1376" t="s">
        <v>1574</v>
      </c>
      <c r="J1283" s="1415" t="str">
        <f>IFERROR(Q$1&amp;M1283,"")</f>
        <v>1203</v>
      </c>
      <c r="K1283" s="1376" t="str">
        <f t="shared" ref="K1283:K1347" si="142">IF(J1283&lt;&gt;"",E1283,"")</f>
        <v>Incentives</v>
      </c>
      <c r="L1283" s="1376" t="s">
        <v>1919</v>
      </c>
      <c r="M1283" s="1376">
        <v>1203</v>
      </c>
      <c r="N1283" s="1376"/>
      <c r="R1283" s="1376" t="s">
        <v>1245</v>
      </c>
    </row>
    <row r="1284" spans="1:22" s="1370" customFormat="1" x14ac:dyDescent="0.25">
      <c r="A1284" s="1376" t="s">
        <v>1573</v>
      </c>
      <c r="B1284" s="1026" t="str">
        <f>IFERROR(_xlfn.CONCAT("D",MATCH(A1284,Incentives!D$1:D$60,0)),"")</f>
        <v>D6</v>
      </c>
      <c r="C1284" s="1026" t="str">
        <f>IFERROR(_xlfn.CONCAT("E",MATCH(A1284,Incentives!D$1:D$60,0)),"")</f>
        <v>E6</v>
      </c>
      <c r="D1284" s="1376" t="s">
        <v>1448</v>
      </c>
      <c r="E1284" s="1029" t="s">
        <v>1893</v>
      </c>
      <c r="I1284" s="1376" t="s">
        <v>1573</v>
      </c>
      <c r="J1284" s="1415" t="str">
        <f>IFERROR(Q$1&amp;M1284,"")</f>
        <v>1204</v>
      </c>
      <c r="K1284" s="1376" t="str">
        <f t="shared" si="142"/>
        <v>Incentives</v>
      </c>
      <c r="L1284" s="1376" t="s">
        <v>1920</v>
      </c>
      <c r="M1284" s="1376">
        <v>1204</v>
      </c>
      <c r="N1284" s="1376"/>
      <c r="R1284" s="1376" t="s">
        <v>1245</v>
      </c>
    </row>
    <row r="1285" spans="1:22" s="1370" customFormat="1" x14ac:dyDescent="0.25">
      <c r="A1285" s="1412" t="s">
        <v>1894</v>
      </c>
      <c r="B1285" s="1027" t="str">
        <f>IFERROR(_xlfn.CONCAT("D",MATCH(A1285,Incentives!D$1:D$60,0)),"")</f>
        <v/>
      </c>
      <c r="C1285" s="1027" t="str">
        <f>IFERROR(_xlfn.CONCAT("E",MATCH(A1285,Incentives!D$1:D$60,0)),"")</f>
        <v/>
      </c>
      <c r="D1285" s="694" t="s">
        <v>1448</v>
      </c>
      <c r="E1285" s="1030" t="s">
        <v>1893</v>
      </c>
      <c r="I1285" s="694" t="s">
        <v>1894</v>
      </c>
      <c r="J1285" s="1415" t="str">
        <f>IFERROR(Q$1&amp;M1285,"")</f>
        <v/>
      </c>
      <c r="K1285" s="1376" t="str">
        <f t="shared" si="142"/>
        <v/>
      </c>
      <c r="L1285" s="694"/>
      <c r="M1285" s="1376"/>
      <c r="N1285" s="694"/>
      <c r="R1285" s="1376" t="s">
        <v>1245</v>
      </c>
    </row>
    <row r="1286" spans="1:22" s="1370" customFormat="1" x14ac:dyDescent="0.25">
      <c r="A1286" s="1300" t="s">
        <v>528</v>
      </c>
      <c r="B1286" s="1027" t="str">
        <f>IFERROR(_xlfn.CONCAT("D",('Configurable Tab'!$C$3+1)),"")</f>
        <v>D13</v>
      </c>
      <c r="C1286" s="1027" t="str">
        <f>IFERROR(_xlfn.CONCAT("E",('Configurable Tab'!$C$3+1)),"")</f>
        <v>E13</v>
      </c>
      <c r="D1286" s="694" t="s">
        <v>1448</v>
      </c>
      <c r="E1286" s="1030" t="s">
        <v>1893</v>
      </c>
      <c r="F1286" s="1376"/>
      <c r="G1286" s="1376"/>
      <c r="H1286" s="1376"/>
      <c r="I1286" s="1026" t="str">
        <f t="shared" ref="I1286:I1347" si="143">IF(J1286&lt;&gt;"",A1286,"")</f>
        <v>Offer this Incentive?</v>
      </c>
      <c r="J1286" s="1376" t="str">
        <f>$Q$1&amp;IF(T$1286&lt;&gt;0,U1286,IF(T$1304&lt;&gt;0,U1304,IF(T$1322&lt;&gt;0,U1322,"")))</f>
        <v>517</v>
      </c>
      <c r="K1286" s="1376" t="str">
        <f t="shared" si="142"/>
        <v>Incentives</v>
      </c>
      <c r="L1286" s="1376"/>
      <c r="M1286" s="1376"/>
      <c r="N1286" s="1376"/>
      <c r="O1286" s="1370" t="s">
        <v>1895</v>
      </c>
      <c r="R1286" s="1376" t="s">
        <v>898</v>
      </c>
      <c r="S1286" s="1376" t="s">
        <v>1896</v>
      </c>
      <c r="T1286" s="1373">
        <f>IF(Q$540="Yes",IF(Q$555="Yes",2,1),0)</f>
        <v>1</v>
      </c>
      <c r="U1286" s="1376">
        <f>IF(Q$540="Yes",M540,"")</f>
        <v>517</v>
      </c>
      <c r="V1286" s="1376" t="str">
        <f>IF(Q$555="Yes",M555,"")</f>
        <v/>
      </c>
    </row>
    <row r="1287" spans="1:22" s="1370" customFormat="1" x14ac:dyDescent="0.25">
      <c r="A1287" s="1301" t="s">
        <v>1482</v>
      </c>
      <c r="B1287" s="1027" t="str">
        <f>IFERROR(_xlfn.CONCAT("D",('Configurable Tab'!$C$3+2)),"")</f>
        <v>D14</v>
      </c>
      <c r="C1287" s="1027" t="str">
        <f>IFERROR(_xlfn.CONCAT("E",('Configurable Tab'!$C$3+2)),"")</f>
        <v>E14</v>
      </c>
      <c r="D1287" s="694" t="s">
        <v>1448</v>
      </c>
      <c r="E1287" s="1030" t="s">
        <v>1893</v>
      </c>
      <c r="F1287" s="1376"/>
      <c r="G1287" s="1376"/>
      <c r="H1287" s="1376"/>
      <c r="I1287" s="1026" t="str">
        <f t="shared" si="143"/>
        <v>Incentive Type</v>
      </c>
      <c r="J1287" s="1376" t="str">
        <f t="shared" ref="J1287:J1303" si="144">$Q$1&amp;IF(T$1286&lt;&gt;0,U1287,IF(T$1304&lt;&gt;0,U1305,IF(T$1322&lt;&gt;0,U1323,"")))</f>
        <v>518</v>
      </c>
      <c r="K1287" s="1376" t="str">
        <f t="shared" si="142"/>
        <v>Incentives</v>
      </c>
      <c r="L1287" s="1376"/>
      <c r="M1287" s="1376"/>
      <c r="N1287" s="1376"/>
      <c r="R1287" s="1376" t="s">
        <v>898</v>
      </c>
      <c r="S1287" s="1376" t="s">
        <v>1896</v>
      </c>
      <c r="U1287" s="1376">
        <f t="shared" ref="U1287:U1289" si="145">IF(Q$540="Yes",M541,"")</f>
        <v>518</v>
      </c>
      <c r="V1287" s="1376" t="str">
        <f t="shared" ref="V1287:V1289" si="146">IF(Q$555="Yes",M556,"")</f>
        <v/>
      </c>
    </row>
    <row r="1288" spans="1:22" s="1370" customFormat="1" x14ac:dyDescent="0.25">
      <c r="A1288" s="1301" t="s">
        <v>1484</v>
      </c>
      <c r="B1288" s="1027" t="str">
        <f>IFERROR(_xlfn.CONCAT("D",('Configurable Tab'!$C$3+4)),"")</f>
        <v>D16</v>
      </c>
      <c r="C1288" s="1027" t="str">
        <f>IFERROR(_xlfn.CONCAT("E",('Configurable Tab'!$C$3+4)),"")</f>
        <v>E16</v>
      </c>
      <c r="D1288" s="694" t="s">
        <v>1448</v>
      </c>
      <c r="E1288" s="1030" t="s">
        <v>1893</v>
      </c>
      <c r="F1288" s="1376"/>
      <c r="G1288" s="1376"/>
      <c r="H1288" s="1376"/>
      <c r="I1288" s="1026" t="str">
        <f t="shared" si="143"/>
        <v>Incentive Effective Date</v>
      </c>
      <c r="J1288" s="1376" t="str">
        <f t="shared" si="144"/>
        <v>526</v>
      </c>
      <c r="K1288" s="1376" t="str">
        <f t="shared" si="142"/>
        <v>Incentives</v>
      </c>
      <c r="L1288" s="1376"/>
      <c r="M1288" s="1376"/>
      <c r="N1288" s="1376"/>
      <c r="R1288" s="1376" t="s">
        <v>898</v>
      </c>
      <c r="S1288" s="1376" t="s">
        <v>1896</v>
      </c>
      <c r="U1288" s="1376">
        <f t="shared" si="145"/>
        <v>526</v>
      </c>
      <c r="V1288" s="1376" t="str">
        <f t="shared" si="146"/>
        <v/>
      </c>
    </row>
    <row r="1289" spans="1:22" s="1370" customFormat="1" x14ac:dyDescent="0.25">
      <c r="A1289" s="1383" t="s">
        <v>1485</v>
      </c>
      <c r="B1289" s="1027" t="str">
        <f>IFERROR(_xlfn.CONCAT("D",('Configurable Tab'!$C$3+5)),"")</f>
        <v>D17</v>
      </c>
      <c r="C1289" s="1027" t="str">
        <f>IFERROR(_xlfn.CONCAT("E",('Configurable Tab'!$C$3+5)),"")</f>
        <v>E17</v>
      </c>
      <c r="D1289" s="694" t="s">
        <v>1448</v>
      </c>
      <c r="E1289" s="1030" t="s">
        <v>1893</v>
      </c>
      <c r="F1289" s="1376"/>
      <c r="G1289" s="1376"/>
      <c r="H1289" s="1376"/>
      <c r="I1289" s="1026" t="str">
        <f t="shared" si="143"/>
        <v>Incentive Expiration Date</v>
      </c>
      <c r="J1289" s="1376" t="str">
        <f t="shared" si="144"/>
        <v>527</v>
      </c>
      <c r="K1289" s="1376" t="str">
        <f t="shared" si="142"/>
        <v>Incentives</v>
      </c>
      <c r="L1289" s="1376"/>
      <c r="M1289" s="1376"/>
      <c r="N1289" s="1376"/>
      <c r="R1289" s="1376" t="s">
        <v>898</v>
      </c>
      <c r="S1289" s="1376" t="s">
        <v>1896</v>
      </c>
      <c r="U1289" s="1376">
        <f t="shared" si="145"/>
        <v>527</v>
      </c>
      <c r="V1289" s="1376" t="str">
        <f t="shared" si="146"/>
        <v/>
      </c>
    </row>
    <row r="1290" spans="1:22" s="1370" customFormat="1" x14ac:dyDescent="0.25">
      <c r="A1290" s="1301" t="s">
        <v>1479</v>
      </c>
      <c r="B1290" s="1027" t="str">
        <f>IFERROR(_xlfn.CONCAT("G",('Configurable Tab'!$C$3+1)),"")</f>
        <v>G13</v>
      </c>
      <c r="C1290" s="1027" t="str">
        <f>IFERROR(_xlfn.CONCAT("G",('Configurable Tab'!$C$3+2)),"")</f>
        <v>G14</v>
      </c>
      <c r="D1290" s="694" t="s">
        <v>1448</v>
      </c>
      <c r="E1290" s="1030" t="s">
        <v>1893</v>
      </c>
      <c r="F1290" s="1369"/>
      <c r="G1290" s="1384"/>
      <c r="H1290" s="1376"/>
      <c r="I1290" s="1026" t="str">
        <f t="shared" si="143"/>
        <v>Incentive Period</v>
      </c>
      <c r="J1290" s="1376" t="str">
        <f t="shared" si="144"/>
        <v>519</v>
      </c>
      <c r="K1290" s="1376" t="str">
        <f t="shared" si="142"/>
        <v>Incentives</v>
      </c>
      <c r="L1290" s="1376"/>
      <c r="M1290" s="1376"/>
      <c r="N1290" s="1376"/>
      <c r="R1290" s="1376" t="s">
        <v>898</v>
      </c>
      <c r="S1290" s="1374" t="s">
        <v>1896</v>
      </c>
      <c r="U1290" s="1376">
        <f>IF(Q$540="Yes",M545,"")</f>
        <v>519</v>
      </c>
      <c r="V1290" s="1376" t="str">
        <f>IF(Q$555="Yes",M560,"")</f>
        <v/>
      </c>
    </row>
    <row r="1291" spans="1:22" s="1370" customFormat="1" x14ac:dyDescent="0.25">
      <c r="A1291" s="1301" t="s">
        <v>1480</v>
      </c>
      <c r="B1291" s="1027" t="str">
        <f>IFERROR(_xlfn.CONCAT("I",('Configurable Tab'!$C$3+1)),"")</f>
        <v>I13</v>
      </c>
      <c r="C1291" s="1027" t="str">
        <f>IFERROR(_xlfn.CONCAT("I",('Configurable Tab'!$C$3+2)),"")</f>
        <v>I14</v>
      </c>
      <c r="D1291" s="694" t="s">
        <v>1448</v>
      </c>
      <c r="E1291" s="1030" t="s">
        <v>1893</v>
      </c>
      <c r="F1291" s="1376"/>
      <c r="G1291" s="1376"/>
      <c r="H1291" s="1376"/>
      <c r="I1291" s="1026" t="str">
        <f t="shared" si="143"/>
        <v>Payment Method</v>
      </c>
      <c r="J1291" s="1376" t="str">
        <f t="shared" si="144"/>
        <v>520</v>
      </c>
      <c r="K1291" s="1376" t="str">
        <f t="shared" si="142"/>
        <v>Incentives</v>
      </c>
      <c r="L1291" s="1376"/>
      <c r="M1291" s="1376"/>
      <c r="N1291" s="1376"/>
      <c r="R1291" s="1376" t="s">
        <v>898</v>
      </c>
      <c r="S1291" s="1374" t="s">
        <v>1896</v>
      </c>
      <c r="U1291" s="1376">
        <f t="shared" ref="U1291:U1293" si="147">IF(Q$540="Yes",M546,"")</f>
        <v>520</v>
      </c>
      <c r="V1291" s="1376" t="str">
        <f t="shared" ref="V1291:V1293" si="148">IF(Q$555="Yes",M561,"")</f>
        <v/>
      </c>
    </row>
    <row r="1292" spans="1:22" s="1370" customFormat="1" x14ac:dyDescent="0.25">
      <c r="A1292" s="1301" t="s">
        <v>871</v>
      </c>
      <c r="B1292" s="1027" t="str">
        <f>IFERROR(_xlfn.CONCAT("K",('Configurable Tab'!$C$3+1)),"")</f>
        <v>K13</v>
      </c>
      <c r="C1292" s="1027" t="str">
        <f>IFERROR(_xlfn.CONCAT("K",('Configurable Tab'!$C$3+2)),"")</f>
        <v>K14</v>
      </c>
      <c r="D1292" s="694" t="s">
        <v>1448</v>
      </c>
      <c r="E1292" s="1030" t="s">
        <v>1893</v>
      </c>
      <c r="F1292" s="1376"/>
      <c r="G1292" s="1376"/>
      <c r="H1292" s="1376"/>
      <c r="I1292" s="1026" t="str">
        <f t="shared" si="143"/>
        <v>Paid to:</v>
      </c>
      <c r="J1292" s="1376" t="str">
        <f t="shared" si="144"/>
        <v>521</v>
      </c>
      <c r="K1292" s="1376" t="str">
        <f t="shared" si="142"/>
        <v>Incentives</v>
      </c>
      <c r="L1292" s="1376"/>
      <c r="M1292" s="1376"/>
      <c r="N1292" s="1376"/>
      <c r="R1292" s="1376" t="s">
        <v>898</v>
      </c>
      <c r="S1292" s="1374" t="s">
        <v>1896</v>
      </c>
      <c r="U1292" s="1376">
        <f t="shared" si="147"/>
        <v>521</v>
      </c>
      <c r="V1292" s="1376" t="str">
        <f t="shared" si="148"/>
        <v/>
      </c>
    </row>
    <row r="1293" spans="1:22" s="1370" customFormat="1" x14ac:dyDescent="0.25">
      <c r="A1293" s="1301" t="s">
        <v>1481</v>
      </c>
      <c r="B1293" s="1027" t="str">
        <f>IFERROR(_xlfn.CONCAT("M",('Configurable Tab'!$C$3+1)),"")</f>
        <v>M13</v>
      </c>
      <c r="C1293" s="1027" t="str">
        <f>IFERROR(_xlfn.CONCAT("M",('Configurable Tab'!$C$3+2)),"")</f>
        <v>M14</v>
      </c>
      <c r="D1293" s="694" t="s">
        <v>1448</v>
      </c>
      <c r="E1293" s="1030" t="s">
        <v>1893</v>
      </c>
      <c r="F1293" s="1376"/>
      <c r="G1293" s="1376"/>
      <c r="H1293" s="1376"/>
      <c r="I1293" s="1026" t="str">
        <f t="shared" si="143"/>
        <v>AP/AR Vendor Number</v>
      </c>
      <c r="J1293" s="1376" t="str">
        <f t="shared" si="144"/>
        <v>522</v>
      </c>
      <c r="K1293" s="1376" t="str">
        <f t="shared" si="142"/>
        <v>Incentives</v>
      </c>
      <c r="L1293" s="1376"/>
      <c r="M1293" s="1376"/>
      <c r="N1293" s="1376"/>
      <c r="R1293" s="1376" t="s">
        <v>898</v>
      </c>
      <c r="S1293" s="1374" t="s">
        <v>1896</v>
      </c>
      <c r="U1293" s="1376">
        <f t="shared" si="147"/>
        <v>522</v>
      </c>
      <c r="V1293" s="1376" t="str">
        <f t="shared" si="148"/>
        <v/>
      </c>
    </row>
    <row r="1294" spans="1:22" s="1370" customFormat="1" x14ac:dyDescent="0.25">
      <c r="A1294" s="1301" t="s">
        <v>1486</v>
      </c>
      <c r="B1294" s="1027" t="str">
        <f>IFERROR(_xlfn.CONCAT("G",('Configurable Tab'!$C$3+6)),"")</f>
        <v>G18</v>
      </c>
      <c r="C1294" s="1027" t="str">
        <f>IFERROR(_xlfn.CONCAT("G",('Configurable Tab'!$C$3+7)),"")</f>
        <v>G19</v>
      </c>
      <c r="D1294" s="694" t="s">
        <v>1448</v>
      </c>
      <c r="E1294" s="1030" t="s">
        <v>1893</v>
      </c>
      <c r="F1294" s="1376"/>
      <c r="G1294" s="1376"/>
      <c r="H1294" s="1376"/>
      <c r="I1294" s="1026" t="str">
        <f t="shared" si="143"/>
        <v/>
      </c>
      <c r="J1294" s="1376" t="str">
        <f t="shared" si="144"/>
        <v/>
      </c>
      <c r="K1294" s="1376" t="str">
        <f t="shared" si="142"/>
        <v/>
      </c>
      <c r="L1294" s="1376"/>
      <c r="M1294" s="1376"/>
      <c r="N1294" s="1376"/>
      <c r="R1294" s="1376" t="s">
        <v>898</v>
      </c>
    </row>
    <row r="1295" spans="1:22" s="1370" customFormat="1" x14ac:dyDescent="0.25">
      <c r="A1295" s="1301" t="s">
        <v>1486</v>
      </c>
      <c r="B1295" s="1027" t="str">
        <f>IFERROR(_xlfn.CONCAT("G",('Configurable Tab'!$C$3+6)),"")</f>
        <v>G18</v>
      </c>
      <c r="C1295" s="1027" t="str">
        <f>IFERROR(_xlfn.CONCAT("G",('Configurable Tab'!$C$3+8)),"")</f>
        <v>G20</v>
      </c>
      <c r="D1295" s="694" t="s">
        <v>1448</v>
      </c>
      <c r="E1295" s="1030" t="s">
        <v>1893</v>
      </c>
      <c r="F1295" s="1376"/>
      <c r="G1295" s="1376"/>
      <c r="H1295" s="1376"/>
      <c r="I1295" s="1026" t="str">
        <f t="shared" si="143"/>
        <v/>
      </c>
      <c r="J1295" s="1376" t="str">
        <f t="shared" si="144"/>
        <v/>
      </c>
      <c r="K1295" s="1376" t="str">
        <f t="shared" si="142"/>
        <v/>
      </c>
      <c r="L1295" s="1376"/>
      <c r="M1295" s="1376"/>
      <c r="N1295" s="1376"/>
      <c r="R1295" s="1376" t="s">
        <v>898</v>
      </c>
    </row>
    <row r="1296" spans="1:22" s="1370" customFormat="1" x14ac:dyDescent="0.25">
      <c r="A1296" s="1301" t="s">
        <v>1486</v>
      </c>
      <c r="B1296" s="1027" t="str">
        <f>IFERROR(_xlfn.CONCAT("G",('Configurable Tab'!$C$3+6)),"")</f>
        <v>G18</v>
      </c>
      <c r="C1296" s="1027" t="str">
        <f>IFERROR(_xlfn.CONCAT("G",('Configurable Tab'!$C$3+9)),"")</f>
        <v>G21</v>
      </c>
      <c r="D1296" s="694" t="s">
        <v>1448</v>
      </c>
      <c r="E1296" s="1030" t="s">
        <v>1893</v>
      </c>
      <c r="F1296" s="1376"/>
      <c r="G1296" s="1376"/>
      <c r="H1296" s="1376"/>
      <c r="I1296" s="1026" t="str">
        <f t="shared" si="143"/>
        <v/>
      </c>
      <c r="J1296" s="1376" t="str">
        <f t="shared" si="144"/>
        <v/>
      </c>
      <c r="K1296" s="1376" t="str">
        <f t="shared" si="142"/>
        <v/>
      </c>
      <c r="L1296" s="1376"/>
      <c r="M1296" s="1376"/>
      <c r="N1296" s="1376"/>
      <c r="R1296" s="1376" t="s">
        <v>898</v>
      </c>
    </row>
    <row r="1297" spans="1:22" s="1370" customFormat="1" x14ac:dyDescent="0.25">
      <c r="A1297" s="1301" t="s">
        <v>1486</v>
      </c>
      <c r="B1297" s="1027" t="str">
        <f>IFERROR(_xlfn.CONCAT("G",('Configurable Tab'!$C$3+6)),"")</f>
        <v>G18</v>
      </c>
      <c r="C1297" s="1027" t="str">
        <f>IFERROR(_xlfn.CONCAT("G",('Configurable Tab'!$C$3+10)),"")</f>
        <v>G22</v>
      </c>
      <c r="D1297" s="694" t="s">
        <v>1448</v>
      </c>
      <c r="E1297" s="1030" t="s">
        <v>1893</v>
      </c>
      <c r="F1297" s="1376"/>
      <c r="G1297" s="1376"/>
      <c r="H1297" s="1376"/>
      <c r="I1297" s="1026" t="str">
        <f t="shared" si="143"/>
        <v/>
      </c>
      <c r="J1297" s="1376" t="str">
        <f t="shared" si="144"/>
        <v/>
      </c>
      <c r="K1297" s="1376" t="str">
        <f t="shared" si="142"/>
        <v/>
      </c>
      <c r="L1297" s="1376"/>
      <c r="M1297" s="1376"/>
      <c r="N1297" s="1376"/>
      <c r="R1297" s="1376" t="s">
        <v>898</v>
      </c>
    </row>
    <row r="1298" spans="1:22" s="1370" customFormat="1" x14ac:dyDescent="0.25">
      <c r="A1298" s="1301" t="s">
        <v>1486</v>
      </c>
      <c r="B1298" s="1027" t="str">
        <f>IFERROR(_xlfn.CONCAT("G",('Configurable Tab'!$C$3+6)),"")</f>
        <v>G18</v>
      </c>
      <c r="C1298" s="1027" t="str">
        <f>IFERROR(_xlfn.CONCAT("G",('Configurable Tab'!$C$3+11)),"")</f>
        <v>G23</v>
      </c>
      <c r="D1298" s="694" t="s">
        <v>1448</v>
      </c>
      <c r="E1298" s="1030" t="s">
        <v>1893</v>
      </c>
      <c r="F1298" s="1376"/>
      <c r="G1298" s="1376"/>
      <c r="H1298" s="1376"/>
      <c r="I1298" s="1026" t="str">
        <f t="shared" si="143"/>
        <v/>
      </c>
      <c r="J1298" s="1376" t="str">
        <f t="shared" si="144"/>
        <v/>
      </c>
      <c r="K1298" s="1376" t="str">
        <f t="shared" si="142"/>
        <v/>
      </c>
      <c r="L1298" s="1376"/>
      <c r="M1298" s="1376"/>
      <c r="N1298" s="1376"/>
      <c r="R1298" s="1376" t="s">
        <v>898</v>
      </c>
    </row>
    <row r="1299" spans="1:22" s="1370" customFormat="1" x14ac:dyDescent="0.25">
      <c r="A1299" s="1301" t="s">
        <v>1488</v>
      </c>
      <c r="B1299" s="1027" t="str">
        <f>IFERROR(_xlfn.CONCAT("K",('Configurable Tab'!$C$3+6)),"")</f>
        <v>K18</v>
      </c>
      <c r="C1299" s="1027" t="str">
        <f>IFERROR(_xlfn.CONCAT("K",('Configurable Tab'!$C$3+7)),"")</f>
        <v>K19</v>
      </c>
      <c r="D1299" s="694" t="s">
        <v>1448</v>
      </c>
      <c r="E1299" s="1030" t="s">
        <v>1893</v>
      </c>
      <c r="F1299" s="1376"/>
      <c r="G1299" s="1376"/>
      <c r="H1299" s="1376"/>
      <c r="I1299" s="1026" t="str">
        <f t="shared" si="143"/>
        <v/>
      </c>
      <c r="J1299" s="1376" t="str">
        <f t="shared" si="144"/>
        <v/>
      </c>
      <c r="K1299" s="1376" t="str">
        <f t="shared" si="142"/>
        <v/>
      </c>
      <c r="L1299" s="1376"/>
      <c r="M1299" s="1376"/>
      <c r="N1299" s="1376"/>
      <c r="R1299" s="1376" t="s">
        <v>898</v>
      </c>
    </row>
    <row r="1300" spans="1:22" s="1370" customFormat="1" x14ac:dyDescent="0.25">
      <c r="A1300" s="1301" t="s">
        <v>1488</v>
      </c>
      <c r="B1300" s="1027" t="str">
        <f>IFERROR(_xlfn.CONCAT("K",('Configurable Tab'!$C$3+6)),"")</f>
        <v>K18</v>
      </c>
      <c r="C1300" s="1027" t="str">
        <f>IFERROR(_xlfn.CONCAT("K",('Configurable Tab'!$C$3+8)),"")</f>
        <v>K20</v>
      </c>
      <c r="D1300" s="694" t="s">
        <v>1448</v>
      </c>
      <c r="E1300" s="1030" t="s">
        <v>1893</v>
      </c>
      <c r="F1300" s="1376"/>
      <c r="G1300" s="1376"/>
      <c r="H1300" s="1376"/>
      <c r="I1300" s="1026" t="str">
        <f t="shared" si="143"/>
        <v/>
      </c>
      <c r="J1300" s="1376" t="str">
        <f t="shared" si="144"/>
        <v/>
      </c>
      <c r="K1300" s="1376" t="str">
        <f t="shared" si="142"/>
        <v/>
      </c>
      <c r="L1300" s="1376"/>
      <c r="M1300" s="1376"/>
      <c r="N1300" s="1376"/>
      <c r="R1300" s="1376" t="s">
        <v>898</v>
      </c>
    </row>
    <row r="1301" spans="1:22" s="1370" customFormat="1" x14ac:dyDescent="0.25">
      <c r="A1301" s="1301" t="s">
        <v>1488</v>
      </c>
      <c r="B1301" s="1027" t="str">
        <f>IFERROR(_xlfn.CONCAT("K",('Configurable Tab'!$C$3+6)),"")</f>
        <v>K18</v>
      </c>
      <c r="C1301" s="1027" t="str">
        <f>IFERROR(_xlfn.CONCAT("K",('Configurable Tab'!$C$3+9)),"")</f>
        <v>K21</v>
      </c>
      <c r="D1301" s="694" t="s">
        <v>1448</v>
      </c>
      <c r="E1301" s="1030" t="s">
        <v>1893</v>
      </c>
      <c r="F1301" s="1376"/>
      <c r="G1301" s="1376"/>
      <c r="H1301" s="1376"/>
      <c r="I1301" s="1026" t="str">
        <f t="shared" si="143"/>
        <v/>
      </c>
      <c r="J1301" s="1376" t="str">
        <f t="shared" si="144"/>
        <v/>
      </c>
      <c r="K1301" s="1376" t="str">
        <f t="shared" si="142"/>
        <v/>
      </c>
      <c r="L1301" s="1376"/>
      <c r="M1301" s="1376"/>
      <c r="N1301" s="1376"/>
      <c r="R1301" s="1376" t="s">
        <v>898</v>
      </c>
    </row>
    <row r="1302" spans="1:22" s="1370" customFormat="1" x14ac:dyDescent="0.25">
      <c r="A1302" s="1301" t="s">
        <v>1488</v>
      </c>
      <c r="B1302" s="1027" t="str">
        <f>IFERROR(_xlfn.CONCAT("K",('Configurable Tab'!$C$3+6)),"")</f>
        <v>K18</v>
      </c>
      <c r="C1302" s="1027" t="str">
        <f>IFERROR(_xlfn.CONCAT("K",('Configurable Tab'!$C$3+10)),"")</f>
        <v>K22</v>
      </c>
      <c r="D1302" s="694" t="s">
        <v>1448</v>
      </c>
      <c r="E1302" s="1030" t="s">
        <v>1893</v>
      </c>
      <c r="F1302" s="1376"/>
      <c r="G1302" s="1376"/>
      <c r="H1302" s="1376"/>
      <c r="I1302" s="1026" t="str">
        <f t="shared" si="143"/>
        <v/>
      </c>
      <c r="J1302" s="1376" t="str">
        <f t="shared" si="144"/>
        <v/>
      </c>
      <c r="K1302" s="1376" t="str">
        <f t="shared" si="142"/>
        <v/>
      </c>
      <c r="L1302" s="1376"/>
      <c r="M1302" s="1376"/>
      <c r="N1302" s="1376"/>
      <c r="R1302" s="1376" t="s">
        <v>898</v>
      </c>
    </row>
    <row r="1303" spans="1:22" s="1370" customFormat="1" x14ac:dyDescent="0.25">
      <c r="A1303" s="1301" t="s">
        <v>1488</v>
      </c>
      <c r="B1303" s="1027" t="str">
        <f>IFERROR(_xlfn.CONCAT("K",('Configurable Tab'!$C$3+6)),"")</f>
        <v>K18</v>
      </c>
      <c r="C1303" s="1027" t="str">
        <f>IFERROR(_xlfn.CONCAT("K",('Configurable Tab'!$C$3+11)),"")</f>
        <v>K23</v>
      </c>
      <c r="D1303" s="694" t="s">
        <v>1448</v>
      </c>
      <c r="E1303" s="1030" t="s">
        <v>1893</v>
      </c>
      <c r="F1303" s="1376"/>
      <c r="G1303" s="1376"/>
      <c r="H1303" s="1376"/>
      <c r="I1303" s="1026" t="str">
        <f t="shared" si="143"/>
        <v/>
      </c>
      <c r="J1303" s="1376" t="str">
        <f t="shared" si="144"/>
        <v/>
      </c>
      <c r="K1303" s="1376" t="str">
        <f t="shared" si="142"/>
        <v/>
      </c>
      <c r="L1303" s="1376"/>
      <c r="M1303" s="1376"/>
      <c r="N1303" s="1376"/>
      <c r="R1303" s="1376" t="s">
        <v>898</v>
      </c>
    </row>
    <row r="1304" spans="1:22" s="1370" customFormat="1" x14ac:dyDescent="0.25">
      <c r="A1304" s="1118" t="s">
        <v>528</v>
      </c>
      <c r="B1304" s="1027" t="str">
        <f>IFERROR(_xlfn.CONCAT("D",('Configurable Tab'!$C$4+1)),"")</f>
        <v>D27</v>
      </c>
      <c r="C1304" s="1027" t="str">
        <f>IFERROR(_xlfn.CONCAT("E",('Configurable Tab'!$C$4+1)),"")</f>
        <v>E27</v>
      </c>
      <c r="D1304" s="694" t="s">
        <v>1448</v>
      </c>
      <c r="E1304" s="1030" t="s">
        <v>1893</v>
      </c>
      <c r="F1304" s="1376"/>
      <c r="G1304" s="1376"/>
      <c r="H1304" s="1376"/>
      <c r="I1304" s="1026" t="str">
        <f t="shared" si="143"/>
        <v>Offer this Incentive?</v>
      </c>
      <c r="J1304" s="1376" t="str">
        <f>$Q$1&amp;IF(T$1286=2,V1286,IF(T$1286=1,IF(T$1304&lt;&gt;0,U1304,IF(T$1322&lt;&gt;0,U1322,"")),IF(T$1304=2,V1304,IF(T$1304=1,IF(T$1322&lt;&gt;0,U1322,""),IF(T$1322=2,V1322,"")))))</f>
        <v>547</v>
      </c>
      <c r="K1304" s="1376" t="str">
        <f t="shared" si="142"/>
        <v>Incentives</v>
      </c>
      <c r="L1304" s="1376"/>
      <c r="M1304" s="1376"/>
      <c r="N1304" s="1376"/>
      <c r="O1304" s="1370" t="s">
        <v>1897</v>
      </c>
      <c r="R1304" s="1376" t="s">
        <v>898</v>
      </c>
      <c r="S1304" s="1376" t="s">
        <v>1898</v>
      </c>
      <c r="T1304" s="1376">
        <f>IF(Q$570="Yes",IF(Q$589="Yes",2,1),0)</f>
        <v>2</v>
      </c>
      <c r="U1304" s="1376">
        <f>IF(Q$570="Yes",M570,"")</f>
        <v>547</v>
      </c>
      <c r="V1304" s="1376">
        <f>IF(Q$589="Yes",M589,"")</f>
        <v>566</v>
      </c>
    </row>
    <row r="1305" spans="1:22" s="1370" customFormat="1" x14ac:dyDescent="0.25">
      <c r="A1305" s="1112" t="s">
        <v>1482</v>
      </c>
      <c r="B1305" s="1027" t="str">
        <f>IFERROR(_xlfn.CONCAT("D",('Configurable Tab'!$C$4+2)),"")</f>
        <v>D28</v>
      </c>
      <c r="C1305" s="1027" t="str">
        <f>IFERROR(_xlfn.CONCAT("E",('Configurable Tab'!$C$4+2)),"")</f>
        <v>E28</v>
      </c>
      <c r="D1305" s="694" t="s">
        <v>1448</v>
      </c>
      <c r="E1305" s="1030" t="s">
        <v>1893</v>
      </c>
      <c r="F1305" s="1376"/>
      <c r="G1305" s="1376"/>
      <c r="H1305" s="1376"/>
      <c r="I1305" s="1026" t="str">
        <f t="shared" si="143"/>
        <v>Incentive Type</v>
      </c>
      <c r="J1305" s="1376" t="str">
        <f t="shared" ref="J1305:J1321" si="149">$Q$1&amp;IF(T$1286=2,V1287,IF(T$1286=1,IF(T$1304&lt;&gt;0,U1305,IF(T$1322&lt;&gt;0,U1323,"")),IF(T$1304=2,V1305,IF(T$1304=1,IF(T$1322&lt;&gt;0,U1323,""),IF(T$1322=2,V1323,"")))))</f>
        <v>548</v>
      </c>
      <c r="K1305" s="1376" t="str">
        <f t="shared" si="142"/>
        <v>Incentives</v>
      </c>
      <c r="L1305" s="1376"/>
      <c r="M1305" s="1376"/>
      <c r="N1305" s="1376"/>
      <c r="R1305" s="1376" t="s">
        <v>898</v>
      </c>
      <c r="S1305" s="1376" t="s">
        <v>1898</v>
      </c>
      <c r="U1305" s="1376">
        <f t="shared" ref="U1305:U1307" si="150">IF(Q$570="Yes",M571,"")</f>
        <v>548</v>
      </c>
      <c r="V1305" s="1376">
        <f t="shared" ref="V1305:V1307" si="151">IF(Q$589="Yes",M590,"")</f>
        <v>567</v>
      </c>
    </row>
    <row r="1306" spans="1:22" s="1370" customFormat="1" x14ac:dyDescent="0.25">
      <c r="A1306" s="1112" t="s">
        <v>1484</v>
      </c>
      <c r="B1306" s="1027" t="str">
        <f>IFERROR(_xlfn.CONCAT("D",('Configurable Tab'!$C$4+4)),"")</f>
        <v>D30</v>
      </c>
      <c r="C1306" s="1027" t="str">
        <f>IFERROR(_xlfn.CONCAT("E",('Configurable Tab'!$C$4+4)),"")</f>
        <v>E30</v>
      </c>
      <c r="D1306" s="694" t="s">
        <v>1448</v>
      </c>
      <c r="E1306" s="1030" t="s">
        <v>1893</v>
      </c>
      <c r="F1306" s="1376"/>
      <c r="G1306" s="1376"/>
      <c r="H1306" s="1376"/>
      <c r="I1306" s="1026" t="str">
        <f t="shared" si="143"/>
        <v>Incentive Effective Date</v>
      </c>
      <c r="J1306" s="1376" t="str">
        <f t="shared" si="149"/>
        <v>556</v>
      </c>
      <c r="K1306" s="1376" t="str">
        <f t="shared" si="142"/>
        <v>Incentives</v>
      </c>
      <c r="L1306" s="1376"/>
      <c r="M1306" s="1376"/>
      <c r="N1306" s="1376"/>
      <c r="R1306" s="1376" t="s">
        <v>898</v>
      </c>
      <c r="S1306" s="1376" t="s">
        <v>1898</v>
      </c>
      <c r="U1306" s="1376">
        <f t="shared" si="150"/>
        <v>556</v>
      </c>
      <c r="V1306" s="1376">
        <f t="shared" si="151"/>
        <v>575</v>
      </c>
    </row>
    <row r="1307" spans="1:22" s="1370" customFormat="1" x14ac:dyDescent="0.25">
      <c r="A1307" s="1385" t="s">
        <v>1485</v>
      </c>
      <c r="B1307" s="1027" t="str">
        <f>IFERROR(_xlfn.CONCAT("D",('Configurable Tab'!$C$4+5)),"")</f>
        <v>D31</v>
      </c>
      <c r="C1307" s="1027" t="str">
        <f>IFERROR(_xlfn.CONCAT("E",('Configurable Tab'!$C$4+5)),"")</f>
        <v>E31</v>
      </c>
      <c r="D1307" s="694" t="s">
        <v>1448</v>
      </c>
      <c r="E1307" s="1030" t="s">
        <v>1893</v>
      </c>
      <c r="F1307" s="1376"/>
      <c r="G1307" s="1376"/>
      <c r="H1307" s="1376"/>
      <c r="I1307" s="1026" t="str">
        <f t="shared" si="143"/>
        <v>Incentive Expiration Date</v>
      </c>
      <c r="J1307" s="1376" t="str">
        <f t="shared" si="149"/>
        <v>557</v>
      </c>
      <c r="K1307" s="1376" t="str">
        <f t="shared" si="142"/>
        <v>Incentives</v>
      </c>
      <c r="L1307" s="1376"/>
      <c r="M1307" s="1376"/>
      <c r="N1307" s="1376"/>
      <c r="R1307" s="1376" t="s">
        <v>898</v>
      </c>
      <c r="S1307" s="1376" t="s">
        <v>1898</v>
      </c>
      <c r="U1307" s="1376">
        <f t="shared" si="150"/>
        <v>557</v>
      </c>
      <c r="V1307" s="1376">
        <f t="shared" si="151"/>
        <v>576</v>
      </c>
    </row>
    <row r="1308" spans="1:22" s="1370" customFormat="1" x14ac:dyDescent="0.25">
      <c r="A1308" s="1112" t="s">
        <v>1479</v>
      </c>
      <c r="B1308" s="1027" t="str">
        <f>IFERROR(_xlfn.CONCAT("G",('Configurable Tab'!$C$4+1)),"")</f>
        <v>G27</v>
      </c>
      <c r="C1308" s="1027" t="str">
        <f>IFERROR(_xlfn.CONCAT("G",('Configurable Tab'!$C$4+2)),"")</f>
        <v>G28</v>
      </c>
      <c r="D1308" s="694" t="s">
        <v>1448</v>
      </c>
      <c r="E1308" s="1030" t="s">
        <v>1893</v>
      </c>
      <c r="F1308" s="1376"/>
      <c r="G1308" s="1376"/>
      <c r="H1308" s="1376"/>
      <c r="I1308" s="1026" t="str">
        <f t="shared" si="143"/>
        <v>Incentive Period</v>
      </c>
      <c r="J1308" s="1376" t="str">
        <f t="shared" si="149"/>
        <v>549</v>
      </c>
      <c r="K1308" s="1376" t="str">
        <f t="shared" si="142"/>
        <v>Incentives</v>
      </c>
      <c r="L1308" s="1376"/>
      <c r="M1308" s="1376"/>
      <c r="N1308" s="1376"/>
      <c r="R1308" s="1376" t="s">
        <v>898</v>
      </c>
      <c r="S1308" s="1376" t="s">
        <v>1898</v>
      </c>
      <c r="U1308" s="1376">
        <f>IF(Q$570="Yes",M575,"")</f>
        <v>549</v>
      </c>
      <c r="V1308" s="1376">
        <f>IF(Q$589="Yes",M592,"")</f>
        <v>576</v>
      </c>
    </row>
    <row r="1309" spans="1:22" s="1370" customFormat="1" x14ac:dyDescent="0.25">
      <c r="A1309" s="1112" t="s">
        <v>1480</v>
      </c>
      <c r="B1309" s="1027" t="str">
        <f>IFERROR(_xlfn.CONCAT("I",('Configurable Tab'!$C$4+1)),"")</f>
        <v>I27</v>
      </c>
      <c r="C1309" s="1027" t="str">
        <f>IFERROR(_xlfn.CONCAT("I",('Configurable Tab'!$C$4+2)),"")</f>
        <v>I28</v>
      </c>
      <c r="D1309" s="694" t="s">
        <v>1448</v>
      </c>
      <c r="E1309" s="1030" t="s">
        <v>1893</v>
      </c>
      <c r="F1309" s="1376"/>
      <c r="G1309" s="1376"/>
      <c r="H1309" s="1376"/>
      <c r="I1309" s="1026" t="str">
        <f t="shared" si="143"/>
        <v>Payment Method</v>
      </c>
      <c r="J1309" s="1376" t="str">
        <f t="shared" si="149"/>
        <v>550</v>
      </c>
      <c r="K1309" s="1376" t="str">
        <f t="shared" si="142"/>
        <v>Incentives</v>
      </c>
      <c r="L1309" s="1376"/>
      <c r="M1309" s="1376"/>
      <c r="N1309" s="1376"/>
      <c r="R1309" s="1376" t="s">
        <v>898</v>
      </c>
      <c r="S1309" s="1376" t="s">
        <v>1898</v>
      </c>
      <c r="U1309" s="1376">
        <f t="shared" ref="U1309:U1311" si="152">IF(Q$570="Yes",M576,"")</f>
        <v>550</v>
      </c>
      <c r="V1309" s="1376">
        <f t="shared" ref="V1309:V1311" si="153">IF(Q$589="Yes",M593,"")</f>
        <v>577</v>
      </c>
    </row>
    <row r="1310" spans="1:22" s="1370" customFormat="1" x14ac:dyDescent="0.25">
      <c r="A1310" s="1112" t="s">
        <v>871</v>
      </c>
      <c r="B1310" s="1027" t="str">
        <f>IFERROR(_xlfn.CONCAT("K",('Configurable Tab'!$C$4+1)),"")</f>
        <v>K27</v>
      </c>
      <c r="C1310" s="1027" t="str">
        <f>IFERROR(_xlfn.CONCAT("K",('Configurable Tab'!$C$4+2)),"")</f>
        <v>K28</v>
      </c>
      <c r="D1310" s="694" t="s">
        <v>1448</v>
      </c>
      <c r="E1310" s="1030" t="s">
        <v>1893</v>
      </c>
      <c r="F1310" s="1376"/>
      <c r="G1310" s="1376"/>
      <c r="H1310" s="1376"/>
      <c r="I1310" s="1026" t="str">
        <f t="shared" si="143"/>
        <v>Paid to:</v>
      </c>
      <c r="J1310" s="1376" t="str">
        <f t="shared" si="149"/>
        <v>551</v>
      </c>
      <c r="K1310" s="1376" t="str">
        <f t="shared" si="142"/>
        <v>Incentives</v>
      </c>
      <c r="L1310" s="1376"/>
      <c r="M1310" s="1376"/>
      <c r="N1310" s="1376"/>
      <c r="R1310" s="1376" t="s">
        <v>898</v>
      </c>
      <c r="S1310" s="1376" t="s">
        <v>1898</v>
      </c>
      <c r="U1310" s="1376">
        <f t="shared" si="152"/>
        <v>551</v>
      </c>
      <c r="V1310" s="1376">
        <f t="shared" si="153"/>
        <v>568</v>
      </c>
    </row>
    <row r="1311" spans="1:22" s="1370" customFormat="1" x14ac:dyDescent="0.25">
      <c r="A1311" s="1112" t="s">
        <v>1481</v>
      </c>
      <c r="B1311" s="1027" t="str">
        <f>IFERROR(_xlfn.CONCAT("M",('Configurable Tab'!$C$4+1)),"")</f>
        <v>M27</v>
      </c>
      <c r="C1311" s="1027" t="str">
        <f>IFERROR(_xlfn.CONCAT("M",('Configurable Tab'!$C$4+2)),"")</f>
        <v>M28</v>
      </c>
      <c r="D1311" s="694" t="s">
        <v>1448</v>
      </c>
      <c r="E1311" s="1030" t="s">
        <v>1893</v>
      </c>
      <c r="F1311" s="1376"/>
      <c r="G1311" s="1376"/>
      <c r="H1311" s="1376"/>
      <c r="I1311" s="1026" t="str">
        <f t="shared" si="143"/>
        <v>AP/AR Vendor Number</v>
      </c>
      <c r="J1311" s="1376" t="str">
        <f t="shared" si="149"/>
        <v>552</v>
      </c>
      <c r="K1311" s="1376" t="str">
        <f t="shared" si="142"/>
        <v>Incentives</v>
      </c>
      <c r="L1311" s="1376"/>
      <c r="M1311" s="1376"/>
      <c r="N1311" s="1376"/>
      <c r="R1311" s="1376" t="s">
        <v>898</v>
      </c>
      <c r="S1311" s="1376" t="s">
        <v>1898</v>
      </c>
      <c r="U1311" s="1376">
        <f t="shared" si="152"/>
        <v>552</v>
      </c>
      <c r="V1311" s="1376">
        <f t="shared" si="153"/>
        <v>569</v>
      </c>
    </row>
    <row r="1312" spans="1:22" s="1370" customFormat="1" x14ac:dyDescent="0.25">
      <c r="A1312" s="1112" t="s">
        <v>1486</v>
      </c>
      <c r="B1312" s="1027" t="str">
        <f>IFERROR(_xlfn.CONCAT("G",('Configurable Tab'!$C$4+6)),"")</f>
        <v>G32</v>
      </c>
      <c r="C1312" s="1027" t="str">
        <f>IFERROR(_xlfn.CONCAT("G",('Configurable Tab'!$C$4+7)),"")</f>
        <v>G33</v>
      </c>
      <c r="D1312" s="694" t="s">
        <v>1448</v>
      </c>
      <c r="E1312" s="1030" t="s">
        <v>1893</v>
      </c>
      <c r="F1312" s="1376"/>
      <c r="G1312" s="1376"/>
      <c r="H1312" s="1376"/>
      <c r="I1312" s="1026" t="str">
        <f t="shared" si="143"/>
        <v>Minimum Units</v>
      </c>
      <c r="J1312" s="1376" t="str">
        <f t="shared" si="149"/>
        <v>561</v>
      </c>
      <c r="K1312" s="1376" t="str">
        <f t="shared" si="142"/>
        <v>Incentives</v>
      </c>
      <c r="L1312" s="1376"/>
      <c r="M1312" s="1376"/>
      <c r="N1312" s="1376"/>
      <c r="R1312" s="1376" t="s">
        <v>898</v>
      </c>
      <c r="S1312" s="1376" t="s">
        <v>1898</v>
      </c>
      <c r="U1312" s="1376">
        <f>IF(Q$570="Yes",M585,"")</f>
        <v>561</v>
      </c>
      <c r="V1312" s="1376">
        <f>IF(Q$589="Yes",M604,"")</f>
        <v>580</v>
      </c>
    </row>
    <row r="1313" spans="1:22" s="1370" customFormat="1" x14ac:dyDescent="0.25">
      <c r="A1313" s="1112" t="s">
        <v>1486</v>
      </c>
      <c r="B1313" s="1027" t="str">
        <f>IFERROR(_xlfn.CONCAT("G",('Configurable Tab'!$C$4+6)),"")</f>
        <v>G32</v>
      </c>
      <c r="C1313" s="1027" t="str">
        <f>IFERROR(_xlfn.CONCAT("G",('Configurable Tab'!$C$4+8)),"")</f>
        <v>G34</v>
      </c>
      <c r="D1313" s="694" t="s">
        <v>1448</v>
      </c>
      <c r="E1313" s="1030" t="s">
        <v>1893</v>
      </c>
      <c r="F1313" s="1376"/>
      <c r="G1313" s="1376"/>
      <c r="H1313" s="1376"/>
      <c r="I1313" s="1026" t="str">
        <f t="shared" si="143"/>
        <v/>
      </c>
      <c r="J1313" s="1376" t="str">
        <f t="shared" si="149"/>
        <v/>
      </c>
      <c r="K1313" s="1376" t="str">
        <f t="shared" si="142"/>
        <v/>
      </c>
      <c r="L1313" s="1376"/>
      <c r="M1313" s="1376"/>
      <c r="N1313" s="1376"/>
      <c r="R1313" s="1376" t="s">
        <v>898</v>
      </c>
    </row>
    <row r="1314" spans="1:22" s="1370" customFormat="1" x14ac:dyDescent="0.25">
      <c r="A1314" s="1112" t="s">
        <v>1486</v>
      </c>
      <c r="B1314" s="1027" t="str">
        <f>IFERROR(_xlfn.CONCAT("G",('Configurable Tab'!$C$4+6)),"")</f>
        <v>G32</v>
      </c>
      <c r="C1314" s="1027" t="str">
        <f>IFERROR(_xlfn.CONCAT("G",('Configurable Tab'!$C$4+9)),"")</f>
        <v>G35</v>
      </c>
      <c r="D1314" s="694" t="s">
        <v>1448</v>
      </c>
      <c r="E1314" s="1030" t="s">
        <v>1893</v>
      </c>
      <c r="F1314" s="1376"/>
      <c r="G1314" s="1376"/>
      <c r="H1314" s="1376"/>
      <c r="I1314" s="1026" t="str">
        <f t="shared" si="143"/>
        <v/>
      </c>
      <c r="J1314" s="1376" t="str">
        <f t="shared" si="149"/>
        <v/>
      </c>
      <c r="K1314" s="1376" t="str">
        <f t="shared" si="142"/>
        <v/>
      </c>
      <c r="L1314" s="1376"/>
      <c r="M1314" s="1376"/>
      <c r="N1314" s="1376"/>
      <c r="R1314" s="1376" t="s">
        <v>898</v>
      </c>
    </row>
    <row r="1315" spans="1:22" s="1370" customFormat="1" x14ac:dyDescent="0.25">
      <c r="A1315" s="1112" t="s">
        <v>1486</v>
      </c>
      <c r="B1315" s="1027" t="str">
        <f>IFERROR(_xlfn.CONCAT("G",('Configurable Tab'!$C$4+6)),"")</f>
        <v>G32</v>
      </c>
      <c r="C1315" s="1027" t="str">
        <f>IFERROR(_xlfn.CONCAT("G",('Configurable Tab'!$C$4+10)),"")</f>
        <v>G36</v>
      </c>
      <c r="D1315" s="694" t="s">
        <v>1448</v>
      </c>
      <c r="E1315" s="1030" t="s">
        <v>1893</v>
      </c>
      <c r="F1315" s="1376"/>
      <c r="G1315" s="1376"/>
      <c r="H1315" s="1376"/>
      <c r="I1315" s="1026" t="str">
        <f t="shared" si="143"/>
        <v/>
      </c>
      <c r="J1315" s="1376" t="str">
        <f t="shared" si="149"/>
        <v/>
      </c>
      <c r="K1315" s="1376" t="str">
        <f t="shared" si="142"/>
        <v/>
      </c>
      <c r="L1315" s="1376"/>
      <c r="M1315" s="1376"/>
      <c r="N1315" s="1376"/>
      <c r="R1315" s="1376" t="s">
        <v>898</v>
      </c>
    </row>
    <row r="1316" spans="1:22" s="1370" customFormat="1" x14ac:dyDescent="0.25">
      <c r="A1316" s="1112" t="s">
        <v>1486</v>
      </c>
      <c r="B1316" s="1027" t="str">
        <f>IFERROR(_xlfn.CONCAT("G",('Configurable Tab'!$C$4+6)),"")</f>
        <v>G32</v>
      </c>
      <c r="C1316" s="1027" t="str">
        <f>IFERROR(_xlfn.CONCAT("G",('Configurable Tab'!$C$4+11)),"")</f>
        <v>G37</v>
      </c>
      <c r="D1316" s="694" t="s">
        <v>1448</v>
      </c>
      <c r="E1316" s="1030" t="s">
        <v>1893</v>
      </c>
      <c r="F1316" s="1376"/>
      <c r="G1316" s="1376"/>
      <c r="H1316" s="1376"/>
      <c r="I1316" s="1026" t="str">
        <f t="shared" si="143"/>
        <v/>
      </c>
      <c r="J1316" s="1376" t="str">
        <f t="shared" si="149"/>
        <v/>
      </c>
      <c r="K1316" s="1376" t="str">
        <f t="shared" si="142"/>
        <v/>
      </c>
      <c r="L1316" s="1376"/>
      <c r="M1316" s="1376"/>
      <c r="N1316" s="1376"/>
      <c r="R1316" s="1376" t="s">
        <v>898</v>
      </c>
    </row>
    <row r="1317" spans="1:22" s="1370" customFormat="1" x14ac:dyDescent="0.25">
      <c r="A1317" s="1112" t="s">
        <v>1488</v>
      </c>
      <c r="B1317" s="1027" t="str">
        <f>IFERROR(_xlfn.CONCAT("K",('Configurable Tab'!$C$4+6)),"")</f>
        <v>K32</v>
      </c>
      <c r="C1317" s="1027" t="str">
        <f>IFERROR(_xlfn.CONCAT("K",('Configurable Tab'!$C$4+7)),"")</f>
        <v>K33</v>
      </c>
      <c r="D1317" s="694" t="s">
        <v>1448</v>
      </c>
      <c r="E1317" s="1030" t="s">
        <v>1893</v>
      </c>
      <c r="F1317" s="1376"/>
      <c r="G1317" s="1376"/>
      <c r="H1317" s="1376"/>
      <c r="I1317" s="1026" t="str">
        <f t="shared" si="143"/>
        <v>Rate % of Sales</v>
      </c>
      <c r="J1317" s="1376" t="str">
        <f t="shared" si="149"/>
        <v>563</v>
      </c>
      <c r="K1317" s="1376" t="str">
        <f t="shared" si="142"/>
        <v>Incentives</v>
      </c>
      <c r="L1317" s="1376"/>
      <c r="M1317" s="1376"/>
      <c r="N1317" s="1376"/>
      <c r="R1317" s="1376" t="s">
        <v>898</v>
      </c>
      <c r="S1317" s="1376" t="s">
        <v>1898</v>
      </c>
      <c r="U1317" s="1376">
        <f>IF(Q$570="Yes",M587,"")</f>
        <v>563</v>
      </c>
      <c r="V1317" s="1376">
        <f>IF(Q$589="Yes",M606,"")</f>
        <v>582</v>
      </c>
    </row>
    <row r="1318" spans="1:22" s="1370" customFormat="1" x14ac:dyDescent="0.25">
      <c r="A1318" s="1112" t="s">
        <v>1488</v>
      </c>
      <c r="B1318" s="1027" t="str">
        <f>IFERROR(_xlfn.CONCAT("K",('Configurable Tab'!$C$4+6)),"")</f>
        <v>K32</v>
      </c>
      <c r="C1318" s="1027" t="str">
        <f>IFERROR(_xlfn.CONCAT("K",('Configurable Tab'!$C$4+8)),"")</f>
        <v>K34</v>
      </c>
      <c r="D1318" s="694" t="s">
        <v>1448</v>
      </c>
      <c r="E1318" s="1030" t="s">
        <v>1893</v>
      </c>
      <c r="F1318" s="1376"/>
      <c r="G1318" s="1376"/>
      <c r="H1318" s="1376"/>
      <c r="I1318" s="1026" t="str">
        <f t="shared" si="143"/>
        <v/>
      </c>
      <c r="J1318" s="1376" t="str">
        <f t="shared" si="149"/>
        <v/>
      </c>
      <c r="K1318" s="1376" t="str">
        <f t="shared" si="142"/>
        <v/>
      </c>
      <c r="L1318" s="1376"/>
      <c r="M1318" s="1376"/>
      <c r="N1318" s="1376"/>
      <c r="R1318" s="1376" t="s">
        <v>898</v>
      </c>
    </row>
    <row r="1319" spans="1:22" s="1370" customFormat="1" x14ac:dyDescent="0.25">
      <c r="A1319" s="1112" t="s">
        <v>1488</v>
      </c>
      <c r="B1319" s="1027" t="str">
        <f>IFERROR(_xlfn.CONCAT("K",('Configurable Tab'!$C$4+6)),"")</f>
        <v>K32</v>
      </c>
      <c r="C1319" s="1027" t="str">
        <f>IFERROR(_xlfn.CONCAT("K",('Configurable Tab'!$C$4+9)),"")</f>
        <v>K35</v>
      </c>
      <c r="D1319" s="694" t="s">
        <v>1448</v>
      </c>
      <c r="E1319" s="1030" t="s">
        <v>1893</v>
      </c>
      <c r="F1319" s="1376"/>
      <c r="G1319" s="1376"/>
      <c r="H1319" s="1376"/>
      <c r="I1319" s="1026" t="str">
        <f t="shared" si="143"/>
        <v/>
      </c>
      <c r="J1319" s="1376" t="str">
        <f t="shared" si="149"/>
        <v/>
      </c>
      <c r="K1319" s="1376" t="str">
        <f t="shared" si="142"/>
        <v/>
      </c>
      <c r="L1319" s="1376"/>
      <c r="M1319" s="1376"/>
      <c r="N1319" s="1376"/>
      <c r="R1319" s="1376" t="s">
        <v>898</v>
      </c>
    </row>
    <row r="1320" spans="1:22" s="1370" customFormat="1" x14ac:dyDescent="0.25">
      <c r="A1320" s="1112" t="s">
        <v>1488</v>
      </c>
      <c r="B1320" s="1027" t="str">
        <f>IFERROR(_xlfn.CONCAT("K",('Configurable Tab'!$C$4+6)),"")</f>
        <v>K32</v>
      </c>
      <c r="C1320" s="1027" t="str">
        <f>IFERROR(_xlfn.CONCAT("K",('Configurable Tab'!$C$4+10)),"")</f>
        <v>K36</v>
      </c>
      <c r="D1320" s="694" t="s">
        <v>1448</v>
      </c>
      <c r="E1320" s="1030" t="s">
        <v>1893</v>
      </c>
      <c r="F1320" s="1376"/>
      <c r="G1320" s="1376"/>
      <c r="H1320" s="1376"/>
      <c r="I1320" s="1026" t="str">
        <f t="shared" si="143"/>
        <v/>
      </c>
      <c r="J1320" s="1376" t="str">
        <f t="shared" si="149"/>
        <v/>
      </c>
      <c r="K1320" s="1376" t="str">
        <f t="shared" si="142"/>
        <v/>
      </c>
      <c r="L1320" s="1376"/>
      <c r="M1320" s="1376"/>
      <c r="N1320" s="1376"/>
      <c r="R1320" s="1376" t="s">
        <v>898</v>
      </c>
    </row>
    <row r="1321" spans="1:22" s="1370" customFormat="1" x14ac:dyDescent="0.25">
      <c r="A1321" s="1112" t="s">
        <v>1488</v>
      </c>
      <c r="B1321" s="1027" t="str">
        <f>IFERROR(_xlfn.CONCAT("K",('Configurable Tab'!$C$4+6)),"")</f>
        <v>K32</v>
      </c>
      <c r="C1321" s="1027" t="str">
        <f>IFERROR(_xlfn.CONCAT("K",('Configurable Tab'!$C$4+11)),"")</f>
        <v>K37</v>
      </c>
      <c r="D1321" s="694" t="s">
        <v>1448</v>
      </c>
      <c r="E1321" s="1030" t="s">
        <v>1893</v>
      </c>
      <c r="F1321" s="1376"/>
      <c r="G1321" s="1376"/>
      <c r="H1321" s="1376"/>
      <c r="I1321" s="1026" t="str">
        <f t="shared" si="143"/>
        <v/>
      </c>
      <c r="J1321" s="1376" t="str">
        <f t="shared" si="149"/>
        <v/>
      </c>
      <c r="K1321" s="1376" t="str">
        <f t="shared" si="142"/>
        <v/>
      </c>
      <c r="L1321" s="1376"/>
      <c r="M1321" s="1376"/>
      <c r="N1321" s="1376"/>
      <c r="R1321" s="1376" t="s">
        <v>898</v>
      </c>
    </row>
    <row r="1322" spans="1:22" s="1370" customFormat="1" x14ac:dyDescent="0.25">
      <c r="A1322" s="1300" t="s">
        <v>528</v>
      </c>
      <c r="B1322" s="1027" t="str">
        <f>IFERROR(_xlfn.CONCAT("D",('Configurable Tab'!$C$5+1)),"")</f>
        <v>D41</v>
      </c>
      <c r="C1322" s="1027" t="str">
        <f>IFERROR(_xlfn.CONCAT("E",('Configurable Tab'!$C$5+1)),"")</f>
        <v>E41</v>
      </c>
      <c r="D1322" s="694" t="s">
        <v>1448</v>
      </c>
      <c r="E1322" s="1030" t="s">
        <v>1893</v>
      </c>
      <c r="F1322" s="1376"/>
      <c r="G1322" s="1376"/>
      <c r="H1322" s="1376"/>
      <c r="I1322" s="1026" t="str">
        <f t="shared" si="143"/>
        <v>Offer this Incentive?</v>
      </c>
      <c r="J1322" s="1376" t="str">
        <f>$Q$1&amp;IF(T$1286 = 2,IF(AND(T$1304=1,T$1304&lt;&gt;0),U1304,IF(AND(T$1322=1,T$1322&lt;&gt;0),U1322,"")),IF(T$1286=1,IF(T$1304=2,V1304,IF(T$1304=1,IF(AND(T$1322=1,T$1322&lt;&gt;0),U1322,""),IF(T$1322=2,V1322,""))),IF(T$1304=2,IF(AND(T$1322=1,T$1322&lt;&gt;0),U1322,""),IF(T$1304=1,IF(T$1322 = 2,V1322,""),""))))</f>
        <v>566</v>
      </c>
      <c r="K1322" s="1376" t="str">
        <f t="shared" si="142"/>
        <v>Incentives</v>
      </c>
      <c r="L1322" s="1376"/>
      <c r="M1322" s="1376"/>
      <c r="N1322" s="1376"/>
      <c r="O1322" s="1370" t="s">
        <v>1899</v>
      </c>
      <c r="R1322" s="1376" t="s">
        <v>898</v>
      </c>
      <c r="S1322" s="1374" t="s">
        <v>1900</v>
      </c>
      <c r="T1322" s="1376">
        <f>IF(Q$608="Yes",IF(Q$639="Yes",2,1),0)</f>
        <v>0</v>
      </c>
      <c r="U1322" s="1376" t="str">
        <f>IF(Q$608="Yes",M608,"")</f>
        <v/>
      </c>
      <c r="V1322" s="1376" t="str">
        <f>IF(Q$639="Yes",M639,"")</f>
        <v/>
      </c>
    </row>
    <row r="1323" spans="1:22" s="1370" customFormat="1" x14ac:dyDescent="0.25">
      <c r="A1323" s="1301" t="s">
        <v>1482</v>
      </c>
      <c r="B1323" s="1027" t="str">
        <f>IFERROR(_xlfn.CONCAT("D",('Configurable Tab'!$C$5+2)),"")</f>
        <v>D42</v>
      </c>
      <c r="C1323" s="1027" t="str">
        <f>IFERROR(_xlfn.CONCAT("E",('Configurable Tab'!$C$5+2)),"")</f>
        <v>E42</v>
      </c>
      <c r="D1323" s="694" t="s">
        <v>1448</v>
      </c>
      <c r="E1323" s="1030" t="s">
        <v>1893</v>
      </c>
      <c r="F1323" s="1376"/>
      <c r="G1323" s="1376"/>
      <c r="H1323" s="1376"/>
      <c r="I1323" s="1026" t="str">
        <f t="shared" si="143"/>
        <v>Incentive Type</v>
      </c>
      <c r="J1323" s="1376" t="str">
        <f t="shared" ref="J1323:J1339" si="154">$Q$1&amp;IF(T$1286 = 2,IF(AND(T$1304=1,T$1304&lt;&gt;0),U1305,IF(AND(T$1322=1,T$1322&lt;&gt;0),U1323,"")),IF(T$1286=1,IF(T$1304=2,V1305,IF(T$1304=1,IF(AND(T$1322=1,T$1322&lt;&gt;0),U1323,""),IF(T$1322=2,V1323,""))),IF(T$1304=2,IF(AND(T$1322=1,T$1322&lt;&gt;0),U1323,""),IF(T$1304=1,IF(T$1322 = 2,V1323,""),""))))</f>
        <v>567</v>
      </c>
      <c r="K1323" s="1376" t="str">
        <f t="shared" si="142"/>
        <v>Incentives</v>
      </c>
      <c r="L1323" s="1376"/>
      <c r="M1323" s="1376"/>
      <c r="N1323" s="1376"/>
      <c r="R1323" s="1376" t="s">
        <v>898</v>
      </c>
      <c r="S1323" s="1374" t="s">
        <v>1900</v>
      </c>
      <c r="U1323" s="1376" t="str">
        <f t="shared" ref="U1323" si="155">IF(Q$608="Yes",M609,"")</f>
        <v/>
      </c>
      <c r="V1323" s="1376" t="str">
        <f t="shared" ref="V1323" si="156">IF(Q$639="Yes",M640,"")</f>
        <v/>
      </c>
    </row>
    <row r="1324" spans="1:22" s="1370" customFormat="1" x14ac:dyDescent="0.25">
      <c r="A1324" s="1301" t="s">
        <v>1484</v>
      </c>
      <c r="B1324" s="1027" t="str">
        <f>IFERROR(_xlfn.CONCAT("D",('Configurable Tab'!$C$5+4)),"")</f>
        <v>D44</v>
      </c>
      <c r="C1324" s="1027" t="str">
        <f>IFERROR(_xlfn.CONCAT("E",('Configurable Tab'!$C$5+4)),"")</f>
        <v>E44</v>
      </c>
      <c r="D1324" s="694" t="s">
        <v>1448</v>
      </c>
      <c r="E1324" s="1030" t="s">
        <v>1893</v>
      </c>
      <c r="F1324" s="1376"/>
      <c r="G1324" s="1376"/>
      <c r="H1324" s="1376"/>
      <c r="I1324" s="1026" t="str">
        <f t="shared" si="143"/>
        <v>Incentive Effective Date</v>
      </c>
      <c r="J1324" s="1376" t="str">
        <f t="shared" si="154"/>
        <v>575</v>
      </c>
      <c r="K1324" s="1376" t="str">
        <f t="shared" si="142"/>
        <v>Incentives</v>
      </c>
      <c r="L1324" s="1376"/>
      <c r="M1324" s="1376"/>
      <c r="N1324" s="1376"/>
      <c r="R1324" s="1376" t="s">
        <v>898</v>
      </c>
      <c r="S1324" s="1374" t="s">
        <v>1900</v>
      </c>
      <c r="U1324" s="1376" t="str">
        <f>IF(Q$608="Yes",M617,"")</f>
        <v/>
      </c>
      <c r="V1324" s="1376" t="str">
        <f>IF(Q$639="Yes",M648,"")</f>
        <v/>
      </c>
    </row>
    <row r="1325" spans="1:22" s="1370" customFormat="1" x14ac:dyDescent="0.25">
      <c r="A1325" s="1383" t="s">
        <v>1485</v>
      </c>
      <c r="B1325" s="1027" t="str">
        <f>IFERROR(_xlfn.CONCAT("D",('Configurable Tab'!$C$5+5)),"")</f>
        <v>D45</v>
      </c>
      <c r="C1325" s="1027" t="str">
        <f>IFERROR(_xlfn.CONCAT("E",('Configurable Tab'!$C$5+5)),"")</f>
        <v>E45</v>
      </c>
      <c r="D1325" s="694" t="s">
        <v>1448</v>
      </c>
      <c r="E1325" s="1030" t="s">
        <v>1893</v>
      </c>
      <c r="F1325" s="1376"/>
      <c r="G1325" s="1376"/>
      <c r="H1325" s="1376"/>
      <c r="I1325" s="1026" t="str">
        <f t="shared" si="143"/>
        <v>Incentive Expiration Date</v>
      </c>
      <c r="J1325" s="1376" t="str">
        <f t="shared" si="154"/>
        <v>576</v>
      </c>
      <c r="K1325" s="1376" t="str">
        <f t="shared" si="142"/>
        <v>Incentives</v>
      </c>
      <c r="L1325" s="1376"/>
      <c r="M1325" s="1376"/>
      <c r="N1325" s="1376"/>
      <c r="R1325" s="1376" t="s">
        <v>898</v>
      </c>
      <c r="S1325" s="1374" t="s">
        <v>1900</v>
      </c>
      <c r="U1325" s="1376" t="str">
        <f>IF(Q$608="Yes",M618,"")</f>
        <v/>
      </c>
      <c r="V1325" s="1376" t="str">
        <f>IF(Q$639="Yes",M649,"")</f>
        <v/>
      </c>
    </row>
    <row r="1326" spans="1:22" s="1370" customFormat="1" x14ac:dyDescent="0.25">
      <c r="A1326" s="1301" t="s">
        <v>1479</v>
      </c>
      <c r="B1326" s="1027" t="str">
        <f>IFERROR(_xlfn.CONCAT("G",('Configurable Tab'!$C$5+1)),"")</f>
        <v>G41</v>
      </c>
      <c r="C1326" s="1027" t="str">
        <f>IFERROR(_xlfn.CONCAT("G",('Configurable Tab'!$C$5+2)),"")</f>
        <v>G42</v>
      </c>
      <c r="D1326" s="694" t="s">
        <v>1448</v>
      </c>
      <c r="E1326" s="1030" t="s">
        <v>1893</v>
      </c>
      <c r="F1326" s="1376"/>
      <c r="G1326" s="1376"/>
      <c r="H1326" s="1376"/>
      <c r="I1326" s="1026" t="str">
        <f t="shared" si="143"/>
        <v>Incentive Period</v>
      </c>
      <c r="J1326" s="1376" t="str">
        <f t="shared" si="154"/>
        <v>576</v>
      </c>
      <c r="K1326" s="1376" t="str">
        <f t="shared" si="142"/>
        <v>Incentives</v>
      </c>
      <c r="L1326" s="1376"/>
      <c r="M1326" s="1376"/>
      <c r="N1326" s="1376"/>
      <c r="R1326" s="1376" t="s">
        <v>898</v>
      </c>
      <c r="S1326" s="1374" t="s">
        <v>1900</v>
      </c>
      <c r="U1326" s="1376" t="str">
        <f>IF(Q$608="Yes",M610,"")</f>
        <v/>
      </c>
      <c r="V1326" s="1376" t="str">
        <f>IF(Q$639="Yes",M641,"")</f>
        <v/>
      </c>
    </row>
    <row r="1327" spans="1:22" s="1370" customFormat="1" x14ac:dyDescent="0.25">
      <c r="A1327" s="1301" t="s">
        <v>1480</v>
      </c>
      <c r="B1327" s="1027" t="str">
        <f>IFERROR(_xlfn.CONCAT("I",('Configurable Tab'!$C$5+1)),"")</f>
        <v>I41</v>
      </c>
      <c r="C1327" s="1027" t="str">
        <f>IFERROR(_xlfn.CONCAT("I",('Configurable Tab'!$C$5+2)),"")</f>
        <v>I42</v>
      </c>
      <c r="D1327" s="694" t="s">
        <v>1448</v>
      </c>
      <c r="E1327" s="1030" t="s">
        <v>1893</v>
      </c>
      <c r="F1327" s="1376"/>
      <c r="G1327" s="1376"/>
      <c r="H1327" s="1376"/>
      <c r="I1327" s="1026" t="str">
        <f t="shared" si="143"/>
        <v>Payment Method</v>
      </c>
      <c r="J1327" s="1376" t="str">
        <f t="shared" si="154"/>
        <v>577</v>
      </c>
      <c r="K1327" s="1376" t="str">
        <f t="shared" si="142"/>
        <v>Incentives</v>
      </c>
      <c r="L1327" s="1376"/>
      <c r="M1327" s="1376"/>
      <c r="N1327" s="1376"/>
      <c r="R1327" s="1376" t="s">
        <v>898</v>
      </c>
      <c r="S1327" s="1374" t="s">
        <v>1900</v>
      </c>
      <c r="U1327" s="1376" t="str">
        <f>IF(Q$608="Yes",M611,"")</f>
        <v/>
      </c>
      <c r="V1327" s="1376" t="str">
        <f>IF(Q$639="Yes",M642,"")</f>
        <v/>
      </c>
    </row>
    <row r="1328" spans="1:22" s="1370" customFormat="1" x14ac:dyDescent="0.25">
      <c r="A1328" s="1301" t="s">
        <v>871</v>
      </c>
      <c r="B1328" s="1027" t="str">
        <f>IFERROR(_xlfn.CONCAT("K",('Configurable Tab'!$C$5+1)),"")</f>
        <v>K41</v>
      </c>
      <c r="C1328" s="1027" t="str">
        <f>IFERROR(_xlfn.CONCAT("K",('Configurable Tab'!$C$5+2)),"")</f>
        <v>K42</v>
      </c>
      <c r="D1328" s="694" t="s">
        <v>1448</v>
      </c>
      <c r="E1328" s="1030" t="s">
        <v>1893</v>
      </c>
      <c r="F1328" s="1376"/>
      <c r="G1328" s="1376"/>
      <c r="H1328" s="1376"/>
      <c r="I1328" s="1026" t="str">
        <f t="shared" si="143"/>
        <v>Paid to:</v>
      </c>
      <c r="J1328" s="1376" t="str">
        <f t="shared" si="154"/>
        <v>568</v>
      </c>
      <c r="K1328" s="1376" t="str">
        <f t="shared" si="142"/>
        <v>Incentives</v>
      </c>
      <c r="L1328" s="1376"/>
      <c r="M1328" s="1376"/>
      <c r="N1328" s="1376"/>
      <c r="R1328" s="1376" t="s">
        <v>898</v>
      </c>
      <c r="S1328" s="1374" t="s">
        <v>1900</v>
      </c>
      <c r="U1328" s="1376" t="str">
        <f>IF(Q$608="Yes",M612,"")</f>
        <v/>
      </c>
      <c r="V1328" s="1376" t="str">
        <f>IF(Q$639="Yes",M643,"")</f>
        <v/>
      </c>
    </row>
    <row r="1329" spans="1:22" s="1370" customFormat="1" x14ac:dyDescent="0.25">
      <c r="A1329" s="1301" t="s">
        <v>1481</v>
      </c>
      <c r="B1329" s="1027" t="str">
        <f>IFERROR(_xlfn.CONCAT("M",('Configurable Tab'!$C$5+1)),"")</f>
        <v>M41</v>
      </c>
      <c r="C1329" s="1027" t="str">
        <f>IFERROR(_xlfn.CONCAT("M",('Configurable Tab'!$C$5+2)),"")</f>
        <v>M42</v>
      </c>
      <c r="D1329" s="694" t="s">
        <v>1448</v>
      </c>
      <c r="E1329" s="1030" t="s">
        <v>1893</v>
      </c>
      <c r="F1329" s="1376"/>
      <c r="G1329" s="1376"/>
      <c r="H1329" s="1376"/>
      <c r="I1329" s="1026" t="str">
        <f t="shared" si="143"/>
        <v>AP/AR Vendor Number</v>
      </c>
      <c r="J1329" s="1376" t="str">
        <f t="shared" si="154"/>
        <v>569</v>
      </c>
      <c r="K1329" s="1376" t="str">
        <f t="shared" si="142"/>
        <v>Incentives</v>
      </c>
      <c r="L1329" s="1376"/>
      <c r="M1329" s="1376"/>
      <c r="N1329" s="1376"/>
      <c r="R1329" s="1376" t="s">
        <v>898</v>
      </c>
      <c r="S1329" s="1374" t="s">
        <v>1900</v>
      </c>
      <c r="U1329" s="1376" t="str">
        <f>IF(Q$608="Yes",M613,"")</f>
        <v/>
      </c>
      <c r="V1329" s="1376" t="str">
        <f>IF(Q$639="Yes",M644,"")</f>
        <v/>
      </c>
    </row>
    <row r="1330" spans="1:22" s="1370" customFormat="1" x14ac:dyDescent="0.25">
      <c r="A1330" s="1301" t="s">
        <v>1486</v>
      </c>
      <c r="B1330" s="1027" t="str">
        <f>IFERROR(_xlfn.CONCAT("G",('Configurable Tab'!$C$5+6)),"")</f>
        <v>G46</v>
      </c>
      <c r="C1330" s="1027" t="str">
        <f>IFERROR(_xlfn.CONCAT("G",('Configurable Tab'!$C$5+7)),"")</f>
        <v>G47</v>
      </c>
      <c r="D1330" s="694" t="s">
        <v>1448</v>
      </c>
      <c r="E1330" s="1030" t="s">
        <v>1893</v>
      </c>
      <c r="F1330" s="1376"/>
      <c r="G1330" s="1376"/>
      <c r="H1330" s="1376"/>
      <c r="I1330" s="1026" t="str">
        <f t="shared" si="143"/>
        <v>Minimum Units</v>
      </c>
      <c r="J1330" s="1376" t="str">
        <f t="shared" si="154"/>
        <v>580</v>
      </c>
      <c r="K1330" s="1376" t="str">
        <f t="shared" si="142"/>
        <v>Incentives</v>
      </c>
      <c r="L1330" s="1376"/>
      <c r="M1330" s="1376"/>
      <c r="N1330" s="1376"/>
      <c r="R1330" s="1376" t="s">
        <v>898</v>
      </c>
      <c r="S1330" s="1374" t="s">
        <v>1900</v>
      </c>
      <c r="U1330" s="1376" t="str">
        <f>IF(Q$608="Yes",M622,"")</f>
        <v/>
      </c>
      <c r="V1330" s="1376" t="str">
        <f>IF(Q$639="Yes",M653,"")</f>
        <v/>
      </c>
    </row>
    <row r="1331" spans="1:22" s="1370" customFormat="1" x14ac:dyDescent="0.25">
      <c r="A1331" s="1301" t="s">
        <v>1486</v>
      </c>
      <c r="B1331" s="1027" t="str">
        <f>IFERROR(_xlfn.CONCAT("G",('Configurable Tab'!$C$5+6)),"")</f>
        <v>G46</v>
      </c>
      <c r="C1331" s="1027" t="str">
        <f>IFERROR(_xlfn.CONCAT("G",('Configurable Tab'!$C$5+8)),"")</f>
        <v>G48</v>
      </c>
      <c r="D1331" s="694" t="s">
        <v>1448</v>
      </c>
      <c r="E1331" s="1030" t="s">
        <v>1893</v>
      </c>
      <c r="F1331" s="1376"/>
      <c r="G1331" s="1376"/>
      <c r="H1331" s="1376"/>
      <c r="I1331" s="1026" t="str">
        <f t="shared" si="143"/>
        <v/>
      </c>
      <c r="J1331" s="1376" t="str">
        <f t="shared" si="154"/>
        <v/>
      </c>
      <c r="K1331" s="1376" t="str">
        <f t="shared" si="142"/>
        <v/>
      </c>
      <c r="L1331" s="1376"/>
      <c r="M1331" s="1376"/>
      <c r="N1331" s="1376"/>
      <c r="R1331" s="1376" t="s">
        <v>898</v>
      </c>
      <c r="S1331" s="1374" t="s">
        <v>1900</v>
      </c>
      <c r="U1331" s="1376" t="str">
        <f>IF(Q$608="Yes",M625,"")</f>
        <v/>
      </c>
      <c r="V1331" s="1376" t="str">
        <f>IF(Q$639="Yes",M656,"")</f>
        <v/>
      </c>
    </row>
    <row r="1332" spans="1:22" s="1370" customFormat="1" x14ac:dyDescent="0.25">
      <c r="A1332" s="1301" t="s">
        <v>1486</v>
      </c>
      <c r="B1332" s="1027" t="str">
        <f>IFERROR(_xlfn.CONCAT("G",('Configurable Tab'!$C$5+6)),"")</f>
        <v>G46</v>
      </c>
      <c r="C1332" s="1027" t="str">
        <f>IFERROR(_xlfn.CONCAT("G",('Configurable Tab'!$C$5+9)),"")</f>
        <v>G49</v>
      </c>
      <c r="D1332" s="694" t="s">
        <v>1448</v>
      </c>
      <c r="E1332" s="1030" t="s">
        <v>1893</v>
      </c>
      <c r="I1332" s="1026" t="str">
        <f t="shared" si="143"/>
        <v/>
      </c>
      <c r="J1332" s="1376" t="str">
        <f t="shared" si="154"/>
        <v/>
      </c>
      <c r="K1332" s="1376" t="str">
        <f t="shared" si="142"/>
        <v/>
      </c>
      <c r="L1332" s="1376"/>
      <c r="M1332" s="1376"/>
      <c r="N1332" s="1376"/>
      <c r="R1332" s="1376" t="s">
        <v>898</v>
      </c>
      <c r="S1332" s="1374" t="s">
        <v>1900</v>
      </c>
      <c r="U1332" s="1376" t="str">
        <f>IF(Q$608="Yes",M628,"")</f>
        <v/>
      </c>
      <c r="V1332" s="1376" t="str">
        <f>IF(Q$639="Yes",M659,"")</f>
        <v/>
      </c>
    </row>
    <row r="1333" spans="1:22" s="1370" customFormat="1" x14ac:dyDescent="0.25">
      <c r="A1333" s="1301" t="s">
        <v>1486</v>
      </c>
      <c r="B1333" s="1027" t="str">
        <f>IFERROR(_xlfn.CONCAT("G",('Configurable Tab'!$C$5+6)),"")</f>
        <v>G46</v>
      </c>
      <c r="C1333" s="1027" t="str">
        <f>IFERROR(_xlfn.CONCAT("G",('Configurable Tab'!$C$5+10)),"")</f>
        <v>G50</v>
      </c>
      <c r="D1333" s="694" t="s">
        <v>1448</v>
      </c>
      <c r="E1333" s="1030" t="s">
        <v>1893</v>
      </c>
      <c r="I1333" s="1026" t="str">
        <f t="shared" si="143"/>
        <v/>
      </c>
      <c r="J1333" s="1376" t="str">
        <f t="shared" si="154"/>
        <v/>
      </c>
      <c r="K1333" s="1376" t="str">
        <f t="shared" si="142"/>
        <v/>
      </c>
      <c r="L1333" s="1376"/>
      <c r="M1333" s="1376"/>
      <c r="N1333" s="1376"/>
      <c r="R1333" s="1376" t="s">
        <v>898</v>
      </c>
      <c r="S1333" s="1374" t="s">
        <v>1900</v>
      </c>
      <c r="U1333" s="1376" t="str">
        <f>IF(Q$608="Yes",M631,"")</f>
        <v/>
      </c>
      <c r="V1333" s="1376" t="str">
        <f>IF(Q$639="Yes",M662,"")</f>
        <v/>
      </c>
    </row>
    <row r="1334" spans="1:22" s="1370" customFormat="1" x14ac:dyDescent="0.25">
      <c r="A1334" s="1301" t="s">
        <v>1486</v>
      </c>
      <c r="B1334" s="1027" t="str">
        <f>IFERROR(_xlfn.CONCAT("G",('Configurable Tab'!$C$5+6)),"")</f>
        <v>G46</v>
      </c>
      <c r="C1334" s="1027" t="str">
        <f>IFERROR(_xlfn.CONCAT("G",('Configurable Tab'!$C$5+11)),"")</f>
        <v>G51</v>
      </c>
      <c r="D1334" s="694" t="s">
        <v>1448</v>
      </c>
      <c r="E1334" s="1030" t="s">
        <v>1893</v>
      </c>
      <c r="I1334" s="1026" t="str">
        <f t="shared" si="143"/>
        <v/>
      </c>
      <c r="J1334" s="1376" t="str">
        <f t="shared" si="154"/>
        <v/>
      </c>
      <c r="K1334" s="1376" t="str">
        <f t="shared" si="142"/>
        <v/>
      </c>
      <c r="L1334" s="1376"/>
      <c r="M1334" s="1376"/>
      <c r="N1334" s="1376"/>
      <c r="R1334" s="1376" t="s">
        <v>898</v>
      </c>
      <c r="S1334" s="1374" t="s">
        <v>1900</v>
      </c>
      <c r="U1334" s="1376" t="str">
        <f>IF(Q$608="Yes",M634,"")</f>
        <v/>
      </c>
      <c r="V1334" s="1376" t="str">
        <f>IF(Q$639="Yes",M665,"")</f>
        <v/>
      </c>
    </row>
    <row r="1335" spans="1:22" s="1370" customFormat="1" x14ac:dyDescent="0.25">
      <c r="A1335" s="1301" t="s">
        <v>1488</v>
      </c>
      <c r="B1335" s="1027" t="str">
        <f>IFERROR(_xlfn.CONCAT("K",('Configurable Tab'!$C$5+6)),"")</f>
        <v>K46</v>
      </c>
      <c r="C1335" s="1027" t="str">
        <f>IFERROR(_xlfn.CONCAT("K",('Configurable Tab'!$C$5+7)),"")</f>
        <v>K47</v>
      </c>
      <c r="D1335" s="694" t="s">
        <v>1448</v>
      </c>
      <c r="E1335" s="1030" t="s">
        <v>1893</v>
      </c>
      <c r="I1335" s="1026" t="str">
        <f t="shared" si="143"/>
        <v>Rate % of Sales</v>
      </c>
      <c r="J1335" s="1376" t="str">
        <f t="shared" si="154"/>
        <v>582</v>
      </c>
      <c r="K1335" s="1376" t="str">
        <f t="shared" si="142"/>
        <v>Incentives</v>
      </c>
      <c r="L1335" s="1376"/>
      <c r="M1335" s="1376"/>
      <c r="N1335" s="1376"/>
      <c r="R1335" s="1376" t="s">
        <v>898</v>
      </c>
      <c r="S1335" s="1374" t="s">
        <v>1900</v>
      </c>
      <c r="U1335" s="1376" t="str">
        <f>IF(Q$608="Yes",M624,"")</f>
        <v/>
      </c>
      <c r="V1335" s="1376" t="str">
        <f>IF(Q$639="Yes",M655,"")</f>
        <v/>
      </c>
    </row>
    <row r="1336" spans="1:22" s="1370" customFormat="1" x14ac:dyDescent="0.25">
      <c r="A1336" s="1301" t="s">
        <v>1488</v>
      </c>
      <c r="B1336" s="1027" t="str">
        <f>IFERROR(_xlfn.CONCAT("K",('Configurable Tab'!$C$5+6)),"")</f>
        <v>K46</v>
      </c>
      <c r="C1336" s="1027" t="str">
        <f>IFERROR(_xlfn.CONCAT("K",('Configurable Tab'!$C$5+8)),"")</f>
        <v>K48</v>
      </c>
      <c r="D1336" s="694" t="s">
        <v>1448</v>
      </c>
      <c r="E1336" s="1030" t="s">
        <v>1893</v>
      </c>
      <c r="I1336" s="1026" t="str">
        <f t="shared" si="143"/>
        <v/>
      </c>
      <c r="J1336" s="1376" t="str">
        <f t="shared" si="154"/>
        <v/>
      </c>
      <c r="K1336" s="1376" t="str">
        <f t="shared" si="142"/>
        <v/>
      </c>
      <c r="L1336" s="1376"/>
      <c r="M1336" s="1376"/>
      <c r="N1336" s="1376"/>
      <c r="R1336" s="1376" t="s">
        <v>898</v>
      </c>
      <c r="S1336" s="1374" t="s">
        <v>1900</v>
      </c>
      <c r="U1336" s="1376" t="str">
        <f>IF(Q$608="Yes",M627,"")</f>
        <v/>
      </c>
      <c r="V1336" s="1376" t="str">
        <f>IF(Q$639="Yes",M658,"")</f>
        <v/>
      </c>
    </row>
    <row r="1337" spans="1:22" s="1370" customFormat="1" x14ac:dyDescent="0.25">
      <c r="A1337" s="1301" t="s">
        <v>1488</v>
      </c>
      <c r="B1337" s="1027" t="str">
        <f>IFERROR(_xlfn.CONCAT("K",('Configurable Tab'!$C$5+6)),"")</f>
        <v>K46</v>
      </c>
      <c r="C1337" s="1027" t="str">
        <f>IFERROR(_xlfn.CONCAT("K",('Configurable Tab'!$C$5+9)),"")</f>
        <v>K49</v>
      </c>
      <c r="D1337" s="694" t="s">
        <v>1448</v>
      </c>
      <c r="E1337" s="1030" t="s">
        <v>1893</v>
      </c>
      <c r="I1337" s="1026" t="str">
        <f t="shared" si="143"/>
        <v/>
      </c>
      <c r="J1337" s="1376" t="str">
        <f t="shared" si="154"/>
        <v/>
      </c>
      <c r="K1337" s="1376" t="str">
        <f t="shared" si="142"/>
        <v/>
      </c>
      <c r="L1337" s="1376"/>
      <c r="M1337" s="1376"/>
      <c r="N1337" s="1376"/>
      <c r="R1337" s="1376" t="s">
        <v>898</v>
      </c>
      <c r="S1337" s="1374" t="s">
        <v>1900</v>
      </c>
      <c r="U1337" s="1376" t="str">
        <f>IF(Q$608="Yes",M630,"")</f>
        <v/>
      </c>
      <c r="V1337" s="1376" t="str">
        <f>IF(Q$639="Yes",M661,"")</f>
        <v/>
      </c>
    </row>
    <row r="1338" spans="1:22" s="1370" customFormat="1" x14ac:dyDescent="0.25">
      <c r="A1338" s="1301" t="s">
        <v>1488</v>
      </c>
      <c r="B1338" s="1027" t="str">
        <f>IFERROR(_xlfn.CONCAT("K",('Configurable Tab'!$C$5+6)),"")</f>
        <v>K46</v>
      </c>
      <c r="C1338" s="1027" t="str">
        <f>IFERROR(_xlfn.CONCAT("K",('Configurable Tab'!$C$5+10)),"")</f>
        <v>K50</v>
      </c>
      <c r="D1338" s="694" t="s">
        <v>1448</v>
      </c>
      <c r="E1338" s="1030" t="s">
        <v>1893</v>
      </c>
      <c r="I1338" s="1026" t="str">
        <f t="shared" si="143"/>
        <v/>
      </c>
      <c r="J1338" s="1376" t="str">
        <f t="shared" si="154"/>
        <v/>
      </c>
      <c r="K1338" s="1376" t="str">
        <f t="shared" si="142"/>
        <v/>
      </c>
      <c r="L1338" s="1376"/>
      <c r="M1338" s="1376"/>
      <c r="N1338" s="1376"/>
      <c r="R1338" s="1376" t="s">
        <v>898</v>
      </c>
      <c r="S1338" s="1374" t="s">
        <v>1900</v>
      </c>
      <c r="U1338" s="1376" t="str">
        <f>IF(Q$608="Yes",M633,"")</f>
        <v/>
      </c>
      <c r="V1338" s="1376" t="str">
        <f>IF(Q$639="Yes",M664,"")</f>
        <v/>
      </c>
    </row>
    <row r="1339" spans="1:22" s="1370" customFormat="1" x14ac:dyDescent="0.25">
      <c r="A1339" s="1301" t="s">
        <v>1488</v>
      </c>
      <c r="B1339" s="1026" t="str">
        <f>IFERROR(_xlfn.CONCAT("K",('Configurable Tab'!$C$5+6)),"")</f>
        <v>K46</v>
      </c>
      <c r="C1339" s="1026" t="str">
        <f>IFERROR(_xlfn.CONCAT("K",('Configurable Tab'!$C$5+11)),"")</f>
        <v>K51</v>
      </c>
      <c r="D1339" s="1376" t="s">
        <v>1448</v>
      </c>
      <c r="E1339" s="1029" t="s">
        <v>1893</v>
      </c>
      <c r="I1339" s="1026" t="str">
        <f t="shared" si="143"/>
        <v/>
      </c>
      <c r="J1339" s="1376" t="str">
        <f t="shared" si="154"/>
        <v/>
      </c>
      <c r="K1339" s="1376" t="str">
        <f t="shared" si="142"/>
        <v/>
      </c>
      <c r="L1339" s="1376"/>
      <c r="M1339" s="1376"/>
      <c r="N1339" s="1376"/>
      <c r="R1339" s="1376" t="s">
        <v>898</v>
      </c>
      <c r="S1339" s="1374" t="s">
        <v>1900</v>
      </c>
      <c r="U1339" s="1376" t="str">
        <f>IF(Q$608="Yes",M636,"")</f>
        <v/>
      </c>
      <c r="V1339" s="1376" t="str">
        <f>IF(Q$639="Yes",M667,"")</f>
        <v/>
      </c>
    </row>
    <row r="1340" spans="1:22" s="1370" customFormat="1" x14ac:dyDescent="0.25">
      <c r="A1340" s="1386" t="s">
        <v>528</v>
      </c>
      <c r="B1340" s="1027" t="str">
        <f>IFERROR(_xlfn.CONCAT("D",('Configurable Tab'!$C$6+1)),"")</f>
        <v>D55</v>
      </c>
      <c r="C1340" s="1027" t="str">
        <f>IFERROR(_xlfn.CONCAT("E",('Configurable Tab'!$C$6+1)),"")</f>
        <v>E55</v>
      </c>
      <c r="D1340" s="694" t="s">
        <v>1448</v>
      </c>
      <c r="E1340" s="1030" t="s">
        <v>1893</v>
      </c>
      <c r="F1340" s="1376"/>
      <c r="G1340" s="1376"/>
      <c r="H1340" s="1376"/>
      <c r="I1340" s="1026" t="str">
        <f t="shared" si="143"/>
        <v/>
      </c>
      <c r="J1340" s="1376" t="str">
        <f>$Q$1&amp;IF(T$1340&lt;&gt;0,U1340,IF(T$1358&lt;&gt;0,U1358,""))</f>
        <v/>
      </c>
      <c r="K1340" s="1376" t="str">
        <f t="shared" si="142"/>
        <v/>
      </c>
      <c r="L1340" s="1376"/>
      <c r="M1340" s="1376"/>
      <c r="N1340" s="1376"/>
      <c r="O1340" s="1370" t="s">
        <v>1791</v>
      </c>
      <c r="R1340" s="1376" t="s">
        <v>1627</v>
      </c>
      <c r="S1340" s="1374" t="s">
        <v>1901</v>
      </c>
      <c r="T1340" s="1376">
        <f>IF(Q$670="Yes",IF(Q$688="Yes",2,1),0)</f>
        <v>0</v>
      </c>
      <c r="U1340" s="1376" t="str">
        <f>IF(Q$670="Yes",M670,"")</f>
        <v/>
      </c>
      <c r="V1340" s="1376" t="str">
        <f>IF(Q$688="Yes",M688,"")</f>
        <v/>
      </c>
    </row>
    <row r="1341" spans="1:22" s="1370" customFormat="1" x14ac:dyDescent="0.25">
      <c r="A1341" s="1387" t="s">
        <v>1482</v>
      </c>
      <c r="B1341" s="1027" t="str">
        <f>IFERROR(_xlfn.CONCAT("D",('Configurable Tab'!$C$6+2)),"")</f>
        <v>D56</v>
      </c>
      <c r="C1341" s="1027" t="str">
        <f>IFERROR(_xlfn.CONCAT("E",('Configurable Tab'!$C$6+2)),"")</f>
        <v>E56</v>
      </c>
      <c r="D1341" s="694" t="s">
        <v>1448</v>
      </c>
      <c r="E1341" s="1030" t="s">
        <v>1893</v>
      </c>
      <c r="F1341" s="1376"/>
      <c r="G1341" s="1376"/>
      <c r="H1341" s="1376"/>
      <c r="I1341" s="1026" t="str">
        <f t="shared" si="143"/>
        <v/>
      </c>
      <c r="J1341" s="1376" t="str">
        <f t="shared" ref="J1341:J1357" si="157">$Q$1&amp;IF(T$1340&lt;&gt;0,U1341,IF(T$1358&lt;&gt;0,U1359,""))</f>
        <v/>
      </c>
      <c r="K1341" s="1376" t="str">
        <f t="shared" si="142"/>
        <v/>
      </c>
      <c r="L1341" s="1376"/>
      <c r="M1341" s="1376"/>
      <c r="N1341" s="1376"/>
      <c r="R1341" s="1376" t="s">
        <v>1627</v>
      </c>
      <c r="S1341" s="1374" t="s">
        <v>1901</v>
      </c>
      <c r="U1341" s="1376" t="str">
        <f>IF(Q$670="Yes",M671,"")</f>
        <v/>
      </c>
      <c r="V1341" s="1376" t="str">
        <f>IF(Q$688="Yes",M689,"")</f>
        <v/>
      </c>
    </row>
    <row r="1342" spans="1:22" s="1370" customFormat="1" x14ac:dyDescent="0.25">
      <c r="A1342" s="1387" t="s">
        <v>1484</v>
      </c>
      <c r="B1342" s="1027" t="str">
        <f>IFERROR(_xlfn.CONCAT("D",('Configurable Tab'!$C$6+4)),"")</f>
        <v>D58</v>
      </c>
      <c r="C1342" s="1027" t="str">
        <f>IFERROR(_xlfn.CONCAT("E",('Configurable Tab'!$C$6+4)),"")</f>
        <v>E58</v>
      </c>
      <c r="D1342" s="694" t="s">
        <v>1448</v>
      </c>
      <c r="E1342" s="1030" t="s">
        <v>1893</v>
      </c>
      <c r="F1342" s="1376"/>
      <c r="G1342" s="1376"/>
      <c r="H1342" s="1376"/>
      <c r="I1342" s="1026" t="str">
        <f t="shared" si="143"/>
        <v/>
      </c>
      <c r="J1342" s="1376" t="str">
        <f t="shared" si="157"/>
        <v/>
      </c>
      <c r="K1342" s="1376" t="str">
        <f t="shared" si="142"/>
        <v/>
      </c>
      <c r="L1342" s="1376"/>
      <c r="M1342" s="1376"/>
      <c r="N1342" s="1376"/>
      <c r="R1342" s="1376" t="s">
        <v>1627</v>
      </c>
      <c r="S1342" s="1374" t="s">
        <v>1901</v>
      </c>
      <c r="U1342" s="1376" t="str">
        <f>IF(Q$670="Yes",M679,"")</f>
        <v/>
      </c>
      <c r="V1342" s="1376" t="str">
        <f>IF(Q$688="Yes",M697,"")</f>
        <v/>
      </c>
    </row>
    <row r="1343" spans="1:22" s="1370" customFormat="1" x14ac:dyDescent="0.25">
      <c r="A1343" s="1388" t="s">
        <v>1485</v>
      </c>
      <c r="B1343" s="1027" t="str">
        <f>IFERROR(_xlfn.CONCAT("D",('Configurable Tab'!$C$6+5)),"")</f>
        <v>D59</v>
      </c>
      <c r="C1343" s="1027" t="str">
        <f>IFERROR(_xlfn.CONCAT("E",('Configurable Tab'!$C$6+5)),"")</f>
        <v>E59</v>
      </c>
      <c r="D1343" s="694" t="s">
        <v>1448</v>
      </c>
      <c r="E1343" s="1030" t="s">
        <v>1893</v>
      </c>
      <c r="F1343" s="1376"/>
      <c r="G1343" s="1376"/>
      <c r="H1343" s="1376"/>
      <c r="I1343" s="1026" t="str">
        <f t="shared" si="143"/>
        <v/>
      </c>
      <c r="J1343" s="1376" t="str">
        <f t="shared" si="157"/>
        <v/>
      </c>
      <c r="K1343" s="1376" t="str">
        <f t="shared" si="142"/>
        <v/>
      </c>
      <c r="L1343" s="1376"/>
      <c r="M1343" s="1376"/>
      <c r="N1343" s="1376"/>
      <c r="R1343" s="1376" t="s">
        <v>1627</v>
      </c>
      <c r="S1343" s="1374" t="s">
        <v>1901</v>
      </c>
      <c r="U1343" s="1376" t="str">
        <f>IF(Q$670="Yes",M680,"")</f>
        <v/>
      </c>
      <c r="V1343" s="1376" t="str">
        <f>IF(Q$688="Yes",M698,"")</f>
        <v/>
      </c>
    </row>
    <row r="1344" spans="1:22" s="1370" customFormat="1" x14ac:dyDescent="0.25">
      <c r="A1344" s="1387" t="s">
        <v>1479</v>
      </c>
      <c r="B1344" s="1027" t="str">
        <f>IFERROR(_xlfn.CONCAT("G",('Configurable Tab'!$C$6+1)),"")</f>
        <v>G55</v>
      </c>
      <c r="C1344" s="1027" t="str">
        <f>IFERROR(_xlfn.CONCAT("G",('Configurable Tab'!$C$6+2)),"")</f>
        <v>G56</v>
      </c>
      <c r="D1344" s="694" t="s">
        <v>1448</v>
      </c>
      <c r="E1344" s="1030" t="s">
        <v>1893</v>
      </c>
      <c r="F1344" s="1369"/>
      <c r="G1344" s="1384"/>
      <c r="H1344" s="1376"/>
      <c r="I1344" s="1026" t="str">
        <f t="shared" si="143"/>
        <v/>
      </c>
      <c r="J1344" s="1376" t="str">
        <f t="shared" si="157"/>
        <v/>
      </c>
      <c r="K1344" s="1376" t="str">
        <f t="shared" si="142"/>
        <v/>
      </c>
      <c r="L1344" s="1376"/>
      <c r="M1344" s="1376"/>
      <c r="N1344" s="1376"/>
      <c r="R1344" s="1376" t="s">
        <v>1627</v>
      </c>
      <c r="S1344" s="1374" t="s">
        <v>1901</v>
      </c>
      <c r="U1344" s="1376" t="str">
        <f>IF(Q$670="Yes",M672,"")</f>
        <v/>
      </c>
      <c r="V1344" s="1376" t="str">
        <f>IF(Q$688="Yes",M690,"")</f>
        <v/>
      </c>
    </row>
    <row r="1345" spans="1:22" s="1370" customFormat="1" x14ac:dyDescent="0.25">
      <c r="A1345" s="1387" t="s">
        <v>1480</v>
      </c>
      <c r="B1345" s="1027" t="str">
        <f>IFERROR(_xlfn.CONCAT("I",('Configurable Tab'!$C$6+1)),"")</f>
        <v>I55</v>
      </c>
      <c r="C1345" s="1027" t="str">
        <f>IFERROR(_xlfn.CONCAT("I",('Configurable Tab'!$C$6+2)),"")</f>
        <v>I56</v>
      </c>
      <c r="D1345" s="694" t="s">
        <v>1448</v>
      </c>
      <c r="E1345" s="1030" t="s">
        <v>1893</v>
      </c>
      <c r="F1345" s="1376"/>
      <c r="G1345" s="1376"/>
      <c r="H1345" s="1376"/>
      <c r="I1345" s="1026" t="str">
        <f t="shared" si="143"/>
        <v/>
      </c>
      <c r="J1345" s="1376" t="str">
        <f t="shared" si="157"/>
        <v/>
      </c>
      <c r="K1345" s="1376" t="str">
        <f t="shared" si="142"/>
        <v/>
      </c>
      <c r="L1345" s="1376"/>
      <c r="M1345" s="1376"/>
      <c r="N1345" s="1376"/>
      <c r="R1345" s="1376" t="s">
        <v>1627</v>
      </c>
      <c r="S1345" s="1374" t="s">
        <v>1901</v>
      </c>
      <c r="U1345" s="1376" t="str">
        <f t="shared" ref="U1345:U1347" si="158">IF(Q$670="Yes",M673,"")</f>
        <v/>
      </c>
      <c r="V1345" s="1376" t="str">
        <f t="shared" ref="V1345:V1347" si="159">IF(Q$688="Yes",M691,"")</f>
        <v/>
      </c>
    </row>
    <row r="1346" spans="1:22" s="1370" customFormat="1" x14ac:dyDescent="0.25">
      <c r="A1346" s="1387" t="s">
        <v>871</v>
      </c>
      <c r="B1346" s="1027" t="str">
        <f>IFERROR(_xlfn.CONCAT("K",('Configurable Tab'!$C$6+1)),"")</f>
        <v>K55</v>
      </c>
      <c r="C1346" s="1027" t="str">
        <f>IFERROR(_xlfn.CONCAT("K",('Configurable Tab'!$C$6+2)),"")</f>
        <v>K56</v>
      </c>
      <c r="D1346" s="694" t="s">
        <v>1448</v>
      </c>
      <c r="E1346" s="1030" t="s">
        <v>1893</v>
      </c>
      <c r="F1346" s="1376"/>
      <c r="G1346" s="1376"/>
      <c r="H1346" s="1376"/>
      <c r="I1346" s="1026" t="str">
        <f t="shared" si="143"/>
        <v/>
      </c>
      <c r="J1346" s="1376" t="str">
        <f t="shared" si="157"/>
        <v/>
      </c>
      <c r="K1346" s="1376" t="str">
        <f t="shared" si="142"/>
        <v/>
      </c>
      <c r="L1346" s="1376"/>
      <c r="M1346" s="1376"/>
      <c r="N1346" s="1376"/>
      <c r="R1346" s="1376" t="s">
        <v>1627</v>
      </c>
      <c r="S1346" s="1374" t="s">
        <v>1901</v>
      </c>
      <c r="U1346" s="1376" t="str">
        <f t="shared" si="158"/>
        <v/>
      </c>
      <c r="V1346" s="1376" t="str">
        <f t="shared" si="159"/>
        <v/>
      </c>
    </row>
    <row r="1347" spans="1:22" s="1370" customFormat="1" x14ac:dyDescent="0.25">
      <c r="A1347" s="1387" t="s">
        <v>1481</v>
      </c>
      <c r="B1347" s="1027" t="str">
        <f>IFERROR(_xlfn.CONCAT("M",('Configurable Tab'!$C$6+1)),"")</f>
        <v>M55</v>
      </c>
      <c r="C1347" s="1027" t="str">
        <f>IFERROR(_xlfn.CONCAT("M",('Configurable Tab'!$C$6+2)),"")</f>
        <v>M56</v>
      </c>
      <c r="D1347" s="694" t="s">
        <v>1448</v>
      </c>
      <c r="E1347" s="1030" t="s">
        <v>1893</v>
      </c>
      <c r="F1347" s="1376"/>
      <c r="G1347" s="1376"/>
      <c r="H1347" s="1376"/>
      <c r="I1347" s="1026" t="str">
        <f t="shared" si="143"/>
        <v/>
      </c>
      <c r="J1347" s="1376" t="str">
        <f t="shared" si="157"/>
        <v/>
      </c>
      <c r="K1347" s="1376" t="str">
        <f t="shared" si="142"/>
        <v/>
      </c>
      <c r="L1347" s="1376"/>
      <c r="M1347" s="1376"/>
      <c r="N1347" s="1376"/>
      <c r="R1347" s="1376" t="s">
        <v>1627</v>
      </c>
      <c r="S1347" s="1374" t="s">
        <v>1901</v>
      </c>
      <c r="U1347" s="1376" t="str">
        <f t="shared" si="158"/>
        <v/>
      </c>
      <c r="V1347" s="1376" t="str">
        <f t="shared" si="159"/>
        <v/>
      </c>
    </row>
    <row r="1348" spans="1:22" s="1370" customFormat="1" x14ac:dyDescent="0.25">
      <c r="A1348" s="1387" t="s">
        <v>1486</v>
      </c>
      <c r="B1348" s="1027" t="str">
        <f>IFERROR(_xlfn.CONCAT("G",('Configurable Tab'!$C$6+6)),"")</f>
        <v>G60</v>
      </c>
      <c r="C1348" s="1027" t="str">
        <f>IFERROR(_xlfn.CONCAT("G",('Configurable Tab'!$C$6+7)),"")</f>
        <v>G61</v>
      </c>
      <c r="D1348" s="694" t="s">
        <v>1448</v>
      </c>
      <c r="E1348" s="1030" t="s">
        <v>1893</v>
      </c>
      <c r="F1348" s="1376"/>
      <c r="G1348" s="1376"/>
      <c r="H1348" s="1376"/>
      <c r="I1348" s="1026" t="str">
        <f t="shared" ref="I1348:I1411" si="160">IF(J1348&lt;&gt;"",A1348,"")</f>
        <v/>
      </c>
      <c r="J1348" s="1376" t="str">
        <f t="shared" si="157"/>
        <v/>
      </c>
      <c r="K1348" s="1376" t="str">
        <f t="shared" ref="K1348:K1411" si="161">IF(J1348&lt;&gt;"",E1348,"")</f>
        <v/>
      </c>
      <c r="L1348" s="1376"/>
      <c r="M1348" s="1376"/>
      <c r="N1348" s="1376"/>
      <c r="R1348" s="1376" t="s">
        <v>1627</v>
      </c>
      <c r="S1348" s="1374" t="s">
        <v>1901</v>
      </c>
      <c r="U1348" s="1376" t="str">
        <f>IF(Q$670="Yes",M684,"")</f>
        <v/>
      </c>
      <c r="V1348" s="1376" t="str">
        <f>IF(Q$688="Yes",M702,"")</f>
        <v/>
      </c>
    </row>
    <row r="1349" spans="1:22" s="1370" customFormat="1" x14ac:dyDescent="0.25">
      <c r="A1349" s="1387" t="s">
        <v>1486</v>
      </c>
      <c r="B1349" s="1027" t="str">
        <f>IFERROR(_xlfn.CONCAT("G",('Configurable Tab'!$C$6+6)),"")</f>
        <v>G60</v>
      </c>
      <c r="C1349" s="1027" t="str">
        <f>IFERROR(_xlfn.CONCAT("G",('Configurable Tab'!$C$6+8)),"")</f>
        <v>G62</v>
      </c>
      <c r="D1349" s="694" t="s">
        <v>1448</v>
      </c>
      <c r="E1349" s="1030" t="s">
        <v>1893</v>
      </c>
      <c r="F1349" s="1376"/>
      <c r="G1349" s="1376"/>
      <c r="H1349" s="1376"/>
      <c r="I1349" s="1026" t="str">
        <f t="shared" si="160"/>
        <v/>
      </c>
      <c r="J1349" s="1376" t="str">
        <f t="shared" si="157"/>
        <v/>
      </c>
      <c r="K1349" s="1376" t="str">
        <f t="shared" si="161"/>
        <v/>
      </c>
      <c r="L1349" s="1376"/>
      <c r="M1349" s="1376"/>
      <c r="N1349" s="1376"/>
      <c r="R1349" s="1376" t="s">
        <v>1627</v>
      </c>
    </row>
    <row r="1350" spans="1:22" s="1370" customFormat="1" x14ac:dyDescent="0.25">
      <c r="A1350" s="1387" t="s">
        <v>1486</v>
      </c>
      <c r="B1350" s="1027" t="str">
        <f>IFERROR(_xlfn.CONCAT("G",('Configurable Tab'!$C$6+6)),"")</f>
        <v>G60</v>
      </c>
      <c r="C1350" s="1027" t="str">
        <f>IFERROR(_xlfn.CONCAT("G",('Configurable Tab'!$C$6+9)),"")</f>
        <v>G63</v>
      </c>
      <c r="D1350" s="694" t="s">
        <v>1448</v>
      </c>
      <c r="E1350" s="1030" t="s">
        <v>1893</v>
      </c>
      <c r="F1350" s="1376"/>
      <c r="G1350" s="1376"/>
      <c r="H1350" s="1376"/>
      <c r="I1350" s="1026" t="str">
        <f t="shared" si="160"/>
        <v/>
      </c>
      <c r="J1350" s="1376" t="str">
        <f t="shared" si="157"/>
        <v/>
      </c>
      <c r="K1350" s="1376" t="str">
        <f t="shared" si="161"/>
        <v/>
      </c>
      <c r="L1350" s="1376"/>
      <c r="M1350" s="1376"/>
      <c r="N1350" s="1376"/>
      <c r="R1350" s="1376" t="s">
        <v>1627</v>
      </c>
    </row>
    <row r="1351" spans="1:22" s="1370" customFormat="1" x14ac:dyDescent="0.25">
      <c r="A1351" s="1387" t="s">
        <v>1486</v>
      </c>
      <c r="B1351" s="1027" t="str">
        <f>IFERROR(_xlfn.CONCAT("G",('Configurable Tab'!$C$6+6)),"")</f>
        <v>G60</v>
      </c>
      <c r="C1351" s="1027" t="str">
        <f>IFERROR(_xlfn.CONCAT("G",('Configurable Tab'!$C$6+10)),"")</f>
        <v>G64</v>
      </c>
      <c r="D1351" s="694" t="s">
        <v>1448</v>
      </c>
      <c r="E1351" s="1030" t="s">
        <v>1893</v>
      </c>
      <c r="F1351" s="1376"/>
      <c r="G1351" s="1376"/>
      <c r="H1351" s="1376"/>
      <c r="I1351" s="1026" t="str">
        <f t="shared" si="160"/>
        <v/>
      </c>
      <c r="J1351" s="1376" t="str">
        <f t="shared" si="157"/>
        <v/>
      </c>
      <c r="K1351" s="1376" t="str">
        <f t="shared" si="161"/>
        <v/>
      </c>
      <c r="L1351" s="1376"/>
      <c r="M1351" s="1376"/>
      <c r="N1351" s="1376"/>
      <c r="R1351" s="1376" t="s">
        <v>1627</v>
      </c>
    </row>
    <row r="1352" spans="1:22" s="1370" customFormat="1" x14ac:dyDescent="0.25">
      <c r="A1352" s="1387" t="s">
        <v>1486</v>
      </c>
      <c r="B1352" s="1027" t="str">
        <f>IFERROR(_xlfn.CONCAT("G",('Configurable Tab'!$C$6+6)),"")</f>
        <v>G60</v>
      </c>
      <c r="C1352" s="1027" t="str">
        <f>IFERROR(_xlfn.CONCAT("G",('Configurable Tab'!$C$6+11)),"")</f>
        <v>G65</v>
      </c>
      <c r="D1352" s="694" t="s">
        <v>1448</v>
      </c>
      <c r="E1352" s="1030" t="s">
        <v>1893</v>
      </c>
      <c r="F1352" s="1376"/>
      <c r="G1352" s="1376"/>
      <c r="H1352" s="1376"/>
      <c r="I1352" s="1026" t="str">
        <f t="shared" si="160"/>
        <v/>
      </c>
      <c r="J1352" s="1376" t="str">
        <f t="shared" si="157"/>
        <v/>
      </c>
      <c r="K1352" s="1376" t="str">
        <f t="shared" si="161"/>
        <v/>
      </c>
      <c r="L1352" s="1376"/>
      <c r="M1352" s="1376"/>
      <c r="N1352" s="1376"/>
      <c r="R1352" s="1376" t="s">
        <v>1627</v>
      </c>
    </row>
    <row r="1353" spans="1:22" s="1370" customFormat="1" x14ac:dyDescent="0.25">
      <c r="A1353" s="1387" t="s">
        <v>1488</v>
      </c>
      <c r="B1353" s="1027" t="str">
        <f>IFERROR(_xlfn.CONCAT("K",('Configurable Tab'!$C$6+6)),"")</f>
        <v>K60</v>
      </c>
      <c r="C1353" s="1027" t="str">
        <f>IFERROR(_xlfn.CONCAT("K",('Configurable Tab'!$C$6+7)),"")</f>
        <v>K61</v>
      </c>
      <c r="D1353" s="694" t="s">
        <v>1448</v>
      </c>
      <c r="E1353" s="1030" t="s">
        <v>1893</v>
      </c>
      <c r="F1353" s="1376"/>
      <c r="G1353" s="1376"/>
      <c r="H1353" s="1376"/>
      <c r="I1353" s="1026" t="str">
        <f t="shared" si="160"/>
        <v/>
      </c>
      <c r="J1353" s="1376" t="str">
        <f t="shared" si="157"/>
        <v/>
      </c>
      <c r="K1353" s="1376" t="str">
        <f t="shared" si="161"/>
        <v/>
      </c>
      <c r="L1353" s="1376"/>
      <c r="M1353" s="1376"/>
      <c r="N1353" s="1376"/>
      <c r="R1353" s="1376" t="s">
        <v>1627</v>
      </c>
      <c r="S1353" s="1374" t="s">
        <v>1901</v>
      </c>
      <c r="U1353" s="1376" t="str">
        <f>IF(Q$670="Yes",M686,"")</f>
        <v/>
      </c>
      <c r="V1353" s="1376" t="str">
        <f>IF(Q$688="Yes",M704,"")</f>
        <v/>
      </c>
    </row>
    <row r="1354" spans="1:22" s="1370" customFormat="1" x14ac:dyDescent="0.25">
      <c r="A1354" s="1387" t="s">
        <v>1488</v>
      </c>
      <c r="B1354" s="1027" t="str">
        <f>IFERROR(_xlfn.CONCAT("K",('Configurable Tab'!$C$6+6)),"")</f>
        <v>K60</v>
      </c>
      <c r="C1354" s="1027" t="str">
        <f>IFERROR(_xlfn.CONCAT("K",('Configurable Tab'!$C$6+8)),"")</f>
        <v>K62</v>
      </c>
      <c r="D1354" s="694" t="s">
        <v>1448</v>
      </c>
      <c r="E1354" s="1030" t="s">
        <v>1893</v>
      </c>
      <c r="F1354" s="1376"/>
      <c r="G1354" s="1376"/>
      <c r="H1354" s="1376"/>
      <c r="I1354" s="1026" t="str">
        <f t="shared" si="160"/>
        <v/>
      </c>
      <c r="J1354" s="1376" t="str">
        <f t="shared" si="157"/>
        <v/>
      </c>
      <c r="K1354" s="1376" t="str">
        <f t="shared" si="161"/>
        <v/>
      </c>
      <c r="L1354" s="1376"/>
      <c r="M1354" s="1376"/>
      <c r="N1354" s="1376"/>
      <c r="R1354" s="1376" t="s">
        <v>1627</v>
      </c>
    </row>
    <row r="1355" spans="1:22" s="1370" customFormat="1" x14ac:dyDescent="0.25">
      <c r="A1355" s="1387" t="s">
        <v>1488</v>
      </c>
      <c r="B1355" s="1027" t="str">
        <f>IFERROR(_xlfn.CONCAT("K",('Configurable Tab'!$C$6+6)),"")</f>
        <v>K60</v>
      </c>
      <c r="C1355" s="1027" t="str">
        <f>IFERROR(_xlfn.CONCAT("K",('Configurable Tab'!$C$6+9)),"")</f>
        <v>K63</v>
      </c>
      <c r="D1355" s="694" t="s">
        <v>1448</v>
      </c>
      <c r="E1355" s="1030" t="s">
        <v>1893</v>
      </c>
      <c r="F1355" s="1376"/>
      <c r="G1355" s="1376"/>
      <c r="H1355" s="1376"/>
      <c r="I1355" s="1026" t="str">
        <f t="shared" si="160"/>
        <v/>
      </c>
      <c r="J1355" s="1376" t="str">
        <f t="shared" si="157"/>
        <v/>
      </c>
      <c r="K1355" s="1376" t="str">
        <f t="shared" si="161"/>
        <v/>
      </c>
      <c r="L1355" s="1376"/>
      <c r="M1355" s="1376"/>
      <c r="N1355" s="1376"/>
      <c r="R1355" s="1376" t="s">
        <v>1627</v>
      </c>
    </row>
    <row r="1356" spans="1:22" s="1370" customFormat="1" x14ac:dyDescent="0.25">
      <c r="A1356" s="1387" t="s">
        <v>1488</v>
      </c>
      <c r="B1356" s="1027" t="str">
        <f>IFERROR(_xlfn.CONCAT("K",('Configurable Tab'!$C$6+6)),"")</f>
        <v>K60</v>
      </c>
      <c r="C1356" s="1027" t="str">
        <f>IFERROR(_xlfn.CONCAT("K",('Configurable Tab'!$C$6+10)),"")</f>
        <v>K64</v>
      </c>
      <c r="D1356" s="694" t="s">
        <v>1448</v>
      </c>
      <c r="E1356" s="1030" t="s">
        <v>1893</v>
      </c>
      <c r="F1356" s="1376"/>
      <c r="G1356" s="1376"/>
      <c r="H1356" s="1376"/>
      <c r="I1356" s="1026" t="str">
        <f t="shared" si="160"/>
        <v/>
      </c>
      <c r="J1356" s="1376" t="str">
        <f t="shared" si="157"/>
        <v/>
      </c>
      <c r="K1356" s="1376" t="str">
        <f t="shared" si="161"/>
        <v/>
      </c>
      <c r="L1356" s="1376"/>
      <c r="M1356" s="1376"/>
      <c r="N1356" s="1376"/>
      <c r="R1356" s="1376" t="s">
        <v>1627</v>
      </c>
    </row>
    <row r="1357" spans="1:22" s="1370" customFormat="1" x14ac:dyDescent="0.25">
      <c r="A1357" s="1387" t="s">
        <v>1488</v>
      </c>
      <c r="B1357" s="1027" t="str">
        <f>IFERROR(_xlfn.CONCAT("K",('Configurable Tab'!$C$6+6)),"")</f>
        <v>K60</v>
      </c>
      <c r="C1357" s="1027" t="str">
        <f>IFERROR(_xlfn.CONCAT("K",('Configurable Tab'!$C$6+11)),"")</f>
        <v>K65</v>
      </c>
      <c r="D1357" s="694" t="s">
        <v>1448</v>
      </c>
      <c r="E1357" s="1030" t="s">
        <v>1893</v>
      </c>
      <c r="F1357" s="1376"/>
      <c r="G1357" s="1376"/>
      <c r="H1357" s="1376"/>
      <c r="I1357" s="1026" t="str">
        <f t="shared" si="160"/>
        <v/>
      </c>
      <c r="J1357" s="1376" t="str">
        <f t="shared" si="157"/>
        <v/>
      </c>
      <c r="K1357" s="1376" t="str">
        <f t="shared" si="161"/>
        <v/>
      </c>
      <c r="L1357" s="1376"/>
      <c r="M1357" s="1376"/>
      <c r="N1357" s="1376"/>
      <c r="R1357" s="1376" t="s">
        <v>1627</v>
      </c>
    </row>
    <row r="1358" spans="1:22" s="1370" customFormat="1" x14ac:dyDescent="0.25">
      <c r="A1358" s="1389" t="s">
        <v>528</v>
      </c>
      <c r="B1358" s="1027" t="str">
        <f>IFERROR(_xlfn.CONCAT("D",('Configurable Tab'!$C$7+1)),"")</f>
        <v>D69</v>
      </c>
      <c r="C1358" s="1027" t="str">
        <f>IFERROR(_xlfn.CONCAT("E",('Configurable Tab'!$C$7+1)),"")</f>
        <v>E69</v>
      </c>
      <c r="D1358" s="694" t="s">
        <v>1448</v>
      </c>
      <c r="E1358" s="1030" t="s">
        <v>1893</v>
      </c>
      <c r="F1358" s="1376"/>
      <c r="G1358" s="1376"/>
      <c r="H1358" s="1376"/>
      <c r="I1358" s="1026" t="str">
        <f t="shared" si="160"/>
        <v/>
      </c>
      <c r="J1358" s="1376" t="str">
        <f>$Q$1&amp;IF(T$1340=2,V1340,IF(T$1340=1,IF(AND(T$1358=1,T$1358&lt;&gt;0),U1358,""),IF(T$1358=2,V1358,"")))</f>
        <v/>
      </c>
      <c r="K1358" s="1376" t="str">
        <f t="shared" si="161"/>
        <v/>
      </c>
      <c r="L1358" s="1376"/>
      <c r="M1358" s="1376"/>
      <c r="N1358" s="1376"/>
      <c r="O1358" s="1370" t="s">
        <v>1792</v>
      </c>
      <c r="R1358" s="1376" t="s">
        <v>1627</v>
      </c>
      <c r="S1358" s="1374" t="s">
        <v>1902</v>
      </c>
      <c r="T1358" s="1376">
        <f>IF(Q$706="Yes",IF(Q$736="Yes",2,1),0)</f>
        <v>0</v>
      </c>
      <c r="U1358" s="1376" t="str">
        <f>IF(Q$706="Yes",M706,"")</f>
        <v/>
      </c>
      <c r="V1358" s="1376" t="str">
        <f>IF(Q$736="Yes",M736,"")</f>
        <v/>
      </c>
    </row>
    <row r="1359" spans="1:22" s="1370" customFormat="1" x14ac:dyDescent="0.25">
      <c r="A1359" s="1390" t="s">
        <v>1482</v>
      </c>
      <c r="B1359" s="1027" t="str">
        <f>IFERROR(_xlfn.CONCAT("D",('Configurable Tab'!$C$7+2)),"")</f>
        <v>D70</v>
      </c>
      <c r="C1359" s="1027" t="str">
        <f>IFERROR(_xlfn.CONCAT("E",('Configurable Tab'!$C$7+2)),"")</f>
        <v>E70</v>
      </c>
      <c r="D1359" s="694" t="s">
        <v>1448</v>
      </c>
      <c r="E1359" s="1030" t="s">
        <v>1893</v>
      </c>
      <c r="F1359" s="1376"/>
      <c r="G1359" s="1376"/>
      <c r="H1359" s="1376"/>
      <c r="I1359" s="1026" t="str">
        <f t="shared" si="160"/>
        <v/>
      </c>
      <c r="J1359" s="1376" t="str">
        <f t="shared" ref="J1359:J1375" si="162">$Q$1&amp;IF(T$1340=2,V1341,IF(T$1340=1,IF(AND(T$1358=1,T$1358&lt;&gt;0),U1359,""),IF(T$1358=2,V1359,"")))</f>
        <v/>
      </c>
      <c r="K1359" s="1376" t="str">
        <f t="shared" si="161"/>
        <v/>
      </c>
      <c r="L1359" s="1376"/>
      <c r="M1359" s="1376"/>
      <c r="N1359" s="1376"/>
      <c r="R1359" s="1376" t="s">
        <v>1627</v>
      </c>
      <c r="S1359" s="1374" t="s">
        <v>1902</v>
      </c>
      <c r="U1359" s="1376" t="str">
        <f t="shared" ref="U1359" si="163">IF(Q$706="Yes",M707,"")</f>
        <v/>
      </c>
      <c r="V1359" s="1376" t="str">
        <f t="shared" ref="V1359" si="164">IF(Q$736="Yes",M737,"")</f>
        <v/>
      </c>
    </row>
    <row r="1360" spans="1:22" s="1370" customFormat="1" x14ac:dyDescent="0.25">
      <c r="A1360" s="1390" t="s">
        <v>1484</v>
      </c>
      <c r="B1360" s="1027" t="str">
        <f>IFERROR(_xlfn.CONCAT("D",('Configurable Tab'!$C$7+4)),"")</f>
        <v>D72</v>
      </c>
      <c r="C1360" s="1027" t="str">
        <f>IFERROR(_xlfn.CONCAT("E",('Configurable Tab'!$C$7+4)),"")</f>
        <v>E72</v>
      </c>
      <c r="D1360" s="694" t="s">
        <v>1448</v>
      </c>
      <c r="E1360" s="1030" t="s">
        <v>1893</v>
      </c>
      <c r="F1360" s="1376"/>
      <c r="G1360" s="1376"/>
      <c r="H1360" s="1376"/>
      <c r="I1360" s="1026" t="str">
        <f t="shared" si="160"/>
        <v/>
      </c>
      <c r="J1360" s="1376" t="str">
        <f t="shared" si="162"/>
        <v/>
      </c>
      <c r="K1360" s="1376" t="str">
        <f t="shared" si="161"/>
        <v/>
      </c>
      <c r="L1360" s="1376"/>
      <c r="M1360" s="1376"/>
      <c r="N1360" s="1376"/>
      <c r="R1360" s="1376" t="s">
        <v>1627</v>
      </c>
      <c r="S1360" s="1374" t="s">
        <v>1902</v>
      </c>
      <c r="U1360" s="1376" t="str">
        <f>IF(Q$706="Yes",M715,"")</f>
        <v/>
      </c>
      <c r="V1360" s="1376" t="str">
        <f>IF(Q$736="Yes",M745,"")</f>
        <v/>
      </c>
    </row>
    <row r="1361" spans="1:22" s="1370" customFormat="1" x14ac:dyDescent="0.25">
      <c r="A1361" s="1391" t="s">
        <v>1485</v>
      </c>
      <c r="B1361" s="1027" t="str">
        <f>IFERROR(_xlfn.CONCAT("D",('Configurable Tab'!$C$7+5)),"")</f>
        <v>D73</v>
      </c>
      <c r="C1361" s="1027" t="str">
        <f>IFERROR(_xlfn.CONCAT("E",('Configurable Tab'!$C$7+5)),"")</f>
        <v>E73</v>
      </c>
      <c r="D1361" s="694" t="s">
        <v>1448</v>
      </c>
      <c r="E1361" s="1030" t="s">
        <v>1893</v>
      </c>
      <c r="F1361" s="1376"/>
      <c r="G1361" s="1376"/>
      <c r="H1361" s="1376"/>
      <c r="I1361" s="1026" t="str">
        <f t="shared" si="160"/>
        <v/>
      </c>
      <c r="J1361" s="1376" t="str">
        <f t="shared" si="162"/>
        <v/>
      </c>
      <c r="K1361" s="1376" t="str">
        <f t="shared" si="161"/>
        <v/>
      </c>
      <c r="L1361" s="1376"/>
      <c r="M1361" s="1376"/>
      <c r="N1361" s="1376"/>
      <c r="R1361" s="1376" t="s">
        <v>1627</v>
      </c>
      <c r="S1361" s="1374" t="s">
        <v>1902</v>
      </c>
      <c r="U1361" s="1376" t="str">
        <f>IF(Q$706="Yes",M716,"")</f>
        <v/>
      </c>
      <c r="V1361" s="1376" t="str">
        <f>IF(Q$736="Yes",M746,"")</f>
        <v/>
      </c>
    </row>
    <row r="1362" spans="1:22" s="1370" customFormat="1" x14ac:dyDescent="0.25">
      <c r="A1362" s="1390" t="s">
        <v>1479</v>
      </c>
      <c r="B1362" s="1027" t="str">
        <f>IFERROR(_xlfn.CONCAT("G",('Configurable Tab'!$C$7+1)),"")</f>
        <v>G69</v>
      </c>
      <c r="C1362" s="1027" t="str">
        <f>IFERROR(_xlfn.CONCAT("G",('Configurable Tab'!$C$7+2)),"")</f>
        <v>G70</v>
      </c>
      <c r="D1362" s="694" t="s">
        <v>1448</v>
      </c>
      <c r="E1362" s="1030" t="s">
        <v>1893</v>
      </c>
      <c r="F1362" s="1376"/>
      <c r="G1362" s="1376"/>
      <c r="H1362" s="1376"/>
      <c r="I1362" s="1026" t="str">
        <f t="shared" si="160"/>
        <v/>
      </c>
      <c r="J1362" s="1376" t="str">
        <f t="shared" si="162"/>
        <v/>
      </c>
      <c r="K1362" s="1376" t="str">
        <f t="shared" si="161"/>
        <v/>
      </c>
      <c r="L1362" s="1376"/>
      <c r="M1362" s="1376"/>
      <c r="N1362" s="1376"/>
      <c r="R1362" s="1376" t="s">
        <v>1627</v>
      </c>
      <c r="S1362" s="1374" t="s">
        <v>1902</v>
      </c>
      <c r="U1362" s="1376" t="str">
        <f>IF(Q$706="Yes",M708,"")</f>
        <v/>
      </c>
      <c r="V1362" s="1376" t="str">
        <f>IF(Q$736="Yes",M738,"")</f>
        <v/>
      </c>
    </row>
    <row r="1363" spans="1:22" s="1370" customFormat="1" x14ac:dyDescent="0.25">
      <c r="A1363" s="1390" t="s">
        <v>1480</v>
      </c>
      <c r="B1363" s="1027" t="str">
        <f>IFERROR(_xlfn.CONCAT("I",('Configurable Tab'!$C$7+1)),"")</f>
        <v>I69</v>
      </c>
      <c r="C1363" s="1027" t="str">
        <f>IFERROR(_xlfn.CONCAT("I",('Configurable Tab'!$C$7+2)),"")</f>
        <v>I70</v>
      </c>
      <c r="D1363" s="694" t="s">
        <v>1448</v>
      </c>
      <c r="E1363" s="1030" t="s">
        <v>1893</v>
      </c>
      <c r="F1363" s="1376"/>
      <c r="G1363" s="1376"/>
      <c r="H1363" s="1376"/>
      <c r="I1363" s="1026" t="str">
        <f t="shared" si="160"/>
        <v/>
      </c>
      <c r="J1363" s="1376" t="str">
        <f t="shared" si="162"/>
        <v/>
      </c>
      <c r="K1363" s="1376" t="str">
        <f t="shared" si="161"/>
        <v/>
      </c>
      <c r="L1363" s="1376"/>
      <c r="M1363" s="1376"/>
      <c r="N1363" s="1376"/>
      <c r="R1363" s="1376" t="s">
        <v>1627</v>
      </c>
      <c r="S1363" s="1374" t="s">
        <v>1902</v>
      </c>
      <c r="U1363" s="1376" t="str">
        <f t="shared" ref="U1363:U1365" si="165">IF(Q$706="Yes",M709,"")</f>
        <v/>
      </c>
      <c r="V1363" s="1376" t="str">
        <f t="shared" ref="V1363:V1365" si="166">IF(Q$736="Yes",M739,"")</f>
        <v/>
      </c>
    </row>
    <row r="1364" spans="1:22" s="1370" customFormat="1" x14ac:dyDescent="0.25">
      <c r="A1364" s="1390" t="s">
        <v>871</v>
      </c>
      <c r="B1364" s="1027" t="str">
        <f>IFERROR(_xlfn.CONCAT("K",('Configurable Tab'!$C$7+1)),"")</f>
        <v>K69</v>
      </c>
      <c r="C1364" s="1027" t="str">
        <f>IFERROR(_xlfn.CONCAT("K",('Configurable Tab'!$C$7+2)),"")</f>
        <v>K70</v>
      </c>
      <c r="D1364" s="694" t="s">
        <v>1448</v>
      </c>
      <c r="E1364" s="1030" t="s">
        <v>1893</v>
      </c>
      <c r="F1364" s="1376"/>
      <c r="G1364" s="1376"/>
      <c r="H1364" s="1376"/>
      <c r="I1364" s="1026" t="str">
        <f t="shared" si="160"/>
        <v/>
      </c>
      <c r="J1364" s="1376" t="str">
        <f t="shared" si="162"/>
        <v/>
      </c>
      <c r="K1364" s="1376" t="str">
        <f t="shared" si="161"/>
        <v/>
      </c>
      <c r="L1364" s="1376"/>
      <c r="M1364" s="1376"/>
      <c r="N1364" s="1376"/>
      <c r="R1364" s="1376" t="s">
        <v>1627</v>
      </c>
      <c r="S1364" s="1374" t="s">
        <v>1902</v>
      </c>
      <c r="U1364" s="1376" t="str">
        <f t="shared" si="165"/>
        <v/>
      </c>
      <c r="V1364" s="1376" t="str">
        <f t="shared" si="166"/>
        <v/>
      </c>
    </row>
    <row r="1365" spans="1:22" s="1370" customFormat="1" x14ac:dyDescent="0.25">
      <c r="A1365" s="1390" t="s">
        <v>1481</v>
      </c>
      <c r="B1365" s="1027" t="str">
        <f>IFERROR(_xlfn.CONCAT("M",('Configurable Tab'!$C$7+1)),"")</f>
        <v>M69</v>
      </c>
      <c r="C1365" s="1027" t="str">
        <f>IFERROR(_xlfn.CONCAT("M",('Configurable Tab'!$C$7+2)),"")</f>
        <v>M70</v>
      </c>
      <c r="D1365" s="694" t="s">
        <v>1448</v>
      </c>
      <c r="E1365" s="1030" t="s">
        <v>1893</v>
      </c>
      <c r="F1365" s="1376"/>
      <c r="G1365" s="1376"/>
      <c r="H1365" s="1376"/>
      <c r="I1365" s="1026" t="str">
        <f t="shared" si="160"/>
        <v/>
      </c>
      <c r="J1365" s="1376" t="str">
        <f t="shared" si="162"/>
        <v/>
      </c>
      <c r="K1365" s="1376" t="str">
        <f t="shared" si="161"/>
        <v/>
      </c>
      <c r="L1365" s="1376"/>
      <c r="M1365" s="1376"/>
      <c r="N1365" s="1376"/>
      <c r="R1365" s="1376" t="s">
        <v>1627</v>
      </c>
      <c r="S1365" s="1374" t="s">
        <v>1902</v>
      </c>
      <c r="U1365" s="1376" t="str">
        <f t="shared" si="165"/>
        <v/>
      </c>
      <c r="V1365" s="1376" t="str">
        <f t="shared" si="166"/>
        <v/>
      </c>
    </row>
    <row r="1366" spans="1:22" s="1370" customFormat="1" x14ac:dyDescent="0.25">
      <c r="A1366" s="1390" t="s">
        <v>1486</v>
      </c>
      <c r="B1366" s="1027" t="str">
        <f>IFERROR(_xlfn.CONCAT("G",('Configurable Tab'!$C$7+6)),"")</f>
        <v>G74</v>
      </c>
      <c r="C1366" s="1027" t="str">
        <f>IFERROR(_xlfn.CONCAT("G",('Configurable Tab'!$C$7+7)),"")</f>
        <v>G75</v>
      </c>
      <c r="D1366" s="694" t="s">
        <v>1448</v>
      </c>
      <c r="E1366" s="1030" t="s">
        <v>1893</v>
      </c>
      <c r="F1366" s="1376"/>
      <c r="G1366" s="1376"/>
      <c r="H1366" s="1376"/>
      <c r="I1366" s="1026" t="str">
        <f t="shared" si="160"/>
        <v/>
      </c>
      <c r="J1366" s="1376" t="str">
        <f t="shared" si="162"/>
        <v/>
      </c>
      <c r="K1366" s="1376" t="str">
        <f t="shared" si="161"/>
        <v/>
      </c>
      <c r="L1366" s="1376"/>
      <c r="M1366" s="1376"/>
      <c r="N1366" s="1376"/>
      <c r="R1366" s="1376" t="s">
        <v>1627</v>
      </c>
      <c r="S1366" s="1374" t="s">
        <v>1902</v>
      </c>
      <c r="U1366" s="1376" t="str">
        <f>IF(Q$706="Yes",M720,"")</f>
        <v/>
      </c>
      <c r="V1366" s="1376" t="str">
        <f>IF(Q$736="Yes",M750,"")</f>
        <v/>
      </c>
    </row>
    <row r="1367" spans="1:22" s="1370" customFormat="1" x14ac:dyDescent="0.25">
      <c r="A1367" s="1390" t="s">
        <v>1486</v>
      </c>
      <c r="B1367" s="1027" t="str">
        <f>IFERROR(_xlfn.CONCAT("G",('Configurable Tab'!$C$7+6)),"")</f>
        <v>G74</v>
      </c>
      <c r="C1367" s="1027" t="str">
        <f>IFERROR(_xlfn.CONCAT("G",('Configurable Tab'!$C$7+8)),"")</f>
        <v>G76</v>
      </c>
      <c r="D1367" s="694" t="s">
        <v>1448</v>
      </c>
      <c r="E1367" s="1030" t="s">
        <v>1893</v>
      </c>
      <c r="F1367" s="1376"/>
      <c r="G1367" s="1376"/>
      <c r="H1367" s="1376"/>
      <c r="I1367" s="1026" t="str">
        <f t="shared" si="160"/>
        <v/>
      </c>
      <c r="J1367" s="1376" t="str">
        <f t="shared" si="162"/>
        <v/>
      </c>
      <c r="K1367" s="1376" t="str">
        <f t="shared" si="161"/>
        <v/>
      </c>
      <c r="L1367" s="1376"/>
      <c r="M1367" s="1376"/>
      <c r="N1367" s="1376"/>
      <c r="R1367" s="1376" t="s">
        <v>1627</v>
      </c>
      <c r="S1367" s="1374" t="s">
        <v>1902</v>
      </c>
      <c r="U1367" s="1376" t="str">
        <f>IF(Q$706="Yes",M723,"")</f>
        <v/>
      </c>
      <c r="V1367" s="1376" t="str">
        <f>IF(Q$736="Yes",M753,"")</f>
        <v/>
      </c>
    </row>
    <row r="1368" spans="1:22" s="1370" customFormat="1" x14ac:dyDescent="0.25">
      <c r="A1368" s="1390" t="s">
        <v>1486</v>
      </c>
      <c r="B1368" s="1027" t="str">
        <f>IFERROR(_xlfn.CONCAT("G",('Configurable Tab'!$C$7+6)),"")</f>
        <v>G74</v>
      </c>
      <c r="C1368" s="1027" t="str">
        <f>IFERROR(_xlfn.CONCAT("G",('Configurable Tab'!$C$7+9)),"")</f>
        <v>G77</v>
      </c>
      <c r="D1368" s="694" t="s">
        <v>1448</v>
      </c>
      <c r="E1368" s="1030" t="s">
        <v>1893</v>
      </c>
      <c r="F1368" s="1376"/>
      <c r="G1368" s="1376"/>
      <c r="H1368" s="1376"/>
      <c r="I1368" s="1026" t="str">
        <f t="shared" si="160"/>
        <v/>
      </c>
      <c r="J1368" s="1376" t="str">
        <f t="shared" si="162"/>
        <v/>
      </c>
      <c r="K1368" s="1376" t="str">
        <f t="shared" si="161"/>
        <v/>
      </c>
      <c r="L1368" s="1376"/>
      <c r="M1368" s="1376"/>
      <c r="N1368" s="1376"/>
      <c r="R1368" s="1376" t="s">
        <v>1627</v>
      </c>
      <c r="S1368" s="1374" t="s">
        <v>1902</v>
      </c>
      <c r="U1368" s="1376" t="str">
        <f>IF(Q$706="Yes",M726,"")</f>
        <v/>
      </c>
      <c r="V1368" s="1376" t="str">
        <f>IF(Q$736="Yes",M756,"")</f>
        <v/>
      </c>
    </row>
    <row r="1369" spans="1:22" s="1370" customFormat="1" x14ac:dyDescent="0.25">
      <c r="A1369" s="1390" t="s">
        <v>1486</v>
      </c>
      <c r="B1369" s="1027" t="str">
        <f>IFERROR(_xlfn.CONCAT("G",('Configurable Tab'!$C$7+6)),"")</f>
        <v>G74</v>
      </c>
      <c r="C1369" s="1027" t="str">
        <f>IFERROR(_xlfn.CONCAT("G",('Configurable Tab'!$C$7+10)),"")</f>
        <v>G78</v>
      </c>
      <c r="D1369" s="694" t="s">
        <v>1448</v>
      </c>
      <c r="E1369" s="1030" t="s">
        <v>1893</v>
      </c>
      <c r="F1369" s="1376"/>
      <c r="G1369" s="1376"/>
      <c r="H1369" s="1376"/>
      <c r="I1369" s="1026" t="str">
        <f t="shared" si="160"/>
        <v/>
      </c>
      <c r="J1369" s="1376" t="str">
        <f t="shared" si="162"/>
        <v/>
      </c>
      <c r="K1369" s="1376" t="str">
        <f t="shared" si="161"/>
        <v/>
      </c>
      <c r="L1369" s="1376"/>
      <c r="M1369" s="1376"/>
      <c r="N1369" s="1376"/>
      <c r="R1369" s="1376" t="s">
        <v>1627</v>
      </c>
      <c r="S1369" s="1374" t="s">
        <v>1902</v>
      </c>
      <c r="U1369" s="1376" t="str">
        <f>IF(Q$706="Yes",M729,"")</f>
        <v/>
      </c>
      <c r="V1369" s="1376" t="str">
        <f>IF(Q$736="Yes",M759,"")</f>
        <v/>
      </c>
    </row>
    <row r="1370" spans="1:22" s="1370" customFormat="1" x14ac:dyDescent="0.25">
      <c r="A1370" s="1390" t="s">
        <v>1486</v>
      </c>
      <c r="B1370" s="1027" t="str">
        <f>IFERROR(_xlfn.CONCAT("G",('Configurable Tab'!$C$7+6)),"")</f>
        <v>G74</v>
      </c>
      <c r="C1370" s="1027" t="str">
        <f>IFERROR(_xlfn.CONCAT("G",('Configurable Tab'!$C$7+11)),"")</f>
        <v>G79</v>
      </c>
      <c r="D1370" s="694" t="s">
        <v>1448</v>
      </c>
      <c r="E1370" s="1030" t="s">
        <v>1893</v>
      </c>
      <c r="F1370" s="1376"/>
      <c r="G1370" s="1376"/>
      <c r="H1370" s="1376"/>
      <c r="I1370" s="1026" t="str">
        <f t="shared" si="160"/>
        <v/>
      </c>
      <c r="J1370" s="1376" t="str">
        <f t="shared" si="162"/>
        <v/>
      </c>
      <c r="K1370" s="1376" t="str">
        <f t="shared" si="161"/>
        <v/>
      </c>
      <c r="L1370" s="1376"/>
      <c r="M1370" s="1376"/>
      <c r="N1370" s="1376"/>
      <c r="R1370" s="1376" t="s">
        <v>1627</v>
      </c>
      <c r="S1370" s="1374" t="s">
        <v>1902</v>
      </c>
      <c r="U1370" s="1376" t="str">
        <f>IF(Q$706="Yes",M732,"")</f>
        <v/>
      </c>
      <c r="V1370" s="1376" t="str">
        <f>IF(Q$736="Yes",M762,"")</f>
        <v/>
      </c>
    </row>
    <row r="1371" spans="1:22" s="1370" customFormat="1" x14ac:dyDescent="0.25">
      <c r="A1371" s="1390" t="s">
        <v>1488</v>
      </c>
      <c r="B1371" s="1027" t="str">
        <f>IFERROR(_xlfn.CONCAT("K",('Configurable Tab'!$C$7+6)),"")</f>
        <v>K74</v>
      </c>
      <c r="C1371" s="1027" t="str">
        <f>IFERROR(_xlfn.CONCAT("K",('Configurable Tab'!$C$7+7)),"")</f>
        <v>K75</v>
      </c>
      <c r="D1371" s="694" t="s">
        <v>1448</v>
      </c>
      <c r="E1371" s="1030" t="s">
        <v>1893</v>
      </c>
      <c r="F1371" s="1376"/>
      <c r="G1371" s="1376"/>
      <c r="H1371" s="1376"/>
      <c r="I1371" s="1026" t="str">
        <f t="shared" si="160"/>
        <v/>
      </c>
      <c r="J1371" s="1376" t="str">
        <f t="shared" si="162"/>
        <v/>
      </c>
      <c r="K1371" s="1376" t="str">
        <f t="shared" si="161"/>
        <v/>
      </c>
      <c r="L1371" s="1376"/>
      <c r="M1371" s="1376"/>
      <c r="N1371" s="1376"/>
      <c r="R1371" s="1376" t="s">
        <v>1627</v>
      </c>
      <c r="S1371" s="1374" t="s">
        <v>1902</v>
      </c>
      <c r="U1371" s="1376" t="str">
        <f>IF(Q$706="Yes",M722,"")</f>
        <v/>
      </c>
      <c r="V1371" s="1376" t="str">
        <f>IF(Q$736="Yes",M752,"")</f>
        <v/>
      </c>
    </row>
    <row r="1372" spans="1:22" s="1370" customFormat="1" x14ac:dyDescent="0.25">
      <c r="A1372" s="1390" t="s">
        <v>1488</v>
      </c>
      <c r="B1372" s="1027" t="str">
        <f>IFERROR(_xlfn.CONCAT("K",('Configurable Tab'!$C$7+6)),"")</f>
        <v>K74</v>
      </c>
      <c r="C1372" s="1027" t="str">
        <f>IFERROR(_xlfn.CONCAT("K",('Configurable Tab'!$C$7+8)),"")</f>
        <v>K76</v>
      </c>
      <c r="D1372" s="694" t="s">
        <v>1448</v>
      </c>
      <c r="E1372" s="1030" t="s">
        <v>1893</v>
      </c>
      <c r="F1372" s="1376"/>
      <c r="G1372" s="1376"/>
      <c r="H1372" s="1376"/>
      <c r="I1372" s="1026" t="str">
        <f t="shared" si="160"/>
        <v/>
      </c>
      <c r="J1372" s="1376" t="str">
        <f t="shared" si="162"/>
        <v/>
      </c>
      <c r="K1372" s="1376" t="str">
        <f t="shared" si="161"/>
        <v/>
      </c>
      <c r="L1372" s="1376"/>
      <c r="M1372" s="1376"/>
      <c r="N1372" s="1376"/>
      <c r="R1372" s="1376" t="s">
        <v>1627</v>
      </c>
      <c r="S1372" s="1374" t="s">
        <v>1902</v>
      </c>
      <c r="U1372" s="1376" t="str">
        <f>IF(Q$706="Yes",M725,"")</f>
        <v/>
      </c>
      <c r="V1372" s="1376" t="str">
        <f>IF(Q$736="Yes",M755,"")</f>
        <v/>
      </c>
    </row>
    <row r="1373" spans="1:22" s="1370" customFormat="1" x14ac:dyDescent="0.25">
      <c r="A1373" s="1390" t="s">
        <v>1488</v>
      </c>
      <c r="B1373" s="1027" t="str">
        <f>IFERROR(_xlfn.CONCAT("K",('Configurable Tab'!$C$7+6)),"")</f>
        <v>K74</v>
      </c>
      <c r="C1373" s="1027" t="str">
        <f>IFERROR(_xlfn.CONCAT("K",('Configurable Tab'!$C$7+9)),"")</f>
        <v>K77</v>
      </c>
      <c r="D1373" s="694" t="s">
        <v>1448</v>
      </c>
      <c r="E1373" s="1030" t="s">
        <v>1893</v>
      </c>
      <c r="F1373" s="1376"/>
      <c r="G1373" s="1376"/>
      <c r="H1373" s="1376"/>
      <c r="I1373" s="1026" t="str">
        <f t="shared" si="160"/>
        <v/>
      </c>
      <c r="J1373" s="1376" t="str">
        <f t="shared" si="162"/>
        <v/>
      </c>
      <c r="K1373" s="1376" t="str">
        <f t="shared" si="161"/>
        <v/>
      </c>
      <c r="L1373" s="1376"/>
      <c r="M1373" s="1376"/>
      <c r="N1373" s="1376"/>
      <c r="R1373" s="1376" t="s">
        <v>1627</v>
      </c>
      <c r="S1373" s="1374" t="s">
        <v>1902</v>
      </c>
      <c r="U1373" s="1376" t="str">
        <f>IF(Q$706="Yes",M728,"")</f>
        <v/>
      </c>
      <c r="V1373" s="1376" t="str">
        <f>IF(Q$736="Yes",M758,"")</f>
        <v/>
      </c>
    </row>
    <row r="1374" spans="1:22" s="1370" customFormat="1" x14ac:dyDescent="0.25">
      <c r="A1374" s="1390" t="s">
        <v>1488</v>
      </c>
      <c r="B1374" s="1027" t="str">
        <f>IFERROR(_xlfn.CONCAT("K",('Configurable Tab'!$C$7+6)),"")</f>
        <v>K74</v>
      </c>
      <c r="C1374" s="1027" t="str">
        <f>IFERROR(_xlfn.CONCAT("K",('Configurable Tab'!$C$7+10)),"")</f>
        <v>K78</v>
      </c>
      <c r="D1374" s="694" t="s">
        <v>1448</v>
      </c>
      <c r="E1374" s="1030" t="s">
        <v>1893</v>
      </c>
      <c r="F1374" s="1376"/>
      <c r="G1374" s="1376"/>
      <c r="H1374" s="1376"/>
      <c r="I1374" s="1026" t="str">
        <f t="shared" si="160"/>
        <v/>
      </c>
      <c r="J1374" s="1376" t="str">
        <f t="shared" si="162"/>
        <v/>
      </c>
      <c r="K1374" s="1376" t="str">
        <f t="shared" si="161"/>
        <v/>
      </c>
      <c r="L1374" s="1376"/>
      <c r="M1374" s="1376"/>
      <c r="N1374" s="1376"/>
      <c r="R1374" s="1376" t="s">
        <v>1627</v>
      </c>
      <c r="S1374" s="1374" t="s">
        <v>1902</v>
      </c>
      <c r="U1374" s="1376" t="str">
        <f>IF(Q$706="Yes",M731,"")</f>
        <v/>
      </c>
      <c r="V1374" s="1376" t="str">
        <f>IF(Q$736="Yes",M761,"")</f>
        <v/>
      </c>
    </row>
    <row r="1375" spans="1:22" s="1370" customFormat="1" x14ac:dyDescent="0.25">
      <c r="A1375" s="1390" t="s">
        <v>1488</v>
      </c>
      <c r="B1375" s="1026" t="str">
        <f>IFERROR(_xlfn.CONCAT("K",('Configurable Tab'!$C$7+6)),"")</f>
        <v>K74</v>
      </c>
      <c r="C1375" s="1026" t="str">
        <f>IFERROR(_xlfn.CONCAT("K",('Configurable Tab'!$C$7+11)),"")</f>
        <v>K79</v>
      </c>
      <c r="D1375" s="1376" t="s">
        <v>1448</v>
      </c>
      <c r="E1375" s="1029" t="s">
        <v>1893</v>
      </c>
      <c r="F1375" s="1376"/>
      <c r="G1375" s="1376"/>
      <c r="H1375" s="1376"/>
      <c r="I1375" s="1026" t="str">
        <f t="shared" si="160"/>
        <v/>
      </c>
      <c r="J1375" s="1376" t="str">
        <f t="shared" si="162"/>
        <v/>
      </c>
      <c r="K1375" s="1376" t="str">
        <f t="shared" si="161"/>
        <v/>
      </c>
      <c r="L1375" s="1376"/>
      <c r="M1375" s="1376"/>
      <c r="N1375" s="1376"/>
      <c r="R1375" s="1376" t="s">
        <v>1627</v>
      </c>
      <c r="S1375" s="1374" t="s">
        <v>1902</v>
      </c>
      <c r="U1375" s="1376" t="str">
        <f>IF(Q$706="Yes",M734,"")</f>
        <v/>
      </c>
      <c r="V1375" s="1376" t="str">
        <f>IF(Q$736="Yes",M764,"")</f>
        <v/>
      </c>
    </row>
    <row r="1376" spans="1:22" s="1370" customFormat="1" x14ac:dyDescent="0.25">
      <c r="A1376" s="1392" t="s">
        <v>528</v>
      </c>
      <c r="B1376" s="1027" t="str">
        <f>IFERROR(_xlfn.CONCAT("D",('Configurable Tab'!$C$8+1)),"")</f>
        <v>D83</v>
      </c>
      <c r="C1376" s="1027" t="str">
        <f>IFERROR(_xlfn.CONCAT("E",('Configurable Tab'!$C$8+1)),"")</f>
        <v>E83</v>
      </c>
      <c r="D1376" s="694" t="s">
        <v>1448</v>
      </c>
      <c r="E1376" s="1030" t="s">
        <v>1893</v>
      </c>
      <c r="F1376" s="1376"/>
      <c r="G1376" s="1376"/>
      <c r="H1376" s="1376"/>
      <c r="I1376" s="1026" t="str">
        <f t="shared" si="160"/>
        <v/>
      </c>
      <c r="J1376" s="1376" t="str">
        <f>$Q$1&amp;IF(T$1376&lt;&gt;0,U1376,IF(T$1394&lt;&gt;0,U1394,IF(X$1394&lt;&gt;0,Y1394,"")))</f>
        <v/>
      </c>
      <c r="K1376" s="1376" t="str">
        <f t="shared" si="161"/>
        <v/>
      </c>
      <c r="L1376" s="1376"/>
      <c r="M1376" s="1376"/>
      <c r="N1376" s="1376"/>
      <c r="O1376" s="1370" t="s">
        <v>1793</v>
      </c>
      <c r="R1376" s="1376" t="s">
        <v>1633</v>
      </c>
      <c r="S1376" s="1374" t="s">
        <v>1903</v>
      </c>
      <c r="T1376" s="1376">
        <f>IF(Q$766="Yes",IF(Q$781="Yes",2,1),0)</f>
        <v>0</v>
      </c>
      <c r="U1376" s="1376" t="str">
        <f>IF(Q$766="Yes",M766,"")</f>
        <v/>
      </c>
      <c r="V1376" s="1376" t="str">
        <f>IF(Q$781="Yes",M781,"")</f>
        <v/>
      </c>
    </row>
    <row r="1377" spans="1:22" s="1370" customFormat="1" x14ac:dyDescent="0.25">
      <c r="A1377" s="1393" t="s">
        <v>1482</v>
      </c>
      <c r="B1377" s="1027" t="str">
        <f>IFERROR(_xlfn.CONCAT("D",('Configurable Tab'!$C$8+2)),"")</f>
        <v>D84</v>
      </c>
      <c r="C1377" s="1027" t="str">
        <f>IFERROR(_xlfn.CONCAT("E",('Configurable Tab'!$C$8+2)),"")</f>
        <v>E84</v>
      </c>
      <c r="D1377" s="694" t="s">
        <v>1448</v>
      </c>
      <c r="E1377" s="1030" t="s">
        <v>1893</v>
      </c>
      <c r="F1377" s="1376"/>
      <c r="G1377" s="1376"/>
      <c r="H1377" s="1376"/>
      <c r="I1377" s="1026" t="str">
        <f t="shared" si="160"/>
        <v/>
      </c>
      <c r="J1377" s="1376" t="str">
        <f t="shared" ref="J1377:J1393" si="167">$Q$1&amp;IF(T$1376&lt;&gt;0,U1377,IF(T$1394&lt;&gt;0,U1395,IF(X$1394&lt;&gt;0,Y1395,"")))</f>
        <v/>
      </c>
      <c r="K1377" s="1376" t="str">
        <f t="shared" si="161"/>
        <v/>
      </c>
      <c r="L1377" s="1376"/>
      <c r="M1377" s="1376"/>
      <c r="N1377" s="1376"/>
      <c r="R1377" s="1376" t="s">
        <v>1633</v>
      </c>
      <c r="S1377" s="1374" t="s">
        <v>1903</v>
      </c>
      <c r="U1377" s="1376" t="str">
        <f t="shared" ref="U1377" si="168">IF(Q$766="Yes",M767,"")</f>
        <v/>
      </c>
      <c r="V1377" s="1376" t="str">
        <f t="shared" ref="V1377" si="169">IF(Q$781="Yes",M782,"")</f>
        <v/>
      </c>
    </row>
    <row r="1378" spans="1:22" s="1370" customFormat="1" x14ac:dyDescent="0.25">
      <c r="A1378" s="1393" t="s">
        <v>1484</v>
      </c>
      <c r="B1378" s="1027" t="str">
        <f>IFERROR(_xlfn.CONCAT("D",('Configurable Tab'!$C$8+4)),"")</f>
        <v>D86</v>
      </c>
      <c r="C1378" s="1027" t="str">
        <f>IFERROR(_xlfn.CONCAT("E",('Configurable Tab'!$C$8+4)),"")</f>
        <v>E86</v>
      </c>
      <c r="D1378" s="694" t="s">
        <v>1448</v>
      </c>
      <c r="E1378" s="1030" t="s">
        <v>1893</v>
      </c>
      <c r="F1378" s="1376"/>
      <c r="G1378" s="1376"/>
      <c r="H1378" s="1376"/>
      <c r="I1378" s="1026" t="str">
        <f t="shared" si="160"/>
        <v/>
      </c>
      <c r="J1378" s="1376" t="str">
        <f t="shared" si="167"/>
        <v/>
      </c>
      <c r="K1378" s="1376" t="str">
        <f t="shared" si="161"/>
        <v/>
      </c>
      <c r="L1378" s="1376"/>
      <c r="M1378" s="1376"/>
      <c r="N1378" s="1376"/>
      <c r="R1378" s="1376" t="s">
        <v>1633</v>
      </c>
      <c r="S1378" s="1374" t="s">
        <v>1903</v>
      </c>
      <c r="U1378" s="1376" t="str">
        <f>IF(Q$766="Yes",M775,"")</f>
        <v/>
      </c>
      <c r="V1378" s="1376" t="str">
        <f>IF(Q$781="Yes",M790,"")</f>
        <v/>
      </c>
    </row>
    <row r="1379" spans="1:22" s="1370" customFormat="1" x14ac:dyDescent="0.25">
      <c r="A1379" s="1394" t="s">
        <v>1485</v>
      </c>
      <c r="B1379" s="1027" t="str">
        <f>IFERROR(_xlfn.CONCAT("D",('Configurable Tab'!$C$8+5)),"")</f>
        <v>D87</v>
      </c>
      <c r="C1379" s="1027" t="str">
        <f>IFERROR(_xlfn.CONCAT("E",('Configurable Tab'!$C$8+5)),"")</f>
        <v>E87</v>
      </c>
      <c r="D1379" s="694" t="s">
        <v>1448</v>
      </c>
      <c r="E1379" s="1030" t="s">
        <v>1893</v>
      </c>
      <c r="F1379" s="1376"/>
      <c r="G1379" s="1376"/>
      <c r="H1379" s="1376"/>
      <c r="I1379" s="1026" t="str">
        <f t="shared" si="160"/>
        <v/>
      </c>
      <c r="J1379" s="1376" t="str">
        <f t="shared" si="167"/>
        <v/>
      </c>
      <c r="K1379" s="1376" t="str">
        <f t="shared" si="161"/>
        <v/>
      </c>
      <c r="L1379" s="1376"/>
      <c r="M1379" s="1376"/>
      <c r="N1379" s="1376"/>
      <c r="R1379" s="1376" t="s">
        <v>1633</v>
      </c>
      <c r="S1379" s="1374" t="s">
        <v>1903</v>
      </c>
      <c r="U1379" s="1376" t="str">
        <f>IF(Q$766="Yes",M776,"")</f>
        <v/>
      </c>
      <c r="V1379" s="1376" t="str">
        <f>IF(Q$781="Yes",M791,"")</f>
        <v/>
      </c>
    </row>
    <row r="1380" spans="1:22" s="1370" customFormat="1" x14ac:dyDescent="0.25">
      <c r="A1380" s="1393" t="s">
        <v>1479</v>
      </c>
      <c r="B1380" s="1027" t="str">
        <f>IFERROR(_xlfn.CONCAT("G",('Configurable Tab'!$C$8+1)),"")</f>
        <v>G83</v>
      </c>
      <c r="C1380" s="1027" t="str">
        <f>IFERROR(_xlfn.CONCAT("G",('Configurable Tab'!$C$8+2)),"")</f>
        <v>G84</v>
      </c>
      <c r="D1380" s="694" t="s">
        <v>1448</v>
      </c>
      <c r="E1380" s="1030" t="s">
        <v>1893</v>
      </c>
      <c r="F1380" s="1369"/>
      <c r="G1380" s="1384"/>
      <c r="H1380" s="1376"/>
      <c r="I1380" s="1026" t="str">
        <f t="shared" si="160"/>
        <v/>
      </c>
      <c r="J1380" s="1376" t="str">
        <f t="shared" si="167"/>
        <v/>
      </c>
      <c r="K1380" s="1376" t="str">
        <f t="shared" si="161"/>
        <v/>
      </c>
      <c r="L1380" s="1376"/>
      <c r="M1380" s="1376"/>
      <c r="N1380" s="1376"/>
      <c r="R1380" s="1376" t="s">
        <v>1633</v>
      </c>
      <c r="S1380" s="1374" t="s">
        <v>1903</v>
      </c>
      <c r="U1380" s="1376" t="str">
        <f>IF(Q$766="Yes",M768,"")</f>
        <v/>
      </c>
      <c r="V1380" s="1376" t="str">
        <f>IF(Q$781="Yes",M783,"")</f>
        <v/>
      </c>
    </row>
    <row r="1381" spans="1:22" s="1370" customFormat="1" x14ac:dyDescent="0.25">
      <c r="A1381" s="1393" t="s">
        <v>1480</v>
      </c>
      <c r="B1381" s="1027" t="str">
        <f>IFERROR(_xlfn.CONCAT("I",('Configurable Tab'!$C$8+1)),"")</f>
        <v>I83</v>
      </c>
      <c r="C1381" s="1027" t="str">
        <f>IFERROR(_xlfn.CONCAT("I",('Configurable Tab'!$C$8+2)),"")</f>
        <v>I84</v>
      </c>
      <c r="D1381" s="694" t="s">
        <v>1448</v>
      </c>
      <c r="E1381" s="1030" t="s">
        <v>1893</v>
      </c>
      <c r="F1381" s="1376"/>
      <c r="G1381" s="1376"/>
      <c r="H1381" s="1376"/>
      <c r="I1381" s="1026" t="str">
        <f t="shared" si="160"/>
        <v/>
      </c>
      <c r="J1381" s="1376" t="str">
        <f t="shared" si="167"/>
        <v/>
      </c>
      <c r="K1381" s="1376" t="str">
        <f t="shared" si="161"/>
        <v/>
      </c>
      <c r="L1381" s="1376"/>
      <c r="M1381" s="1376"/>
      <c r="N1381" s="1376"/>
      <c r="R1381" s="1376" t="s">
        <v>1633</v>
      </c>
      <c r="S1381" s="1374" t="s">
        <v>1903</v>
      </c>
      <c r="U1381" s="1376" t="str">
        <f t="shared" ref="U1381:U1383" si="170">IF(Q$766="Yes",M769,"")</f>
        <v/>
      </c>
      <c r="V1381" s="1376" t="str">
        <f t="shared" ref="V1381:V1383" si="171">IF(Q$781="Yes",M784,"")</f>
        <v/>
      </c>
    </row>
    <row r="1382" spans="1:22" s="1370" customFormat="1" x14ac:dyDescent="0.25">
      <c r="A1382" s="1393" t="s">
        <v>871</v>
      </c>
      <c r="B1382" s="1027" t="str">
        <f>IFERROR(_xlfn.CONCAT("K",('Configurable Tab'!$C$8+1)),"")</f>
        <v>K83</v>
      </c>
      <c r="C1382" s="1027" t="str">
        <f>IFERROR(_xlfn.CONCAT("K",('Configurable Tab'!$C$8+2)),"")</f>
        <v>K84</v>
      </c>
      <c r="D1382" s="694" t="s">
        <v>1448</v>
      </c>
      <c r="E1382" s="1030" t="s">
        <v>1893</v>
      </c>
      <c r="F1382" s="1376"/>
      <c r="G1382" s="1376"/>
      <c r="H1382" s="1376"/>
      <c r="I1382" s="1026" t="str">
        <f t="shared" si="160"/>
        <v/>
      </c>
      <c r="J1382" s="1376" t="str">
        <f t="shared" si="167"/>
        <v/>
      </c>
      <c r="K1382" s="1376" t="str">
        <f t="shared" si="161"/>
        <v/>
      </c>
      <c r="L1382" s="1376"/>
      <c r="M1382" s="1376"/>
      <c r="N1382" s="1376"/>
      <c r="R1382" s="1376" t="s">
        <v>1633</v>
      </c>
      <c r="S1382" s="1374" t="s">
        <v>1903</v>
      </c>
      <c r="U1382" s="1376" t="str">
        <f t="shared" si="170"/>
        <v/>
      </c>
      <c r="V1382" s="1376" t="str">
        <f t="shared" si="171"/>
        <v/>
      </c>
    </row>
    <row r="1383" spans="1:22" s="1370" customFormat="1" x14ac:dyDescent="0.25">
      <c r="A1383" s="1393" t="s">
        <v>1481</v>
      </c>
      <c r="B1383" s="1027" t="str">
        <f>IFERROR(_xlfn.CONCAT("M",('Configurable Tab'!$C$8+1)),"")</f>
        <v>M83</v>
      </c>
      <c r="C1383" s="1027" t="str">
        <f>IFERROR(_xlfn.CONCAT("M",('Configurable Tab'!$C$8+2)),"")</f>
        <v>M84</v>
      </c>
      <c r="D1383" s="694" t="s">
        <v>1448</v>
      </c>
      <c r="E1383" s="1030" t="s">
        <v>1893</v>
      </c>
      <c r="F1383" s="1376"/>
      <c r="G1383" s="1376"/>
      <c r="H1383" s="1376"/>
      <c r="I1383" s="1026" t="str">
        <f t="shared" si="160"/>
        <v/>
      </c>
      <c r="J1383" s="1376" t="str">
        <f t="shared" si="167"/>
        <v/>
      </c>
      <c r="K1383" s="1376" t="str">
        <f t="shared" si="161"/>
        <v/>
      </c>
      <c r="L1383" s="1376"/>
      <c r="M1383" s="1376"/>
      <c r="N1383" s="1376"/>
      <c r="R1383" s="1376" t="s">
        <v>1633</v>
      </c>
      <c r="S1383" s="1374" t="s">
        <v>1903</v>
      </c>
      <c r="U1383" s="1376" t="str">
        <f t="shared" si="170"/>
        <v/>
      </c>
      <c r="V1383" s="1376" t="str">
        <f t="shared" si="171"/>
        <v/>
      </c>
    </row>
    <row r="1384" spans="1:22" s="1370" customFormat="1" x14ac:dyDescent="0.25">
      <c r="A1384" s="1393" t="s">
        <v>1486</v>
      </c>
      <c r="B1384" s="1027" t="str">
        <f>IFERROR(_xlfn.CONCAT("G",('Configurable Tab'!$C$8+6)),"")</f>
        <v>G88</v>
      </c>
      <c r="C1384" s="1027" t="str">
        <f>IFERROR(_xlfn.CONCAT("G",('Configurable Tab'!$C$8+7)),"")</f>
        <v>G89</v>
      </c>
      <c r="D1384" s="694" t="s">
        <v>1448</v>
      </c>
      <c r="E1384" s="1030" t="s">
        <v>1893</v>
      </c>
      <c r="F1384" s="1376"/>
      <c r="G1384" s="1376"/>
      <c r="H1384" s="1376"/>
      <c r="I1384" s="1026" t="str">
        <f t="shared" si="160"/>
        <v/>
      </c>
      <c r="J1384" s="1376" t="str">
        <f t="shared" si="167"/>
        <v/>
      </c>
      <c r="K1384" s="1376" t="str">
        <f t="shared" si="161"/>
        <v/>
      </c>
      <c r="L1384" s="1376"/>
      <c r="M1384" s="1376"/>
      <c r="N1384" s="1376"/>
      <c r="R1384" s="1376" t="s">
        <v>1633</v>
      </c>
    </row>
    <row r="1385" spans="1:22" s="1370" customFormat="1" x14ac:dyDescent="0.25">
      <c r="A1385" s="1393" t="s">
        <v>1486</v>
      </c>
      <c r="B1385" s="1027" t="str">
        <f>IFERROR(_xlfn.CONCAT("G",('Configurable Tab'!$C$8+6)),"")</f>
        <v>G88</v>
      </c>
      <c r="C1385" s="1027" t="str">
        <f>IFERROR(_xlfn.CONCAT("G",('Configurable Tab'!$C$8+8)),"")</f>
        <v>G90</v>
      </c>
      <c r="D1385" s="694" t="s">
        <v>1448</v>
      </c>
      <c r="E1385" s="1030" t="s">
        <v>1893</v>
      </c>
      <c r="F1385" s="1376"/>
      <c r="G1385" s="1376"/>
      <c r="H1385" s="1376"/>
      <c r="I1385" s="1026" t="str">
        <f t="shared" si="160"/>
        <v/>
      </c>
      <c r="J1385" s="1376" t="str">
        <f t="shared" si="167"/>
        <v/>
      </c>
      <c r="K1385" s="1376" t="str">
        <f t="shared" si="161"/>
        <v/>
      </c>
      <c r="L1385" s="1376"/>
      <c r="M1385" s="1376"/>
      <c r="N1385" s="1376"/>
      <c r="R1385" s="1376" t="s">
        <v>1633</v>
      </c>
    </row>
    <row r="1386" spans="1:22" s="1370" customFormat="1" x14ac:dyDescent="0.25">
      <c r="A1386" s="1393" t="s">
        <v>1486</v>
      </c>
      <c r="B1386" s="1027" t="str">
        <f>IFERROR(_xlfn.CONCAT("G",('Configurable Tab'!$C$8+6)),"")</f>
        <v>G88</v>
      </c>
      <c r="C1386" s="1027" t="str">
        <f>IFERROR(_xlfn.CONCAT("G",('Configurable Tab'!$C$8+9)),"")</f>
        <v>G91</v>
      </c>
      <c r="D1386" s="694" t="s">
        <v>1448</v>
      </c>
      <c r="E1386" s="1030" t="s">
        <v>1893</v>
      </c>
      <c r="F1386" s="1376"/>
      <c r="G1386" s="1376"/>
      <c r="H1386" s="1376"/>
      <c r="I1386" s="1026" t="str">
        <f t="shared" si="160"/>
        <v/>
      </c>
      <c r="J1386" s="1376" t="str">
        <f t="shared" si="167"/>
        <v/>
      </c>
      <c r="K1386" s="1376" t="str">
        <f t="shared" si="161"/>
        <v/>
      </c>
      <c r="L1386" s="1376"/>
      <c r="M1386" s="1376"/>
      <c r="N1386" s="1376"/>
      <c r="R1386" s="1376" t="s">
        <v>1633</v>
      </c>
    </row>
    <row r="1387" spans="1:22" s="1370" customFormat="1" x14ac:dyDescent="0.25">
      <c r="A1387" s="1393" t="s">
        <v>1486</v>
      </c>
      <c r="B1387" s="1027" t="str">
        <f>IFERROR(_xlfn.CONCAT("G",('Configurable Tab'!$C$8+6)),"")</f>
        <v>G88</v>
      </c>
      <c r="C1387" s="1027" t="str">
        <f>IFERROR(_xlfn.CONCAT("G",('Configurable Tab'!$C$8+10)),"")</f>
        <v>G92</v>
      </c>
      <c r="D1387" s="694" t="s">
        <v>1448</v>
      </c>
      <c r="E1387" s="1030" t="s">
        <v>1893</v>
      </c>
      <c r="F1387" s="1376"/>
      <c r="G1387" s="1376"/>
      <c r="H1387" s="1376"/>
      <c r="I1387" s="1026" t="str">
        <f t="shared" si="160"/>
        <v/>
      </c>
      <c r="J1387" s="1376" t="str">
        <f t="shared" si="167"/>
        <v/>
      </c>
      <c r="K1387" s="1376" t="str">
        <f t="shared" si="161"/>
        <v/>
      </c>
      <c r="L1387" s="1376"/>
      <c r="M1387" s="1376"/>
      <c r="N1387" s="1376"/>
      <c r="R1387" s="1376" t="s">
        <v>1633</v>
      </c>
    </row>
    <row r="1388" spans="1:22" s="1370" customFormat="1" x14ac:dyDescent="0.25">
      <c r="A1388" s="1393" t="s">
        <v>1486</v>
      </c>
      <c r="B1388" s="1027" t="str">
        <f>IFERROR(_xlfn.CONCAT("G",('Configurable Tab'!$C$8+6)),"")</f>
        <v>G88</v>
      </c>
      <c r="C1388" s="1027" t="str">
        <f>IFERROR(_xlfn.CONCAT("G",('Configurable Tab'!$C$8+11)),"")</f>
        <v>G93</v>
      </c>
      <c r="D1388" s="694" t="s">
        <v>1448</v>
      </c>
      <c r="E1388" s="1030" t="s">
        <v>1893</v>
      </c>
      <c r="F1388" s="1376"/>
      <c r="G1388" s="1376"/>
      <c r="H1388" s="1376"/>
      <c r="I1388" s="1026" t="str">
        <f t="shared" si="160"/>
        <v/>
      </c>
      <c r="J1388" s="1376" t="str">
        <f t="shared" si="167"/>
        <v/>
      </c>
      <c r="K1388" s="1376" t="str">
        <f t="shared" si="161"/>
        <v/>
      </c>
      <c r="L1388" s="1376"/>
      <c r="M1388" s="1376"/>
      <c r="N1388" s="1376"/>
      <c r="R1388" s="1376" t="s">
        <v>1633</v>
      </c>
    </row>
    <row r="1389" spans="1:22" s="1370" customFormat="1" x14ac:dyDescent="0.25">
      <c r="A1389" s="1393" t="s">
        <v>1488</v>
      </c>
      <c r="B1389" s="1027" t="str">
        <f>IFERROR(_xlfn.CONCAT("K",('Configurable Tab'!$C$8+6)),"")</f>
        <v>K88</v>
      </c>
      <c r="C1389" s="1027" t="str">
        <f>IFERROR(_xlfn.CONCAT("K",('Configurable Tab'!$C$8+7)),"")</f>
        <v>K89</v>
      </c>
      <c r="D1389" s="694" t="s">
        <v>1448</v>
      </c>
      <c r="E1389" s="1030" t="s">
        <v>1893</v>
      </c>
      <c r="F1389" s="1376"/>
      <c r="G1389" s="1376"/>
      <c r="H1389" s="1376"/>
      <c r="I1389" s="1026" t="str">
        <f t="shared" si="160"/>
        <v/>
      </c>
      <c r="J1389" s="1376" t="str">
        <f t="shared" si="167"/>
        <v/>
      </c>
      <c r="K1389" s="1376" t="str">
        <f t="shared" si="161"/>
        <v/>
      </c>
      <c r="L1389" s="1376"/>
      <c r="M1389" s="1376"/>
      <c r="N1389" s="1376"/>
      <c r="R1389" s="1376" t="s">
        <v>1633</v>
      </c>
    </row>
    <row r="1390" spans="1:22" s="1370" customFormat="1" x14ac:dyDescent="0.25">
      <c r="A1390" s="1393" t="s">
        <v>1488</v>
      </c>
      <c r="B1390" s="1027" t="str">
        <f>IFERROR(_xlfn.CONCAT("K",('Configurable Tab'!$C$8+6)),"")</f>
        <v>K88</v>
      </c>
      <c r="C1390" s="1027" t="str">
        <f>IFERROR(_xlfn.CONCAT("K",('Configurable Tab'!$C$8+8)),"")</f>
        <v>K90</v>
      </c>
      <c r="D1390" s="694" t="s">
        <v>1448</v>
      </c>
      <c r="E1390" s="1030" t="s">
        <v>1893</v>
      </c>
      <c r="F1390" s="1376"/>
      <c r="G1390" s="1376"/>
      <c r="H1390" s="1376"/>
      <c r="I1390" s="1026" t="str">
        <f t="shared" si="160"/>
        <v/>
      </c>
      <c r="J1390" s="1376" t="str">
        <f t="shared" si="167"/>
        <v/>
      </c>
      <c r="K1390" s="1376" t="str">
        <f t="shared" si="161"/>
        <v/>
      </c>
      <c r="L1390" s="1376"/>
      <c r="M1390" s="1376"/>
      <c r="N1390" s="1376"/>
      <c r="R1390" s="1376" t="s">
        <v>1633</v>
      </c>
    </row>
    <row r="1391" spans="1:22" s="1370" customFormat="1" x14ac:dyDescent="0.25">
      <c r="A1391" s="1393" t="s">
        <v>1488</v>
      </c>
      <c r="B1391" s="1027" t="str">
        <f>IFERROR(_xlfn.CONCAT("K",('Configurable Tab'!$C$8+6)),"")</f>
        <v>K88</v>
      </c>
      <c r="C1391" s="1027" t="str">
        <f>IFERROR(_xlfn.CONCAT("K",('Configurable Tab'!$C$8+9)),"")</f>
        <v>K91</v>
      </c>
      <c r="D1391" s="694" t="s">
        <v>1448</v>
      </c>
      <c r="E1391" s="1030" t="s">
        <v>1893</v>
      </c>
      <c r="F1391" s="1376"/>
      <c r="G1391" s="1376"/>
      <c r="H1391" s="1376"/>
      <c r="I1391" s="1026" t="str">
        <f t="shared" si="160"/>
        <v/>
      </c>
      <c r="J1391" s="1376" t="str">
        <f t="shared" si="167"/>
        <v/>
      </c>
      <c r="K1391" s="1376" t="str">
        <f t="shared" si="161"/>
        <v/>
      </c>
      <c r="L1391" s="1376"/>
      <c r="M1391" s="1376"/>
      <c r="N1391" s="1376"/>
      <c r="R1391" s="1376" t="s">
        <v>1633</v>
      </c>
    </row>
    <row r="1392" spans="1:22" s="1370" customFormat="1" x14ac:dyDescent="0.25">
      <c r="A1392" s="1393" t="s">
        <v>1488</v>
      </c>
      <c r="B1392" s="1027" t="str">
        <f>IFERROR(_xlfn.CONCAT("K",('Configurable Tab'!$C$8+6)),"")</f>
        <v>K88</v>
      </c>
      <c r="C1392" s="1027" t="str">
        <f>IFERROR(_xlfn.CONCAT("K",('Configurable Tab'!$C$8+10)),"")</f>
        <v>K92</v>
      </c>
      <c r="D1392" s="694" t="s">
        <v>1448</v>
      </c>
      <c r="E1392" s="1030" t="s">
        <v>1893</v>
      </c>
      <c r="F1392" s="1376"/>
      <c r="G1392" s="1376"/>
      <c r="H1392" s="1376"/>
      <c r="I1392" s="1026" t="str">
        <f t="shared" si="160"/>
        <v/>
      </c>
      <c r="J1392" s="1376" t="str">
        <f t="shared" si="167"/>
        <v/>
      </c>
      <c r="K1392" s="1376" t="str">
        <f t="shared" si="161"/>
        <v/>
      </c>
      <c r="L1392" s="1376"/>
      <c r="M1392" s="1376"/>
      <c r="N1392" s="1376"/>
      <c r="R1392" s="1376" t="s">
        <v>1633</v>
      </c>
    </row>
    <row r="1393" spans="1:26" s="1370" customFormat="1" x14ac:dyDescent="0.25">
      <c r="A1393" s="1393" t="s">
        <v>1488</v>
      </c>
      <c r="B1393" s="1027" t="str">
        <f>IFERROR(_xlfn.CONCAT("K",('Configurable Tab'!$C$8+6)),"")</f>
        <v>K88</v>
      </c>
      <c r="C1393" s="1027" t="str">
        <f>IFERROR(_xlfn.CONCAT("K",('Configurable Tab'!$C$8+11)),"")</f>
        <v>K93</v>
      </c>
      <c r="D1393" s="694" t="s">
        <v>1448</v>
      </c>
      <c r="E1393" s="1030" t="s">
        <v>1893</v>
      </c>
      <c r="F1393" s="1376"/>
      <c r="G1393" s="1376"/>
      <c r="H1393" s="1376"/>
      <c r="I1393" s="1026" t="str">
        <f t="shared" si="160"/>
        <v/>
      </c>
      <c r="J1393" s="1376" t="str">
        <f t="shared" si="167"/>
        <v/>
      </c>
      <c r="K1393" s="1376" t="str">
        <f t="shared" si="161"/>
        <v/>
      </c>
      <c r="L1393" s="1376"/>
      <c r="M1393" s="1376"/>
      <c r="N1393" s="1376"/>
      <c r="R1393" s="1376" t="s">
        <v>1633</v>
      </c>
    </row>
    <row r="1394" spans="1:26" s="1370" customFormat="1" x14ac:dyDescent="0.25">
      <c r="A1394" s="1395" t="s">
        <v>528</v>
      </c>
      <c r="B1394" s="1027" t="str">
        <f>IFERROR(_xlfn.CONCAT("D",('Configurable Tab'!$C$9+1)),"")</f>
        <v>D97</v>
      </c>
      <c r="C1394" s="1027" t="str">
        <f>IFERROR(_xlfn.CONCAT("E",('Configurable Tab'!$C$9+1)),"")</f>
        <v>E97</v>
      </c>
      <c r="D1394" s="694" t="s">
        <v>1448</v>
      </c>
      <c r="E1394" s="1030" t="s">
        <v>1893</v>
      </c>
      <c r="F1394" s="1376"/>
      <c r="G1394" s="1376"/>
      <c r="H1394" s="1376"/>
      <c r="I1394" s="1026" t="str">
        <f t="shared" si="160"/>
        <v/>
      </c>
      <c r="J1394" s="1376" t="str">
        <f>$Q$1&amp;IF(T$1376=2,V1376,IF(T$1376=1,IF(AND(T$1394=1,T$1394&lt;&gt;0),U1394,IF(AND(X$1394=1,X$1394&lt;&gt;0),Y1394,"")),IF(T$1394=2,V1394,IF(T$1394=1,IF(AND(X$1394=1,X$1394&lt;&gt;0),Y1394,""),IF(X$1394=2,Z1394,"")))))</f>
        <v/>
      </c>
      <c r="K1394" s="1376" t="str">
        <f t="shared" si="161"/>
        <v/>
      </c>
      <c r="L1394" s="1376"/>
      <c r="M1394" s="1376"/>
      <c r="N1394" s="1376"/>
      <c r="O1394" s="1370" t="s">
        <v>1794</v>
      </c>
      <c r="R1394" s="1376" t="s">
        <v>1633</v>
      </c>
      <c r="S1394" s="1374" t="s">
        <v>1904</v>
      </c>
      <c r="T1394" s="1376">
        <f>IF(Q$796="Yes",IF(Q$814="Yes",2,1),0)</f>
        <v>0</v>
      </c>
      <c r="U1394" s="1376" t="str">
        <f>IF(Q$796="Yes",M796,"")</f>
        <v/>
      </c>
      <c r="V1394" s="1376" t="str">
        <f>IF(Q$814="Yes",M814,"")</f>
        <v/>
      </c>
      <c r="W1394" s="1374" t="s">
        <v>1905</v>
      </c>
      <c r="X1394" s="1376">
        <f>IF(Q$832="Yes",IF(Q$862="Yes",2,1),0)</f>
        <v>0</v>
      </c>
      <c r="Y1394" s="1376" t="str">
        <f>IF(Q$832="Yes",Q832,"")</f>
        <v/>
      </c>
      <c r="Z1394" s="1376" t="str">
        <f>IF(U$862="Yes",Q862,"")</f>
        <v/>
      </c>
    </row>
    <row r="1395" spans="1:26" s="1370" customFormat="1" x14ac:dyDescent="0.25">
      <c r="A1395" s="1396" t="s">
        <v>1482</v>
      </c>
      <c r="B1395" s="1027" t="str">
        <f>IFERROR(_xlfn.CONCAT("D",('Configurable Tab'!$C$9+2)),"")</f>
        <v>D98</v>
      </c>
      <c r="C1395" s="1027" t="str">
        <f>IFERROR(_xlfn.CONCAT("E",('Configurable Tab'!$C$9+2)),"")</f>
        <v>E98</v>
      </c>
      <c r="D1395" s="694" t="s">
        <v>1448</v>
      </c>
      <c r="E1395" s="1030" t="s">
        <v>1893</v>
      </c>
      <c r="F1395" s="1376"/>
      <c r="G1395" s="1376"/>
      <c r="H1395" s="1376"/>
      <c r="I1395" s="1026" t="str">
        <f t="shared" si="160"/>
        <v/>
      </c>
      <c r="J1395" s="1376" t="str">
        <f t="shared" ref="J1395:J1411" si="172">$Q$1&amp;IF(T$1376=2,V1377,IF(T$1376=1,IF(AND(T$1394=1,T$1394&lt;&gt;0),U1395,IF(AND(X$1394=1,X$1394&lt;&gt;0),Y1395,"")),IF(T$1394=2,U1395,IF(T$1394=1,IF(AND(X$1394=1,X$1394&lt;&gt;0),Y1395,""),IF(X$1394=2,Z1395,"")))))</f>
        <v/>
      </c>
      <c r="K1395" s="1376" t="str">
        <f t="shared" si="161"/>
        <v/>
      </c>
      <c r="L1395" s="1376"/>
      <c r="M1395" s="1376"/>
      <c r="N1395" s="1376"/>
      <c r="R1395" s="1376" t="s">
        <v>1633</v>
      </c>
      <c r="S1395" s="1374" t="s">
        <v>1904</v>
      </c>
      <c r="U1395" s="1376" t="str">
        <f t="shared" ref="U1395" si="173">IF(Q$796="Yes",M797,"")</f>
        <v/>
      </c>
      <c r="V1395" s="1376" t="str">
        <f t="shared" ref="V1395" si="174">IF(Q$814="Yes",M815,"")</f>
        <v/>
      </c>
      <c r="W1395" s="1374" t="s">
        <v>1905</v>
      </c>
      <c r="Y1395" s="1376" t="str">
        <f t="shared" ref="Y1395" si="175">IF(Q$832="Yes",Q833,"")</f>
        <v/>
      </c>
      <c r="Z1395" s="1376" t="str">
        <f t="shared" ref="Z1395" si="176">IF(U$862="Yes",Q863,"")</f>
        <v/>
      </c>
    </row>
    <row r="1396" spans="1:26" s="1370" customFormat="1" x14ac:dyDescent="0.25">
      <c r="A1396" s="1396" t="s">
        <v>1484</v>
      </c>
      <c r="B1396" s="1027" t="str">
        <f>IFERROR(_xlfn.CONCAT("D",('Configurable Tab'!$C$9+4)),"")</f>
        <v>D100</v>
      </c>
      <c r="C1396" s="1027" t="str">
        <f>IFERROR(_xlfn.CONCAT("E",('Configurable Tab'!$C$9+4)),"")</f>
        <v>E100</v>
      </c>
      <c r="D1396" s="694" t="s">
        <v>1448</v>
      </c>
      <c r="E1396" s="1030" t="s">
        <v>1893</v>
      </c>
      <c r="F1396" s="1376"/>
      <c r="G1396" s="1376"/>
      <c r="H1396" s="1376"/>
      <c r="I1396" s="1026" t="str">
        <f t="shared" si="160"/>
        <v/>
      </c>
      <c r="J1396" s="1376" t="str">
        <f t="shared" si="172"/>
        <v/>
      </c>
      <c r="K1396" s="1376" t="str">
        <f t="shared" si="161"/>
        <v/>
      </c>
      <c r="L1396" s="1376"/>
      <c r="M1396" s="1376"/>
      <c r="N1396" s="1376"/>
      <c r="R1396" s="1376" t="s">
        <v>1633</v>
      </c>
      <c r="S1396" s="1374" t="s">
        <v>1904</v>
      </c>
      <c r="U1396" s="1376" t="str">
        <f>IF(Q$796="Yes",M804,"")</f>
        <v/>
      </c>
      <c r="V1396" s="1376" t="str">
        <f>IF(Q$814="Yes",M823,"")</f>
        <v/>
      </c>
      <c r="W1396" s="1374" t="s">
        <v>1905</v>
      </c>
      <c r="Y1396" s="1376" t="str">
        <f>IF(Q$832="Yes",Q841,"")</f>
        <v/>
      </c>
      <c r="Z1396" s="1376" t="str">
        <f>IF(U$862="Yes",Q871,"")</f>
        <v/>
      </c>
    </row>
    <row r="1397" spans="1:26" s="1370" customFormat="1" x14ac:dyDescent="0.25">
      <c r="A1397" s="1397" t="s">
        <v>1485</v>
      </c>
      <c r="B1397" s="1027" t="str">
        <f>IFERROR(_xlfn.CONCAT("D",('Configurable Tab'!$C$9+5)),"")</f>
        <v>D101</v>
      </c>
      <c r="C1397" s="1027" t="str">
        <f>IFERROR(_xlfn.CONCAT("E",('Configurable Tab'!$C$9+5)),"")</f>
        <v>E101</v>
      </c>
      <c r="D1397" s="694" t="s">
        <v>1448</v>
      </c>
      <c r="E1397" s="1030" t="s">
        <v>1893</v>
      </c>
      <c r="F1397" s="1376"/>
      <c r="G1397" s="1376"/>
      <c r="H1397" s="1376"/>
      <c r="I1397" s="1026" t="str">
        <f t="shared" si="160"/>
        <v/>
      </c>
      <c r="J1397" s="1376" t="str">
        <f t="shared" si="172"/>
        <v/>
      </c>
      <c r="K1397" s="1376" t="str">
        <f t="shared" si="161"/>
        <v/>
      </c>
      <c r="L1397" s="1376"/>
      <c r="M1397" s="1376"/>
      <c r="N1397" s="1376"/>
      <c r="R1397" s="1376" t="s">
        <v>1633</v>
      </c>
      <c r="S1397" s="1374" t="s">
        <v>1904</v>
      </c>
      <c r="U1397" s="1376" t="str">
        <f>IF(Q$796="Yes",M805,"")</f>
        <v/>
      </c>
      <c r="V1397" s="1376" t="str">
        <f>IF(Q$814="Yes",M824,"")</f>
        <v/>
      </c>
      <c r="W1397" s="1374" t="s">
        <v>1905</v>
      </c>
      <c r="Y1397" s="1376" t="str">
        <f>IF(Q$832="Yes",Q842,"")</f>
        <v/>
      </c>
      <c r="Z1397" s="1376" t="str">
        <f>IF(U$862="Yes",Q872,"")</f>
        <v/>
      </c>
    </row>
    <row r="1398" spans="1:26" s="1370" customFormat="1" x14ac:dyDescent="0.25">
      <c r="A1398" s="1396" t="s">
        <v>1479</v>
      </c>
      <c r="B1398" s="1027" t="str">
        <f>IFERROR(_xlfn.CONCAT("G",('Configurable Tab'!$C$9+1)),"")</f>
        <v>G97</v>
      </c>
      <c r="C1398" s="1027" t="str">
        <f>IFERROR(_xlfn.CONCAT("G",('Configurable Tab'!$C$9+2)),"")</f>
        <v>G98</v>
      </c>
      <c r="D1398" s="694" t="s">
        <v>1448</v>
      </c>
      <c r="E1398" s="1030" t="s">
        <v>1893</v>
      </c>
      <c r="F1398" s="1376"/>
      <c r="G1398" s="1376"/>
      <c r="H1398" s="1376"/>
      <c r="I1398" s="1026" t="str">
        <f t="shared" si="160"/>
        <v/>
      </c>
      <c r="J1398" s="1376" t="str">
        <f t="shared" si="172"/>
        <v/>
      </c>
      <c r="K1398" s="1376" t="str">
        <f t="shared" si="161"/>
        <v/>
      </c>
      <c r="L1398" s="1376"/>
      <c r="M1398" s="1376"/>
      <c r="N1398" s="1376"/>
      <c r="R1398" s="1376" t="s">
        <v>1633</v>
      </c>
      <c r="S1398" s="1374" t="s">
        <v>1904</v>
      </c>
      <c r="U1398" s="1376" t="str">
        <f>IF(Q$796="Yes",M798,"")</f>
        <v/>
      </c>
      <c r="V1398" s="1376" t="str">
        <f>IF(Q$814="Yes",M816,"")</f>
        <v/>
      </c>
      <c r="W1398" s="1374" t="s">
        <v>1905</v>
      </c>
      <c r="Y1398" s="1376" t="str">
        <f>IF(Q$832="Yes",Q834,"")</f>
        <v/>
      </c>
      <c r="Z1398" s="1376" t="str">
        <f>IF(U$862="Yes",Q864,"")</f>
        <v/>
      </c>
    </row>
    <row r="1399" spans="1:26" s="1370" customFormat="1" x14ac:dyDescent="0.25">
      <c r="A1399" s="1396" t="s">
        <v>1480</v>
      </c>
      <c r="B1399" s="1027" t="str">
        <f>IFERROR(_xlfn.CONCAT("I",('Configurable Tab'!$C$9+1)),"")</f>
        <v>I97</v>
      </c>
      <c r="C1399" s="1027" t="str">
        <f>IFERROR(_xlfn.CONCAT("I",('Configurable Tab'!$C$9+2)),"")</f>
        <v>I98</v>
      </c>
      <c r="D1399" s="694" t="s">
        <v>1448</v>
      </c>
      <c r="E1399" s="1030" t="s">
        <v>1893</v>
      </c>
      <c r="F1399" s="1376"/>
      <c r="G1399" s="1376"/>
      <c r="H1399" s="1376"/>
      <c r="I1399" s="1026" t="str">
        <f t="shared" si="160"/>
        <v/>
      </c>
      <c r="J1399" s="1376" t="str">
        <f t="shared" si="172"/>
        <v/>
      </c>
      <c r="K1399" s="1376" t="str">
        <f t="shared" si="161"/>
        <v/>
      </c>
      <c r="L1399" s="1376"/>
      <c r="M1399" s="1376"/>
      <c r="N1399" s="1376"/>
      <c r="R1399" s="1376" t="s">
        <v>1633</v>
      </c>
      <c r="S1399" s="1374" t="s">
        <v>1904</v>
      </c>
      <c r="U1399" s="1376" t="str">
        <f t="shared" ref="U1399:U1401" si="177">IF(Q$796="Yes",M799,"")</f>
        <v/>
      </c>
      <c r="V1399" s="1376" t="str">
        <f t="shared" ref="V1399:V1401" si="178">IF(Q$814="Yes",M817,"")</f>
        <v/>
      </c>
      <c r="W1399" s="1374" t="s">
        <v>1905</v>
      </c>
      <c r="Y1399" s="1376" t="str">
        <f t="shared" ref="Y1399:Y1401" si="179">IF(Q$832="Yes",Q835,"")</f>
        <v/>
      </c>
      <c r="Z1399" s="1376" t="str">
        <f t="shared" ref="Z1399:Z1401" si="180">IF(U$862="Yes",Q865,"")</f>
        <v/>
      </c>
    </row>
    <row r="1400" spans="1:26" s="1370" customFormat="1" x14ac:dyDescent="0.25">
      <c r="A1400" s="1396" t="s">
        <v>871</v>
      </c>
      <c r="B1400" s="1027" t="str">
        <f>IFERROR(_xlfn.CONCAT("K",('Configurable Tab'!$C$9+1)),"")</f>
        <v>K97</v>
      </c>
      <c r="C1400" s="1027" t="str">
        <f>IFERROR(_xlfn.CONCAT("K",('Configurable Tab'!$C$9+2)),"")</f>
        <v>K98</v>
      </c>
      <c r="D1400" s="694" t="s">
        <v>1448</v>
      </c>
      <c r="E1400" s="1030" t="s">
        <v>1893</v>
      </c>
      <c r="F1400" s="1376"/>
      <c r="G1400" s="1376"/>
      <c r="H1400" s="1376"/>
      <c r="I1400" s="1026" t="str">
        <f t="shared" si="160"/>
        <v/>
      </c>
      <c r="J1400" s="1376" t="str">
        <f t="shared" si="172"/>
        <v/>
      </c>
      <c r="K1400" s="1376" t="str">
        <f t="shared" si="161"/>
        <v/>
      </c>
      <c r="L1400" s="1376"/>
      <c r="M1400" s="1376"/>
      <c r="N1400" s="1376"/>
      <c r="R1400" s="1376" t="s">
        <v>1633</v>
      </c>
      <c r="S1400" s="1374" t="s">
        <v>1904</v>
      </c>
      <c r="U1400" s="1376" t="str">
        <f t="shared" si="177"/>
        <v/>
      </c>
      <c r="V1400" s="1376" t="str">
        <f t="shared" si="178"/>
        <v/>
      </c>
      <c r="W1400" s="1374" t="s">
        <v>1905</v>
      </c>
      <c r="Y1400" s="1376" t="str">
        <f t="shared" si="179"/>
        <v/>
      </c>
      <c r="Z1400" s="1376" t="str">
        <f t="shared" si="180"/>
        <v/>
      </c>
    </row>
    <row r="1401" spans="1:26" s="1370" customFormat="1" x14ac:dyDescent="0.25">
      <c r="A1401" s="1396" t="s">
        <v>1481</v>
      </c>
      <c r="B1401" s="1027" t="str">
        <f>IFERROR(_xlfn.CONCAT("M",('Configurable Tab'!$C$9+1)),"")</f>
        <v>M97</v>
      </c>
      <c r="C1401" s="1027" t="str">
        <f>IFERROR(_xlfn.CONCAT("M",('Configurable Tab'!$C$9+2)),"")</f>
        <v>M98</v>
      </c>
      <c r="D1401" s="694" t="s">
        <v>1448</v>
      </c>
      <c r="E1401" s="1030" t="s">
        <v>1893</v>
      </c>
      <c r="F1401" s="1376"/>
      <c r="G1401" s="1376"/>
      <c r="H1401" s="1376"/>
      <c r="I1401" s="1026" t="str">
        <f t="shared" si="160"/>
        <v/>
      </c>
      <c r="J1401" s="1376" t="str">
        <f t="shared" si="172"/>
        <v/>
      </c>
      <c r="K1401" s="1376" t="str">
        <f t="shared" si="161"/>
        <v/>
      </c>
      <c r="L1401" s="1376"/>
      <c r="M1401" s="1376"/>
      <c r="N1401" s="1376"/>
      <c r="R1401" s="1376" t="s">
        <v>1633</v>
      </c>
      <c r="S1401" s="1374" t="s">
        <v>1904</v>
      </c>
      <c r="U1401" s="1376" t="str">
        <f t="shared" si="177"/>
        <v/>
      </c>
      <c r="V1401" s="1376" t="str">
        <f t="shared" si="178"/>
        <v/>
      </c>
      <c r="W1401" s="1374" t="s">
        <v>1905</v>
      </c>
      <c r="Y1401" s="1376" t="str">
        <f t="shared" si="179"/>
        <v/>
      </c>
      <c r="Z1401" s="1376" t="str">
        <f t="shared" si="180"/>
        <v/>
      </c>
    </row>
    <row r="1402" spans="1:26" s="1370" customFormat="1" x14ac:dyDescent="0.25">
      <c r="A1402" s="1396" t="s">
        <v>1486</v>
      </c>
      <c r="B1402" s="1027" t="str">
        <f>IFERROR(_xlfn.CONCAT("G",('Configurable Tab'!$C$9+6)),"")</f>
        <v>G102</v>
      </c>
      <c r="C1402" s="1027" t="str">
        <f>IFERROR(_xlfn.CONCAT("G",('Configurable Tab'!$C$9+7)),"")</f>
        <v>G103</v>
      </c>
      <c r="D1402" s="694" t="s">
        <v>1448</v>
      </c>
      <c r="E1402" s="1030" t="s">
        <v>1893</v>
      </c>
      <c r="F1402" s="1376"/>
      <c r="G1402" s="1376"/>
      <c r="H1402" s="1376"/>
      <c r="I1402" s="1026" t="str">
        <f t="shared" si="160"/>
        <v/>
      </c>
      <c r="J1402" s="1376" t="str">
        <f t="shared" si="172"/>
        <v/>
      </c>
      <c r="K1402" s="1376" t="str">
        <f t="shared" si="161"/>
        <v/>
      </c>
      <c r="L1402" s="1376"/>
      <c r="M1402" s="1376"/>
      <c r="N1402" s="1376"/>
      <c r="R1402" s="1376" t="s">
        <v>1633</v>
      </c>
      <c r="S1402" s="1374" t="s">
        <v>1904</v>
      </c>
      <c r="U1402" s="1376" t="str">
        <f>IF(Q$796="Yes",M810,"")</f>
        <v/>
      </c>
      <c r="V1402" s="1376" t="str">
        <f>IF(Q$814="Yes",M828,"")</f>
        <v/>
      </c>
      <c r="W1402" s="1374" t="s">
        <v>1905</v>
      </c>
      <c r="Y1402" s="1376" t="str">
        <f>IF(Q$832="Yes",Q846,"")</f>
        <v/>
      </c>
      <c r="Z1402" s="1376" t="str">
        <f>IF(U$862="Yes",Q876,"")</f>
        <v/>
      </c>
    </row>
    <row r="1403" spans="1:26" s="1370" customFormat="1" x14ac:dyDescent="0.25">
      <c r="A1403" s="1396" t="s">
        <v>1486</v>
      </c>
      <c r="B1403" s="1027" t="str">
        <f>IFERROR(_xlfn.CONCAT("G",('Configurable Tab'!$C$9+6)),"")</f>
        <v>G102</v>
      </c>
      <c r="C1403" s="1027" t="str">
        <f>IFERROR(_xlfn.CONCAT("G",('Configurable Tab'!$C$9+8)),"")</f>
        <v>G104</v>
      </c>
      <c r="D1403" s="694" t="s">
        <v>1448</v>
      </c>
      <c r="E1403" s="1030" t="s">
        <v>1893</v>
      </c>
      <c r="F1403" s="1376"/>
      <c r="G1403" s="1376"/>
      <c r="H1403" s="1376"/>
      <c r="I1403" s="1026" t="str">
        <f t="shared" si="160"/>
        <v/>
      </c>
      <c r="J1403" s="1376" t="str">
        <f t="shared" si="172"/>
        <v/>
      </c>
      <c r="K1403" s="1376" t="str">
        <f t="shared" si="161"/>
        <v/>
      </c>
      <c r="L1403" s="1376"/>
      <c r="M1403" s="1376"/>
      <c r="N1403" s="1376"/>
      <c r="R1403" s="1376" t="s">
        <v>1633</v>
      </c>
      <c r="W1403" s="1376" t="s">
        <v>1905</v>
      </c>
      <c r="Y1403" s="1376" t="str">
        <f>IF(Q$832="Yes",Q849,"")</f>
        <v/>
      </c>
      <c r="Z1403" s="1376" t="str">
        <f>IF(U$862="Yes",Q879,"")</f>
        <v/>
      </c>
    </row>
    <row r="1404" spans="1:26" s="1370" customFormat="1" x14ac:dyDescent="0.25">
      <c r="A1404" s="1396" t="s">
        <v>1486</v>
      </c>
      <c r="B1404" s="1027" t="str">
        <f>IFERROR(_xlfn.CONCAT("G",('Configurable Tab'!$C$9+6)),"")</f>
        <v>G102</v>
      </c>
      <c r="C1404" s="1027" t="str">
        <f>IFERROR(_xlfn.CONCAT("G",('Configurable Tab'!$C$9+9)),"")</f>
        <v>G105</v>
      </c>
      <c r="D1404" s="694" t="s">
        <v>1448</v>
      </c>
      <c r="E1404" s="1030" t="s">
        <v>1893</v>
      </c>
      <c r="F1404" s="1376"/>
      <c r="G1404" s="1376"/>
      <c r="H1404" s="1376"/>
      <c r="I1404" s="1026" t="str">
        <f t="shared" si="160"/>
        <v/>
      </c>
      <c r="J1404" s="1376" t="str">
        <f t="shared" si="172"/>
        <v/>
      </c>
      <c r="K1404" s="1376" t="str">
        <f t="shared" si="161"/>
        <v/>
      </c>
      <c r="L1404" s="1376"/>
      <c r="M1404" s="1376"/>
      <c r="N1404" s="1376"/>
      <c r="R1404" s="1376" t="s">
        <v>1633</v>
      </c>
      <c r="W1404" s="1376" t="s">
        <v>1905</v>
      </c>
      <c r="Y1404" s="1376" t="str">
        <f>IF(Q$832="Yes",Q852,"")</f>
        <v/>
      </c>
      <c r="Z1404" s="1376" t="str">
        <f>IF(U$862="Yes",Q882,"")</f>
        <v/>
      </c>
    </row>
    <row r="1405" spans="1:26" s="1370" customFormat="1" x14ac:dyDescent="0.25">
      <c r="A1405" s="1396" t="s">
        <v>1486</v>
      </c>
      <c r="B1405" s="1027" t="str">
        <f>IFERROR(_xlfn.CONCAT("G",('Configurable Tab'!$C$9+6)),"")</f>
        <v>G102</v>
      </c>
      <c r="C1405" s="1027" t="str">
        <f>IFERROR(_xlfn.CONCAT("G",('Configurable Tab'!$C$9+10)),"")</f>
        <v>G106</v>
      </c>
      <c r="D1405" s="694" t="s">
        <v>1448</v>
      </c>
      <c r="E1405" s="1030" t="s">
        <v>1893</v>
      </c>
      <c r="F1405" s="1376"/>
      <c r="G1405" s="1376"/>
      <c r="H1405" s="1376"/>
      <c r="I1405" s="1026" t="str">
        <f t="shared" si="160"/>
        <v/>
      </c>
      <c r="J1405" s="1376" t="str">
        <f t="shared" si="172"/>
        <v/>
      </c>
      <c r="K1405" s="1376" t="str">
        <f t="shared" si="161"/>
        <v/>
      </c>
      <c r="L1405" s="1376"/>
      <c r="M1405" s="1376"/>
      <c r="N1405" s="1376"/>
      <c r="R1405" s="1376" t="s">
        <v>1633</v>
      </c>
      <c r="W1405" s="1376" t="s">
        <v>1905</v>
      </c>
      <c r="Y1405" s="1376" t="str">
        <f>IF(Q$832="Yes",Q855,"")</f>
        <v/>
      </c>
      <c r="Z1405" s="1376" t="str">
        <f>IF(U$862="Yes",Q885,"")</f>
        <v/>
      </c>
    </row>
    <row r="1406" spans="1:26" s="1370" customFormat="1" x14ac:dyDescent="0.25">
      <c r="A1406" s="1396" t="s">
        <v>1486</v>
      </c>
      <c r="B1406" s="1027" t="str">
        <f>IFERROR(_xlfn.CONCAT("G",('Configurable Tab'!$C$9+6)),"")</f>
        <v>G102</v>
      </c>
      <c r="C1406" s="1027" t="str">
        <f>IFERROR(_xlfn.CONCAT("G",('Configurable Tab'!$C$9+11)),"")</f>
        <v>G107</v>
      </c>
      <c r="D1406" s="694" t="s">
        <v>1448</v>
      </c>
      <c r="E1406" s="1030" t="s">
        <v>1893</v>
      </c>
      <c r="F1406" s="1376"/>
      <c r="G1406" s="1376"/>
      <c r="H1406" s="1376"/>
      <c r="I1406" s="1026" t="str">
        <f t="shared" si="160"/>
        <v/>
      </c>
      <c r="J1406" s="1376" t="str">
        <f t="shared" si="172"/>
        <v/>
      </c>
      <c r="K1406" s="1376" t="str">
        <f t="shared" si="161"/>
        <v/>
      </c>
      <c r="L1406" s="1376"/>
      <c r="M1406" s="1376"/>
      <c r="N1406" s="1376"/>
      <c r="R1406" s="1376" t="s">
        <v>1633</v>
      </c>
      <c r="W1406" s="1376" t="s">
        <v>1905</v>
      </c>
      <c r="Y1406" s="1376" t="str">
        <f>IF(Q$832="Yes",Q858,"")</f>
        <v/>
      </c>
      <c r="Z1406" s="1376" t="str">
        <f>IF(U$862="Yes",Q888,"")</f>
        <v/>
      </c>
    </row>
    <row r="1407" spans="1:26" s="1370" customFormat="1" x14ac:dyDescent="0.25">
      <c r="A1407" s="1396" t="s">
        <v>1488</v>
      </c>
      <c r="B1407" s="1027" t="str">
        <f>IFERROR(_xlfn.CONCAT("K",('Configurable Tab'!$C$9+6)),"")</f>
        <v>K102</v>
      </c>
      <c r="C1407" s="1027" t="str">
        <f>IFERROR(_xlfn.CONCAT("K",('Configurable Tab'!$C$9+7)),"")</f>
        <v>K103</v>
      </c>
      <c r="D1407" s="694" t="s">
        <v>1448</v>
      </c>
      <c r="E1407" s="1030" t="s">
        <v>1893</v>
      </c>
      <c r="F1407" s="1376"/>
      <c r="G1407" s="1376"/>
      <c r="H1407" s="1376"/>
      <c r="I1407" s="1026" t="str">
        <f t="shared" si="160"/>
        <v/>
      </c>
      <c r="J1407" s="1376" t="str">
        <f t="shared" si="172"/>
        <v/>
      </c>
      <c r="K1407" s="1376" t="str">
        <f t="shared" si="161"/>
        <v/>
      </c>
      <c r="L1407" s="1376"/>
      <c r="M1407" s="1376"/>
      <c r="N1407" s="1376"/>
      <c r="R1407" s="1376" t="s">
        <v>1633</v>
      </c>
      <c r="S1407" s="1374" t="s">
        <v>1904</v>
      </c>
      <c r="U1407" s="1376" t="str">
        <f>IF(Q$796="Yes",M812,"")</f>
        <v/>
      </c>
      <c r="V1407" s="1376" t="str">
        <f>IF(Q$814="Yes",M830,"")</f>
        <v/>
      </c>
      <c r="W1407" s="1376" t="s">
        <v>1905</v>
      </c>
      <c r="Y1407" s="1376" t="str">
        <f>IF(Q$832="Yes",Q848,"")</f>
        <v/>
      </c>
      <c r="Z1407" s="1376" t="str">
        <f>IF(U$862="Yes",Q878,"")</f>
        <v/>
      </c>
    </row>
    <row r="1408" spans="1:26" s="1370" customFormat="1" x14ac:dyDescent="0.25">
      <c r="A1408" s="1396" t="s">
        <v>1488</v>
      </c>
      <c r="B1408" s="1027" t="str">
        <f>IFERROR(_xlfn.CONCAT("K",('Configurable Tab'!$C$9+6)),"")</f>
        <v>K102</v>
      </c>
      <c r="C1408" s="1027" t="str">
        <f>IFERROR(_xlfn.CONCAT("K",('Configurable Tab'!$C$9+8)),"")</f>
        <v>K104</v>
      </c>
      <c r="D1408" s="694" t="s">
        <v>1448</v>
      </c>
      <c r="E1408" s="1030" t="s">
        <v>1893</v>
      </c>
      <c r="F1408" s="1376"/>
      <c r="G1408" s="1376"/>
      <c r="H1408" s="1376"/>
      <c r="I1408" s="1026" t="str">
        <f t="shared" si="160"/>
        <v/>
      </c>
      <c r="J1408" s="1376" t="str">
        <f t="shared" si="172"/>
        <v/>
      </c>
      <c r="K1408" s="1376" t="str">
        <f t="shared" si="161"/>
        <v/>
      </c>
      <c r="L1408" s="1376"/>
      <c r="M1408" s="1376"/>
      <c r="N1408" s="1376"/>
      <c r="R1408" s="1376" t="s">
        <v>1633</v>
      </c>
      <c r="W1408" s="1376" t="s">
        <v>1905</v>
      </c>
      <c r="Y1408" s="1376" t="str">
        <f>IF(Q$832="Yes",Q851,"")</f>
        <v/>
      </c>
      <c r="Z1408" s="1376" t="str">
        <f>IF(U$862="Yes",Q881,"")</f>
        <v/>
      </c>
    </row>
    <row r="1409" spans="1:26" s="1370" customFormat="1" x14ac:dyDescent="0.25">
      <c r="A1409" s="1396" t="s">
        <v>1488</v>
      </c>
      <c r="B1409" s="1027" t="str">
        <f>IFERROR(_xlfn.CONCAT("K",('Configurable Tab'!$C$9+6)),"")</f>
        <v>K102</v>
      </c>
      <c r="C1409" s="1027" t="str">
        <f>IFERROR(_xlfn.CONCAT("K",('Configurable Tab'!$C$9+9)),"")</f>
        <v>K105</v>
      </c>
      <c r="D1409" s="694" t="s">
        <v>1448</v>
      </c>
      <c r="E1409" s="1030" t="s">
        <v>1893</v>
      </c>
      <c r="F1409" s="1376"/>
      <c r="G1409" s="1376"/>
      <c r="H1409" s="1376"/>
      <c r="I1409" s="1026" t="str">
        <f t="shared" si="160"/>
        <v/>
      </c>
      <c r="J1409" s="1376" t="str">
        <f t="shared" si="172"/>
        <v/>
      </c>
      <c r="K1409" s="1376" t="str">
        <f t="shared" si="161"/>
        <v/>
      </c>
      <c r="L1409" s="1376"/>
      <c r="M1409" s="1376"/>
      <c r="N1409" s="1376"/>
      <c r="R1409" s="1376" t="s">
        <v>1633</v>
      </c>
      <c r="W1409" s="1376" t="s">
        <v>1905</v>
      </c>
      <c r="Y1409" s="1376" t="str">
        <f>IF(Q$832="Yes",Q854,"")</f>
        <v/>
      </c>
      <c r="Z1409" s="1376" t="str">
        <f>IF(U$862="Yes",Q884,"")</f>
        <v/>
      </c>
    </row>
    <row r="1410" spans="1:26" s="1370" customFormat="1" x14ac:dyDescent="0.25">
      <c r="A1410" s="1396" t="s">
        <v>1488</v>
      </c>
      <c r="B1410" s="1027" t="str">
        <f>IFERROR(_xlfn.CONCAT("K",('Configurable Tab'!$C$9+6)),"")</f>
        <v>K102</v>
      </c>
      <c r="C1410" s="1027" t="str">
        <f>IFERROR(_xlfn.CONCAT("K",('Configurable Tab'!$C$9+10)),"")</f>
        <v>K106</v>
      </c>
      <c r="D1410" s="694" t="s">
        <v>1448</v>
      </c>
      <c r="E1410" s="1030" t="s">
        <v>1893</v>
      </c>
      <c r="F1410" s="1376"/>
      <c r="G1410" s="1376"/>
      <c r="H1410" s="1376"/>
      <c r="I1410" s="1026" t="str">
        <f t="shared" si="160"/>
        <v/>
      </c>
      <c r="J1410" s="1376" t="str">
        <f t="shared" si="172"/>
        <v/>
      </c>
      <c r="K1410" s="1376" t="str">
        <f t="shared" si="161"/>
        <v/>
      </c>
      <c r="L1410" s="1376"/>
      <c r="M1410" s="1376"/>
      <c r="N1410" s="1376"/>
      <c r="R1410" s="1376" t="s">
        <v>1633</v>
      </c>
      <c r="W1410" s="1376" t="s">
        <v>1905</v>
      </c>
      <c r="Y1410" s="1376" t="str">
        <f>IF(Q$832="Yes",Q857,"")</f>
        <v/>
      </c>
      <c r="Z1410" s="1376" t="str">
        <f>IF(U$862="Yes",Q887,"")</f>
        <v/>
      </c>
    </row>
    <row r="1411" spans="1:26" s="1370" customFormat="1" x14ac:dyDescent="0.25">
      <c r="A1411" s="1396" t="s">
        <v>1488</v>
      </c>
      <c r="B1411" s="1026" t="str">
        <f>IFERROR(_xlfn.CONCAT("K",('Configurable Tab'!$C$9+6)),"")</f>
        <v>K102</v>
      </c>
      <c r="C1411" s="1026" t="str">
        <f>IFERROR(_xlfn.CONCAT("K",('Configurable Tab'!$C$9+11)),"")</f>
        <v>K107</v>
      </c>
      <c r="D1411" s="1376" t="s">
        <v>1448</v>
      </c>
      <c r="E1411" s="1029" t="s">
        <v>1893</v>
      </c>
      <c r="F1411" s="1376"/>
      <c r="G1411" s="1376"/>
      <c r="H1411" s="1376"/>
      <c r="I1411" s="1026" t="str">
        <f t="shared" si="160"/>
        <v/>
      </c>
      <c r="J1411" s="1376" t="str">
        <f t="shared" si="172"/>
        <v/>
      </c>
      <c r="K1411" s="1376" t="str">
        <f t="shared" si="161"/>
        <v/>
      </c>
      <c r="L1411" s="1376"/>
      <c r="M1411" s="1376"/>
      <c r="N1411" s="1376"/>
      <c r="R1411" s="1376" t="s">
        <v>1633</v>
      </c>
      <c r="W1411" s="1376" t="s">
        <v>1905</v>
      </c>
      <c r="Y1411" s="1376" t="str">
        <f>IF(Q$832="Yes",Q860,"")</f>
        <v/>
      </c>
      <c r="Z1411" s="1376" t="str">
        <f>IF(U$862="Yes",Q890,"")</f>
        <v/>
      </c>
    </row>
    <row r="1412" spans="1:26" s="1370" customFormat="1" x14ac:dyDescent="0.25">
      <c r="A1412" s="1302" t="s">
        <v>528</v>
      </c>
      <c r="B1412" s="1027" t="str">
        <f>IFERROR(_xlfn.CONCAT("D",('Configurable Tab'!$C$10+1)),"")</f>
        <v>D111</v>
      </c>
      <c r="C1412" s="1027" t="str">
        <f>IFERROR(_xlfn.CONCAT("E",('Configurable Tab'!$C$10+1)),"")</f>
        <v>E111</v>
      </c>
      <c r="D1412" s="694" t="s">
        <v>1448</v>
      </c>
      <c r="E1412" s="1030" t="s">
        <v>1893</v>
      </c>
      <c r="F1412" s="1376"/>
      <c r="G1412" s="1376"/>
      <c r="H1412" s="1376"/>
      <c r="I1412" s="1026" t="str">
        <f t="shared" ref="I1412:I1475" si="181">IF(J1412&lt;&gt;"",A1412,"")</f>
        <v/>
      </c>
      <c r="J1412" s="1376" t="str">
        <f>$Q$1&amp;T1412</f>
        <v/>
      </c>
      <c r="K1412" s="1376" t="str">
        <f t="shared" ref="K1412:K1475" si="182">IF(J1412&lt;&gt;"",E1412,"")</f>
        <v/>
      </c>
      <c r="L1412" s="1376"/>
      <c r="M1412" s="1376"/>
      <c r="N1412" s="1376"/>
      <c r="O1412" s="1370" t="s">
        <v>1906</v>
      </c>
      <c r="R1412" s="1376" t="s">
        <v>397</v>
      </c>
      <c r="T1412" s="1376" t="str">
        <f>IF(Q$892="Yes",M892,"")</f>
        <v/>
      </c>
    </row>
    <row r="1413" spans="1:26" s="1370" customFormat="1" x14ac:dyDescent="0.25">
      <c r="A1413" s="1398" t="s">
        <v>1482</v>
      </c>
      <c r="B1413" s="1027" t="str">
        <f>IFERROR(_xlfn.CONCAT("D",('Configurable Tab'!$C$10+2)),"")</f>
        <v>D112</v>
      </c>
      <c r="C1413" s="1027" t="str">
        <f>IFERROR(_xlfn.CONCAT("E",('Configurable Tab'!$C$10+2)),"")</f>
        <v>E112</v>
      </c>
      <c r="D1413" s="694" t="s">
        <v>1448</v>
      </c>
      <c r="E1413" s="1030" t="s">
        <v>1893</v>
      </c>
      <c r="F1413" s="1376"/>
      <c r="G1413" s="1376"/>
      <c r="H1413" s="1376"/>
      <c r="I1413" s="1026" t="str">
        <f t="shared" si="181"/>
        <v/>
      </c>
      <c r="J1413" s="1376" t="str">
        <f t="shared" ref="J1413:J1461" si="183">$Q$1&amp;T1413</f>
        <v/>
      </c>
      <c r="K1413" s="1376" t="str">
        <f t="shared" si="182"/>
        <v/>
      </c>
      <c r="L1413" s="1376"/>
      <c r="M1413" s="1376"/>
      <c r="N1413" s="1376"/>
      <c r="R1413" s="1376" t="s">
        <v>397</v>
      </c>
      <c r="T1413" s="1376" t="str">
        <f>IF(Q$892="Yes",M893,"")</f>
        <v/>
      </c>
    </row>
    <row r="1414" spans="1:26" s="1370" customFormat="1" x14ac:dyDescent="0.25">
      <c r="A1414" s="1398" t="s">
        <v>1484</v>
      </c>
      <c r="B1414" s="1027" t="str">
        <f>IFERROR(_xlfn.CONCAT("D",('Configurable Tab'!$C$10+4)),"")</f>
        <v>D114</v>
      </c>
      <c r="C1414" s="1027" t="str">
        <f>IFERROR(_xlfn.CONCAT("E",('Configurable Tab'!$C$10+4)),"")</f>
        <v>E114</v>
      </c>
      <c r="D1414" s="694" t="s">
        <v>1448</v>
      </c>
      <c r="E1414" s="1030" t="s">
        <v>1893</v>
      </c>
      <c r="F1414" s="1376"/>
      <c r="G1414" s="1376"/>
      <c r="H1414" s="1376"/>
      <c r="I1414" s="1026" t="str">
        <f t="shared" si="181"/>
        <v/>
      </c>
      <c r="J1414" s="1376" t="str">
        <f t="shared" si="183"/>
        <v/>
      </c>
      <c r="K1414" s="1376" t="str">
        <f t="shared" si="182"/>
        <v/>
      </c>
      <c r="L1414" s="1376"/>
      <c r="M1414" s="1376"/>
      <c r="N1414" s="1376"/>
      <c r="R1414" s="1376" t="s">
        <v>397</v>
      </c>
      <c r="T1414" s="1376" t="str">
        <f>IF(Q$892="Yes",M901,"")</f>
        <v/>
      </c>
    </row>
    <row r="1415" spans="1:26" s="1370" customFormat="1" x14ac:dyDescent="0.25">
      <c r="A1415" s="1399" t="s">
        <v>1485</v>
      </c>
      <c r="B1415" s="1027" t="str">
        <f>IFERROR(_xlfn.CONCAT("D",('Configurable Tab'!$C$10+5)),"")</f>
        <v>D115</v>
      </c>
      <c r="C1415" s="1027" t="str">
        <f>IFERROR(_xlfn.CONCAT("E",('Configurable Tab'!$C$10+5)),"")</f>
        <v>E115</v>
      </c>
      <c r="D1415" s="694" t="s">
        <v>1448</v>
      </c>
      <c r="E1415" s="1030" t="s">
        <v>1893</v>
      </c>
      <c r="F1415" s="1376"/>
      <c r="G1415" s="1376"/>
      <c r="H1415" s="1376"/>
      <c r="I1415" s="1026" t="str">
        <f t="shared" si="181"/>
        <v/>
      </c>
      <c r="J1415" s="1376" t="str">
        <f t="shared" si="183"/>
        <v/>
      </c>
      <c r="K1415" s="1376" t="str">
        <f t="shared" si="182"/>
        <v/>
      </c>
      <c r="L1415" s="1376"/>
      <c r="M1415" s="1376"/>
      <c r="N1415" s="1376"/>
      <c r="R1415" s="1376" t="s">
        <v>397</v>
      </c>
      <c r="T1415" s="1376" t="str">
        <f>IF(Q$892="Yes",M902,"")</f>
        <v/>
      </c>
    </row>
    <row r="1416" spans="1:26" s="1370" customFormat="1" x14ac:dyDescent="0.25">
      <c r="A1416" s="1398" t="s">
        <v>1479</v>
      </c>
      <c r="B1416" s="1027" t="str">
        <f>IFERROR(_xlfn.CONCAT("G",('Configurable Tab'!$C$10+1)),"")</f>
        <v>G111</v>
      </c>
      <c r="C1416" s="1027" t="str">
        <f>IFERROR(_xlfn.CONCAT("G",('Configurable Tab'!$C$10+2)),"")</f>
        <v>G112</v>
      </c>
      <c r="D1416" s="694" t="s">
        <v>1448</v>
      </c>
      <c r="E1416" s="1030" t="s">
        <v>1893</v>
      </c>
      <c r="F1416" s="1376"/>
      <c r="G1416" s="1376"/>
      <c r="H1416" s="1376"/>
      <c r="I1416" s="1026" t="str">
        <f t="shared" si="181"/>
        <v/>
      </c>
      <c r="J1416" s="1376" t="str">
        <f t="shared" si="183"/>
        <v/>
      </c>
      <c r="K1416" s="1376" t="str">
        <f t="shared" si="182"/>
        <v/>
      </c>
      <c r="L1416" s="1376"/>
      <c r="M1416" s="1376"/>
      <c r="N1416" s="1376"/>
      <c r="R1416" s="1376" t="s">
        <v>397</v>
      </c>
      <c r="T1416" s="1376" t="str">
        <f>IF(Q$892="Yes",M894,"")</f>
        <v/>
      </c>
    </row>
    <row r="1417" spans="1:26" s="1370" customFormat="1" x14ac:dyDescent="0.25">
      <c r="A1417" s="1398" t="s">
        <v>1480</v>
      </c>
      <c r="B1417" s="1027" t="str">
        <f>IFERROR(_xlfn.CONCAT("I",('Configurable Tab'!$C$10+1)),"")</f>
        <v>I111</v>
      </c>
      <c r="C1417" s="1027" t="str">
        <f>IFERROR(_xlfn.CONCAT("I",('Configurable Tab'!$C$10+2)),"")</f>
        <v>I112</v>
      </c>
      <c r="D1417" s="694" t="s">
        <v>1448</v>
      </c>
      <c r="E1417" s="1030" t="s">
        <v>1893</v>
      </c>
      <c r="F1417" s="1376"/>
      <c r="G1417" s="1376"/>
      <c r="H1417" s="1376"/>
      <c r="I1417" s="1026" t="str">
        <f t="shared" si="181"/>
        <v/>
      </c>
      <c r="J1417" s="1376" t="str">
        <f t="shared" si="183"/>
        <v/>
      </c>
      <c r="K1417" s="1376" t="str">
        <f t="shared" si="182"/>
        <v/>
      </c>
      <c r="L1417" s="1376"/>
      <c r="M1417" s="1376"/>
      <c r="N1417" s="1376"/>
      <c r="R1417" s="1376" t="s">
        <v>397</v>
      </c>
      <c r="T1417" s="1376" t="str">
        <f t="shared" ref="T1417:T1419" si="184">IF(Q$892="Yes",M895,"")</f>
        <v/>
      </c>
    </row>
    <row r="1418" spans="1:26" s="1370" customFormat="1" x14ac:dyDescent="0.25">
      <c r="A1418" s="1398" t="s">
        <v>871</v>
      </c>
      <c r="B1418" s="1027" t="str">
        <f>IFERROR(_xlfn.CONCAT("K",('Configurable Tab'!$C$10+1)),"")</f>
        <v>K111</v>
      </c>
      <c r="C1418" s="1027" t="str">
        <f>IFERROR(_xlfn.CONCAT("K",('Configurable Tab'!$C$10+2)),"")</f>
        <v>K112</v>
      </c>
      <c r="D1418" s="694" t="s">
        <v>1448</v>
      </c>
      <c r="E1418" s="1030" t="s">
        <v>1893</v>
      </c>
      <c r="F1418" s="1376"/>
      <c r="G1418" s="1376"/>
      <c r="H1418" s="1376"/>
      <c r="I1418" s="1026" t="str">
        <f t="shared" si="181"/>
        <v/>
      </c>
      <c r="J1418" s="1376" t="str">
        <f t="shared" si="183"/>
        <v/>
      </c>
      <c r="K1418" s="1376" t="str">
        <f t="shared" si="182"/>
        <v/>
      </c>
      <c r="L1418" s="1376"/>
      <c r="M1418" s="1376"/>
      <c r="N1418" s="1376"/>
      <c r="R1418" s="1376" t="s">
        <v>397</v>
      </c>
      <c r="T1418" s="1376" t="str">
        <f t="shared" si="184"/>
        <v/>
      </c>
    </row>
    <row r="1419" spans="1:26" s="1370" customFormat="1" x14ac:dyDescent="0.25">
      <c r="A1419" s="1398" t="s">
        <v>1481</v>
      </c>
      <c r="B1419" s="1027" t="str">
        <f>IFERROR(_xlfn.CONCAT("M",('Configurable Tab'!$C$10+1)),"")</f>
        <v>M111</v>
      </c>
      <c r="C1419" s="1027" t="str">
        <f>IFERROR(_xlfn.CONCAT("M",('Configurable Tab'!$C$10+2)),"")</f>
        <v>M112</v>
      </c>
      <c r="D1419" s="694" t="s">
        <v>1448</v>
      </c>
      <c r="E1419" s="1030" t="s">
        <v>1893</v>
      </c>
      <c r="F1419" s="1376"/>
      <c r="G1419" s="1376"/>
      <c r="H1419" s="1376"/>
      <c r="I1419" s="1026" t="str">
        <f t="shared" si="181"/>
        <v/>
      </c>
      <c r="J1419" s="1376" t="str">
        <f t="shared" si="183"/>
        <v/>
      </c>
      <c r="K1419" s="1376" t="str">
        <f t="shared" si="182"/>
        <v/>
      </c>
      <c r="L1419" s="1376"/>
      <c r="M1419" s="1376"/>
      <c r="N1419" s="1376"/>
      <c r="R1419" s="1376" t="s">
        <v>397</v>
      </c>
      <c r="T1419" s="1376" t="str">
        <f t="shared" si="184"/>
        <v/>
      </c>
    </row>
    <row r="1420" spans="1:26" s="1370" customFormat="1" x14ac:dyDescent="0.25">
      <c r="A1420" s="1398" t="s">
        <v>1486</v>
      </c>
      <c r="B1420" s="1027" t="str">
        <f>IFERROR(_xlfn.CONCAT("G",('Configurable Tab'!$C$10+4)),"")</f>
        <v>G114</v>
      </c>
      <c r="C1420" s="1027" t="str">
        <f>IFERROR(_xlfn.CONCAT("G",('Configurable Tab'!$C$10+5)),"")</f>
        <v>G115</v>
      </c>
      <c r="D1420" s="694" t="s">
        <v>1448</v>
      </c>
      <c r="E1420" s="1030" t="s">
        <v>1893</v>
      </c>
      <c r="F1420" s="1376"/>
      <c r="G1420" s="1376"/>
      <c r="H1420" s="1376"/>
      <c r="I1420" s="1026" t="str">
        <f t="shared" si="181"/>
        <v/>
      </c>
      <c r="J1420" s="1376" t="str">
        <f t="shared" si="183"/>
        <v/>
      </c>
      <c r="K1420" s="1376" t="str">
        <f t="shared" si="182"/>
        <v/>
      </c>
      <c r="L1420" s="1376"/>
      <c r="M1420" s="1376"/>
      <c r="N1420" s="1376"/>
      <c r="R1420" s="1376" t="s">
        <v>397</v>
      </c>
      <c r="T1420" s="1376" t="str">
        <f>IF(Q$892="Yes",M906,"")</f>
        <v/>
      </c>
    </row>
    <row r="1421" spans="1:26" s="1370" customFormat="1" x14ac:dyDescent="0.25">
      <c r="A1421" s="1398" t="s">
        <v>1488</v>
      </c>
      <c r="B1421" s="1026" t="str">
        <f>IFERROR(_xlfn.CONCAT("K",('Configurable Tab'!$C$10+4)),"")</f>
        <v>K114</v>
      </c>
      <c r="C1421" s="1026" t="str">
        <f>IFERROR(_xlfn.CONCAT("K",('Configurable Tab'!$C$10+5)),"")</f>
        <v>K115</v>
      </c>
      <c r="D1421" s="1376" t="s">
        <v>1448</v>
      </c>
      <c r="E1421" s="1029" t="s">
        <v>1893</v>
      </c>
      <c r="F1421" s="1376"/>
      <c r="G1421" s="1376"/>
      <c r="H1421" s="1376"/>
      <c r="I1421" s="1026" t="str">
        <f t="shared" si="181"/>
        <v/>
      </c>
      <c r="J1421" s="1376" t="str">
        <f t="shared" si="183"/>
        <v/>
      </c>
      <c r="K1421" s="1376" t="str">
        <f t="shared" si="182"/>
        <v/>
      </c>
      <c r="L1421" s="1376"/>
      <c r="M1421" s="1376"/>
      <c r="N1421" s="1376"/>
      <c r="R1421" s="1376" t="s">
        <v>397</v>
      </c>
      <c r="T1421" s="1376" t="str">
        <f>IF(Q$892="Yes",M908,"")</f>
        <v/>
      </c>
    </row>
    <row r="1422" spans="1:26" s="1370" customFormat="1" x14ac:dyDescent="0.25">
      <c r="A1422" s="1400" t="s">
        <v>528</v>
      </c>
      <c r="B1422" s="1027" t="str">
        <f>IFERROR(_xlfn.CONCAT("D",('Configurable Tab'!$C$11+1)),"")</f>
        <v>D119</v>
      </c>
      <c r="C1422" s="1027" t="str">
        <f>IFERROR(_xlfn.CONCAT("E",('Configurable Tab'!$C$11+1)),"")</f>
        <v>E119</v>
      </c>
      <c r="D1422" s="694" t="s">
        <v>1448</v>
      </c>
      <c r="E1422" s="1030" t="s">
        <v>1893</v>
      </c>
      <c r="F1422" s="1376"/>
      <c r="G1422" s="1376"/>
      <c r="H1422" s="1376"/>
      <c r="I1422" s="1026" t="str">
        <f t="shared" si="181"/>
        <v/>
      </c>
      <c r="J1422" s="1376" t="str">
        <f t="shared" si="183"/>
        <v/>
      </c>
      <c r="K1422" s="1376" t="str">
        <f t="shared" si="182"/>
        <v/>
      </c>
      <c r="L1422" s="1376"/>
      <c r="M1422" s="1376"/>
      <c r="N1422" s="1376"/>
      <c r="O1422" s="1370" t="s">
        <v>1907</v>
      </c>
      <c r="R1422" s="1376" t="s">
        <v>397</v>
      </c>
      <c r="T1422" s="1376" t="str">
        <f>IF(Q$911="Yes",M911,"")</f>
        <v/>
      </c>
    </row>
    <row r="1423" spans="1:26" s="1370" customFormat="1" x14ac:dyDescent="0.25">
      <c r="A1423" s="1401" t="s">
        <v>1482</v>
      </c>
      <c r="B1423" s="1027" t="str">
        <f>IFERROR(_xlfn.CONCAT("D",('Configurable Tab'!$C$11+2)),"")</f>
        <v>D120</v>
      </c>
      <c r="C1423" s="1027" t="str">
        <f>IFERROR(_xlfn.CONCAT("E",('Configurable Tab'!$C$11+2)),"")</f>
        <v>E120</v>
      </c>
      <c r="D1423" s="694" t="s">
        <v>1448</v>
      </c>
      <c r="E1423" s="1030" t="s">
        <v>1893</v>
      </c>
      <c r="F1423" s="1376"/>
      <c r="G1423" s="1376"/>
      <c r="H1423" s="1376"/>
      <c r="I1423" s="1026" t="str">
        <f t="shared" si="181"/>
        <v/>
      </c>
      <c r="J1423" s="1376" t="str">
        <f t="shared" si="183"/>
        <v/>
      </c>
      <c r="K1423" s="1376" t="str">
        <f t="shared" si="182"/>
        <v/>
      </c>
      <c r="L1423" s="1376"/>
      <c r="M1423" s="1376"/>
      <c r="N1423" s="1376"/>
      <c r="R1423" s="1376" t="s">
        <v>397</v>
      </c>
      <c r="T1423" s="1376" t="str">
        <f>IF(Q$911="Yes",M912,"")</f>
        <v/>
      </c>
    </row>
    <row r="1424" spans="1:26" s="1370" customFormat="1" x14ac:dyDescent="0.25">
      <c r="A1424" s="1401" t="s">
        <v>1484</v>
      </c>
      <c r="B1424" s="1027" t="str">
        <f>IFERROR(_xlfn.CONCAT("D",('Configurable Tab'!$C$11+4)),"")</f>
        <v>D122</v>
      </c>
      <c r="C1424" s="1027" t="str">
        <f>IFERROR(_xlfn.CONCAT("E",('Configurable Tab'!$C$11+4)),"")</f>
        <v>E122</v>
      </c>
      <c r="D1424" s="694" t="s">
        <v>1448</v>
      </c>
      <c r="E1424" s="1030" t="s">
        <v>1893</v>
      </c>
      <c r="F1424" s="1376"/>
      <c r="G1424" s="1376"/>
      <c r="H1424" s="1376"/>
      <c r="I1424" s="1026" t="str">
        <f t="shared" si="181"/>
        <v/>
      </c>
      <c r="J1424" s="1376" t="str">
        <f t="shared" si="183"/>
        <v/>
      </c>
      <c r="K1424" s="1376" t="str">
        <f t="shared" si="182"/>
        <v/>
      </c>
      <c r="L1424" s="1376"/>
      <c r="M1424" s="1376"/>
      <c r="N1424" s="1376"/>
      <c r="R1424" s="1376" t="s">
        <v>397</v>
      </c>
      <c r="T1424" s="1376" t="str">
        <f>IF(Q$911="Yes",M920,"")</f>
        <v/>
      </c>
    </row>
    <row r="1425" spans="1:20" s="1370" customFormat="1" x14ac:dyDescent="0.25">
      <c r="A1425" s="1402" t="s">
        <v>1485</v>
      </c>
      <c r="B1425" s="1027" t="str">
        <f>IFERROR(_xlfn.CONCAT("D",('Configurable Tab'!$C$11+5)),"")</f>
        <v>D123</v>
      </c>
      <c r="C1425" s="1027" t="str">
        <f>IFERROR(_xlfn.CONCAT("E",('Configurable Tab'!$C$11+5)),"")</f>
        <v>E123</v>
      </c>
      <c r="D1425" s="694" t="s">
        <v>1448</v>
      </c>
      <c r="E1425" s="1030" t="s">
        <v>1893</v>
      </c>
      <c r="F1425" s="1376"/>
      <c r="G1425" s="1376"/>
      <c r="H1425" s="1376"/>
      <c r="I1425" s="1026" t="str">
        <f t="shared" si="181"/>
        <v/>
      </c>
      <c r="J1425" s="1376" t="str">
        <f t="shared" si="183"/>
        <v/>
      </c>
      <c r="K1425" s="1376" t="str">
        <f t="shared" si="182"/>
        <v/>
      </c>
      <c r="L1425" s="1376"/>
      <c r="M1425" s="1376"/>
      <c r="N1425" s="1376"/>
      <c r="R1425" s="1376" t="s">
        <v>397</v>
      </c>
      <c r="T1425" s="1376" t="str">
        <f>IF(Q$911="Yes",M921,"")</f>
        <v/>
      </c>
    </row>
    <row r="1426" spans="1:20" s="1370" customFormat="1" x14ac:dyDescent="0.25">
      <c r="A1426" s="1401" t="s">
        <v>1479</v>
      </c>
      <c r="B1426" s="1027" t="str">
        <f>IFERROR(_xlfn.CONCAT("G",('Configurable Tab'!$C$11+1)),"")</f>
        <v>G119</v>
      </c>
      <c r="C1426" s="1027" t="str">
        <f>IFERROR(_xlfn.CONCAT("G",('Configurable Tab'!$C$11+2)),"")</f>
        <v>G120</v>
      </c>
      <c r="D1426" s="694" t="s">
        <v>1448</v>
      </c>
      <c r="E1426" s="1030" t="s">
        <v>1893</v>
      </c>
      <c r="F1426" s="1376"/>
      <c r="G1426" s="1376"/>
      <c r="H1426" s="1376"/>
      <c r="I1426" s="1026" t="str">
        <f t="shared" si="181"/>
        <v/>
      </c>
      <c r="J1426" s="1376" t="str">
        <f t="shared" si="183"/>
        <v/>
      </c>
      <c r="K1426" s="1376" t="str">
        <f t="shared" si="182"/>
        <v/>
      </c>
      <c r="L1426" s="1376"/>
      <c r="M1426" s="1376"/>
      <c r="N1426" s="1376"/>
      <c r="R1426" s="1376" t="s">
        <v>397</v>
      </c>
      <c r="T1426" s="1376" t="str">
        <f>IF(Q$911="Yes",M913,"")</f>
        <v/>
      </c>
    </row>
    <row r="1427" spans="1:20" s="1370" customFormat="1" x14ac:dyDescent="0.25">
      <c r="A1427" s="1401" t="s">
        <v>1480</v>
      </c>
      <c r="B1427" s="1027" t="str">
        <f>IFERROR(_xlfn.CONCAT("I",('Configurable Tab'!$C$11+1)),"")</f>
        <v>I119</v>
      </c>
      <c r="C1427" s="1027" t="str">
        <f>IFERROR(_xlfn.CONCAT("I",('Configurable Tab'!$C$11+2)),"")</f>
        <v>I120</v>
      </c>
      <c r="D1427" s="694" t="s">
        <v>1448</v>
      </c>
      <c r="E1427" s="1030" t="s">
        <v>1893</v>
      </c>
      <c r="F1427" s="1376"/>
      <c r="G1427" s="1376"/>
      <c r="H1427" s="1376"/>
      <c r="I1427" s="1026" t="str">
        <f t="shared" si="181"/>
        <v/>
      </c>
      <c r="J1427" s="1376" t="str">
        <f t="shared" si="183"/>
        <v/>
      </c>
      <c r="K1427" s="1376" t="str">
        <f t="shared" si="182"/>
        <v/>
      </c>
      <c r="L1427" s="1376"/>
      <c r="M1427" s="1376"/>
      <c r="N1427" s="1376"/>
      <c r="R1427" s="1376" t="s">
        <v>397</v>
      </c>
      <c r="T1427" s="1376" t="str">
        <f t="shared" ref="T1427:T1429" si="185">IF(Q$911="Yes",M914,"")</f>
        <v/>
      </c>
    </row>
    <row r="1428" spans="1:20" s="1370" customFormat="1" x14ac:dyDescent="0.25">
      <c r="A1428" s="1401" t="s">
        <v>871</v>
      </c>
      <c r="B1428" s="1027" t="str">
        <f>IFERROR(_xlfn.CONCAT("K",('Configurable Tab'!$C$11+1)),"")</f>
        <v>K119</v>
      </c>
      <c r="C1428" s="1027" t="str">
        <f>IFERROR(_xlfn.CONCAT("K",('Configurable Tab'!$C$11+2)),"")</f>
        <v>K120</v>
      </c>
      <c r="D1428" s="694" t="s">
        <v>1448</v>
      </c>
      <c r="E1428" s="1030" t="s">
        <v>1893</v>
      </c>
      <c r="F1428" s="1376"/>
      <c r="G1428" s="1376"/>
      <c r="H1428" s="1376"/>
      <c r="I1428" s="1026" t="str">
        <f t="shared" si="181"/>
        <v/>
      </c>
      <c r="J1428" s="1376" t="str">
        <f t="shared" si="183"/>
        <v/>
      </c>
      <c r="K1428" s="1376" t="str">
        <f t="shared" si="182"/>
        <v/>
      </c>
      <c r="L1428" s="1376"/>
      <c r="M1428" s="1376"/>
      <c r="N1428" s="1376"/>
      <c r="R1428" s="1376" t="s">
        <v>397</v>
      </c>
      <c r="T1428" s="1376" t="str">
        <f t="shared" si="185"/>
        <v/>
      </c>
    </row>
    <row r="1429" spans="1:20" s="1370" customFormat="1" x14ac:dyDescent="0.25">
      <c r="A1429" s="1401" t="s">
        <v>1481</v>
      </c>
      <c r="B1429" s="1027" t="str">
        <f>IFERROR(_xlfn.CONCAT("M",('Configurable Tab'!$C$11+1)),"")</f>
        <v>M119</v>
      </c>
      <c r="C1429" s="1027" t="str">
        <f>IFERROR(_xlfn.CONCAT("M",('Configurable Tab'!$C$11+2)),"")</f>
        <v>M120</v>
      </c>
      <c r="D1429" s="694" t="s">
        <v>1448</v>
      </c>
      <c r="E1429" s="1030" t="s">
        <v>1893</v>
      </c>
      <c r="F1429" s="1376"/>
      <c r="G1429" s="1376"/>
      <c r="H1429" s="1376"/>
      <c r="I1429" s="1026" t="str">
        <f t="shared" si="181"/>
        <v/>
      </c>
      <c r="J1429" s="1376" t="str">
        <f t="shared" si="183"/>
        <v/>
      </c>
      <c r="K1429" s="1376" t="str">
        <f t="shared" si="182"/>
        <v/>
      </c>
      <c r="L1429" s="1376"/>
      <c r="M1429" s="1376"/>
      <c r="N1429" s="1376"/>
      <c r="R1429" s="1376" t="s">
        <v>397</v>
      </c>
      <c r="T1429" s="1376" t="str">
        <f t="shared" si="185"/>
        <v/>
      </c>
    </row>
    <row r="1430" spans="1:20" s="1370" customFormat="1" x14ac:dyDescent="0.25">
      <c r="A1430" s="1401" t="s">
        <v>1486</v>
      </c>
      <c r="B1430" s="1027" t="str">
        <f>IFERROR(_xlfn.CONCAT("G",('Configurable Tab'!$C$11+4)),"")</f>
        <v>G122</v>
      </c>
      <c r="C1430" s="1027" t="str">
        <f>IFERROR(_xlfn.CONCAT("G",('Configurable Tab'!$C$11+5)),"")</f>
        <v>G123</v>
      </c>
      <c r="D1430" s="694" t="s">
        <v>1448</v>
      </c>
      <c r="E1430" s="1030" t="s">
        <v>1893</v>
      </c>
      <c r="F1430" s="1376"/>
      <c r="G1430" s="1376"/>
      <c r="H1430" s="1376"/>
      <c r="I1430" s="1026" t="str">
        <f t="shared" si="181"/>
        <v/>
      </c>
      <c r="J1430" s="1376" t="str">
        <f t="shared" si="183"/>
        <v/>
      </c>
      <c r="K1430" s="1376" t="str">
        <f t="shared" si="182"/>
        <v/>
      </c>
      <c r="L1430" s="1376"/>
      <c r="M1430" s="1376"/>
      <c r="N1430" s="1376"/>
      <c r="R1430" s="1376" t="s">
        <v>397</v>
      </c>
      <c r="T1430" s="1376" t="str">
        <f>IF(Q$911="Yes",M925,"")</f>
        <v/>
      </c>
    </row>
    <row r="1431" spans="1:20" s="1370" customFormat="1" x14ac:dyDescent="0.25">
      <c r="A1431" s="1401" t="s">
        <v>1488</v>
      </c>
      <c r="B1431" s="1026" t="str">
        <f>IFERROR(_xlfn.CONCAT("K",('Configurable Tab'!$C$11+4)),"")</f>
        <v>K122</v>
      </c>
      <c r="C1431" s="1026" t="str">
        <f>IFERROR(_xlfn.CONCAT("K",('Configurable Tab'!$C$11+5)),"")</f>
        <v>K123</v>
      </c>
      <c r="D1431" s="1376" t="s">
        <v>1448</v>
      </c>
      <c r="E1431" s="1029" t="s">
        <v>1893</v>
      </c>
      <c r="F1431" s="1376"/>
      <c r="G1431" s="1376"/>
      <c r="H1431" s="1376"/>
      <c r="I1431" s="1026" t="str">
        <f t="shared" si="181"/>
        <v/>
      </c>
      <c r="J1431" s="1376" t="str">
        <f t="shared" si="183"/>
        <v/>
      </c>
      <c r="K1431" s="1376" t="str">
        <f t="shared" si="182"/>
        <v/>
      </c>
      <c r="L1431" s="1376"/>
      <c r="M1431" s="1376"/>
      <c r="N1431" s="1376"/>
      <c r="R1431" s="1376" t="s">
        <v>397</v>
      </c>
      <c r="T1431" s="1376" t="str">
        <f>IF(Q$911="Yes",M927,"")</f>
        <v/>
      </c>
    </row>
    <row r="1432" spans="1:20" s="1370" customFormat="1" x14ac:dyDescent="0.25">
      <c r="A1432" s="1302" t="s">
        <v>528</v>
      </c>
      <c r="B1432" s="1027" t="str">
        <f>IFERROR(_xlfn.CONCAT("D",('Configurable Tab'!$C$12+1)),"")</f>
        <v>D127</v>
      </c>
      <c r="C1432" s="1027" t="str">
        <f>IFERROR(_xlfn.CONCAT("E",('Configurable Tab'!$C$12+1)),"")</f>
        <v>E127</v>
      </c>
      <c r="D1432" s="694" t="s">
        <v>1448</v>
      </c>
      <c r="E1432" s="1030" t="s">
        <v>1893</v>
      </c>
      <c r="F1432" s="1376"/>
      <c r="G1432" s="1376"/>
      <c r="H1432" s="1376"/>
      <c r="I1432" s="1026" t="str">
        <f t="shared" si="181"/>
        <v/>
      </c>
      <c r="J1432" s="1376" t="str">
        <f t="shared" si="183"/>
        <v/>
      </c>
      <c r="K1432" s="1376" t="str">
        <f t="shared" si="182"/>
        <v/>
      </c>
      <c r="L1432" s="1376"/>
      <c r="M1432" s="1376"/>
      <c r="N1432" s="1376"/>
      <c r="O1432" s="1370" t="s">
        <v>1908</v>
      </c>
      <c r="R1432" s="1376" t="s">
        <v>397</v>
      </c>
      <c r="T1432" s="1376" t="str">
        <f>IF(Q$930="Yes",M930,"")</f>
        <v/>
      </c>
    </row>
    <row r="1433" spans="1:20" s="1370" customFormat="1" x14ac:dyDescent="0.25">
      <c r="A1433" s="1398" t="s">
        <v>1482</v>
      </c>
      <c r="B1433" s="1027" t="str">
        <f>IFERROR(_xlfn.CONCAT("D",('Configurable Tab'!$C$12+2)),"")</f>
        <v>D128</v>
      </c>
      <c r="C1433" s="1027" t="str">
        <f>IFERROR(_xlfn.CONCAT("E",('Configurable Tab'!$C$12+2)),"")</f>
        <v>E128</v>
      </c>
      <c r="D1433" s="694" t="s">
        <v>1448</v>
      </c>
      <c r="E1433" s="1030" t="s">
        <v>1893</v>
      </c>
      <c r="F1433" s="1376"/>
      <c r="G1433" s="1376"/>
      <c r="H1433" s="1376"/>
      <c r="I1433" s="1026" t="str">
        <f t="shared" si="181"/>
        <v/>
      </c>
      <c r="J1433" s="1376" t="str">
        <f t="shared" si="183"/>
        <v/>
      </c>
      <c r="K1433" s="1376" t="str">
        <f t="shared" si="182"/>
        <v/>
      </c>
      <c r="L1433" s="1376"/>
      <c r="M1433" s="1376"/>
      <c r="N1433" s="1376"/>
      <c r="R1433" s="1376" t="s">
        <v>397</v>
      </c>
      <c r="T1433" s="1376" t="str">
        <f t="shared" ref="T1433" si="186">IF(Q$930="Yes",M931,"")</f>
        <v/>
      </c>
    </row>
    <row r="1434" spans="1:20" s="1370" customFormat="1" x14ac:dyDescent="0.25">
      <c r="A1434" s="1398" t="s">
        <v>1484</v>
      </c>
      <c r="B1434" s="1027" t="str">
        <f>IFERROR(_xlfn.CONCAT("D",('Configurable Tab'!$C$12+4)),"")</f>
        <v>D130</v>
      </c>
      <c r="C1434" s="1027" t="str">
        <f>IFERROR(_xlfn.CONCAT("E",('Configurable Tab'!$C$12+4)),"")</f>
        <v>E130</v>
      </c>
      <c r="D1434" s="694" t="s">
        <v>1448</v>
      </c>
      <c r="E1434" s="1030" t="s">
        <v>1893</v>
      </c>
      <c r="F1434" s="1376"/>
      <c r="G1434" s="1376"/>
      <c r="H1434" s="1376"/>
      <c r="I1434" s="1026" t="str">
        <f t="shared" si="181"/>
        <v/>
      </c>
      <c r="J1434" s="1376" t="str">
        <f t="shared" si="183"/>
        <v/>
      </c>
      <c r="K1434" s="1376" t="str">
        <f t="shared" si="182"/>
        <v/>
      </c>
      <c r="L1434" s="1376"/>
      <c r="M1434" s="1376"/>
      <c r="N1434" s="1376"/>
      <c r="R1434" s="1376" t="s">
        <v>397</v>
      </c>
      <c r="T1434" s="1376" t="str">
        <f>IF(Q$930="Yes",M939,"")</f>
        <v/>
      </c>
    </row>
    <row r="1435" spans="1:20" s="1370" customFormat="1" x14ac:dyDescent="0.25">
      <c r="A1435" s="1399" t="s">
        <v>1485</v>
      </c>
      <c r="B1435" s="1027" t="str">
        <f>IFERROR(_xlfn.CONCAT("D",('Configurable Tab'!$C$12+5)),"")</f>
        <v>D131</v>
      </c>
      <c r="C1435" s="1027" t="str">
        <f>IFERROR(_xlfn.CONCAT("E",('Configurable Tab'!$C$12+5)),"")</f>
        <v>E131</v>
      </c>
      <c r="D1435" s="694" t="s">
        <v>1448</v>
      </c>
      <c r="E1435" s="1030" t="s">
        <v>1893</v>
      </c>
      <c r="F1435" s="1376"/>
      <c r="G1435" s="1376"/>
      <c r="H1435" s="1376"/>
      <c r="I1435" s="1026" t="str">
        <f t="shared" si="181"/>
        <v/>
      </c>
      <c r="J1435" s="1376" t="str">
        <f t="shared" si="183"/>
        <v/>
      </c>
      <c r="K1435" s="1376" t="str">
        <f t="shared" si="182"/>
        <v/>
      </c>
      <c r="L1435" s="1376"/>
      <c r="M1435" s="1376"/>
      <c r="N1435" s="1376"/>
      <c r="R1435" s="1376" t="s">
        <v>397</v>
      </c>
      <c r="T1435" s="1376" t="str">
        <f>IF(Q$930="Yes",M940,"")</f>
        <v/>
      </c>
    </row>
    <row r="1436" spans="1:20" s="1370" customFormat="1" x14ac:dyDescent="0.25">
      <c r="A1436" s="1398" t="s">
        <v>1479</v>
      </c>
      <c r="B1436" s="1027" t="str">
        <f>IFERROR(_xlfn.CONCAT("G",('Configurable Tab'!$C$12+1)),"")</f>
        <v>G127</v>
      </c>
      <c r="C1436" s="1027" t="str">
        <f>IFERROR(_xlfn.CONCAT("G",('Configurable Tab'!$C$12+2)),"")</f>
        <v>G128</v>
      </c>
      <c r="D1436" s="694" t="s">
        <v>1448</v>
      </c>
      <c r="E1436" s="1030" t="s">
        <v>1893</v>
      </c>
      <c r="F1436" s="1376"/>
      <c r="G1436" s="1376"/>
      <c r="H1436" s="1376"/>
      <c r="I1436" s="1026" t="str">
        <f t="shared" si="181"/>
        <v/>
      </c>
      <c r="J1436" s="1376" t="str">
        <f t="shared" si="183"/>
        <v/>
      </c>
      <c r="K1436" s="1376" t="str">
        <f t="shared" si="182"/>
        <v/>
      </c>
      <c r="L1436" s="1376"/>
      <c r="M1436" s="1376"/>
      <c r="N1436" s="1376"/>
      <c r="R1436" s="1376" t="s">
        <v>397</v>
      </c>
      <c r="T1436" s="1376" t="str">
        <f>IF(Q$930="Yes",M932,"")</f>
        <v/>
      </c>
    </row>
    <row r="1437" spans="1:20" s="1370" customFormat="1" x14ac:dyDescent="0.25">
      <c r="A1437" s="1398" t="s">
        <v>1480</v>
      </c>
      <c r="B1437" s="1027" t="str">
        <f>IFERROR(_xlfn.CONCAT("I",('Configurable Tab'!$C$12+1)),"")</f>
        <v>I127</v>
      </c>
      <c r="C1437" s="1027" t="str">
        <f>IFERROR(_xlfn.CONCAT("I",('Configurable Tab'!$C$12+2)),"")</f>
        <v>I128</v>
      </c>
      <c r="D1437" s="694" t="s">
        <v>1448</v>
      </c>
      <c r="E1437" s="1030" t="s">
        <v>1893</v>
      </c>
      <c r="F1437" s="1376"/>
      <c r="G1437" s="1376"/>
      <c r="H1437" s="1376"/>
      <c r="I1437" s="1026" t="str">
        <f t="shared" si="181"/>
        <v/>
      </c>
      <c r="J1437" s="1376" t="str">
        <f t="shared" si="183"/>
        <v/>
      </c>
      <c r="K1437" s="1376" t="str">
        <f t="shared" si="182"/>
        <v/>
      </c>
      <c r="L1437" s="1376"/>
      <c r="M1437" s="1376"/>
      <c r="N1437" s="1376"/>
      <c r="R1437" s="1376" t="s">
        <v>397</v>
      </c>
      <c r="T1437" s="1376" t="str">
        <f t="shared" ref="T1437:T1439" si="187">IF(Q$930="Yes",M933,"")</f>
        <v/>
      </c>
    </row>
    <row r="1438" spans="1:20" s="1370" customFormat="1" x14ac:dyDescent="0.25">
      <c r="A1438" s="1398" t="s">
        <v>871</v>
      </c>
      <c r="B1438" s="1027" t="str">
        <f>IFERROR(_xlfn.CONCAT("K",('Configurable Tab'!$C$12+1)),"")</f>
        <v>K127</v>
      </c>
      <c r="C1438" s="1027" t="str">
        <f>IFERROR(_xlfn.CONCAT("K",('Configurable Tab'!$C$12+2)),"")</f>
        <v>K128</v>
      </c>
      <c r="D1438" s="694" t="s">
        <v>1448</v>
      </c>
      <c r="E1438" s="1030" t="s">
        <v>1893</v>
      </c>
      <c r="F1438" s="1376"/>
      <c r="G1438" s="1376"/>
      <c r="H1438" s="1376"/>
      <c r="I1438" s="1026" t="str">
        <f t="shared" si="181"/>
        <v/>
      </c>
      <c r="J1438" s="1376" t="str">
        <f t="shared" si="183"/>
        <v/>
      </c>
      <c r="K1438" s="1376" t="str">
        <f t="shared" si="182"/>
        <v/>
      </c>
      <c r="L1438" s="1376"/>
      <c r="M1438" s="1376"/>
      <c r="N1438" s="1376"/>
      <c r="R1438" s="1376" t="s">
        <v>397</v>
      </c>
      <c r="T1438" s="1376" t="str">
        <f t="shared" si="187"/>
        <v/>
      </c>
    </row>
    <row r="1439" spans="1:20" s="1370" customFormat="1" x14ac:dyDescent="0.25">
      <c r="A1439" s="1398" t="s">
        <v>1481</v>
      </c>
      <c r="B1439" s="1027" t="str">
        <f>IFERROR(_xlfn.CONCAT("M",('Configurable Tab'!$C$12+1)),"")</f>
        <v>M127</v>
      </c>
      <c r="C1439" s="1027" t="str">
        <f>IFERROR(_xlfn.CONCAT("M",('Configurable Tab'!$C$12+2)),"")</f>
        <v>M128</v>
      </c>
      <c r="D1439" s="694" t="s">
        <v>1448</v>
      </c>
      <c r="E1439" s="1030" t="s">
        <v>1893</v>
      </c>
      <c r="F1439" s="1376"/>
      <c r="G1439" s="1376"/>
      <c r="H1439" s="1376"/>
      <c r="I1439" s="1026" t="str">
        <f t="shared" si="181"/>
        <v/>
      </c>
      <c r="J1439" s="1376" t="str">
        <f t="shared" si="183"/>
        <v/>
      </c>
      <c r="K1439" s="1376" t="str">
        <f t="shared" si="182"/>
        <v/>
      </c>
      <c r="L1439" s="1376"/>
      <c r="M1439" s="1376"/>
      <c r="N1439" s="1376"/>
      <c r="R1439" s="1376" t="s">
        <v>397</v>
      </c>
      <c r="T1439" s="1376" t="str">
        <f t="shared" si="187"/>
        <v/>
      </c>
    </row>
    <row r="1440" spans="1:20" s="1370" customFormat="1" x14ac:dyDescent="0.25">
      <c r="A1440" s="1398" t="s">
        <v>1486</v>
      </c>
      <c r="B1440" s="1027" t="str">
        <f>IFERROR(_xlfn.CONCAT("G",('Configurable Tab'!$C$12+4)),"")</f>
        <v>G130</v>
      </c>
      <c r="C1440" s="1027" t="str">
        <f>IFERROR(_xlfn.CONCAT("G",('Configurable Tab'!$C$12+5)),"")</f>
        <v>G131</v>
      </c>
      <c r="D1440" s="694" t="s">
        <v>1448</v>
      </c>
      <c r="E1440" s="1030" t="s">
        <v>1893</v>
      </c>
      <c r="F1440" s="1376"/>
      <c r="G1440" s="1376"/>
      <c r="H1440" s="1376"/>
      <c r="I1440" s="1026" t="str">
        <f t="shared" si="181"/>
        <v/>
      </c>
      <c r="J1440" s="1376" t="str">
        <f t="shared" si="183"/>
        <v/>
      </c>
      <c r="K1440" s="1376" t="str">
        <f t="shared" si="182"/>
        <v/>
      </c>
      <c r="L1440" s="1376"/>
      <c r="M1440" s="1376"/>
      <c r="N1440" s="1376"/>
      <c r="R1440" s="1376" t="s">
        <v>397</v>
      </c>
      <c r="T1440" s="1376" t="str">
        <f>IF(Q$930="Yes",M944,"")</f>
        <v/>
      </c>
    </row>
    <row r="1441" spans="1:20" s="1370" customFormat="1" x14ac:dyDescent="0.25">
      <c r="A1441" s="1398" t="s">
        <v>1488</v>
      </c>
      <c r="B1441" s="1026" t="str">
        <f>IFERROR(_xlfn.CONCAT("K",('Configurable Tab'!$C$12+4)),"")</f>
        <v>K130</v>
      </c>
      <c r="C1441" s="1026" t="str">
        <f>IFERROR(_xlfn.CONCAT("K",('Configurable Tab'!$C$12+5)),"")</f>
        <v>K131</v>
      </c>
      <c r="D1441" s="1376" t="s">
        <v>1448</v>
      </c>
      <c r="E1441" s="1029" t="s">
        <v>1893</v>
      </c>
      <c r="F1441" s="1376"/>
      <c r="G1441" s="1376"/>
      <c r="H1441" s="1376"/>
      <c r="I1441" s="1026" t="str">
        <f t="shared" si="181"/>
        <v/>
      </c>
      <c r="J1441" s="1376" t="str">
        <f t="shared" si="183"/>
        <v/>
      </c>
      <c r="K1441" s="1376" t="str">
        <f t="shared" si="182"/>
        <v/>
      </c>
      <c r="L1441" s="1376"/>
      <c r="M1441" s="1376"/>
      <c r="N1441" s="1376"/>
      <c r="R1441" s="1376" t="s">
        <v>397</v>
      </c>
      <c r="T1441" s="1376" t="str">
        <f>IF(Q$930="Yes",M946,"")</f>
        <v/>
      </c>
    </row>
    <row r="1442" spans="1:20" s="1370" customFormat="1" x14ac:dyDescent="0.25">
      <c r="A1442" s="1400" t="s">
        <v>528</v>
      </c>
      <c r="B1442" s="1027" t="str">
        <f>IFERROR(_xlfn.CONCAT("D",('Configurable Tab'!$C$13+1)),"")</f>
        <v>D135</v>
      </c>
      <c r="C1442" s="1027" t="str">
        <f>IFERROR(_xlfn.CONCAT("E",('Configurable Tab'!$C$13+1)),"")</f>
        <v>E135</v>
      </c>
      <c r="D1442" s="694" t="s">
        <v>1448</v>
      </c>
      <c r="E1442" s="1030" t="s">
        <v>1893</v>
      </c>
      <c r="F1442" s="1376"/>
      <c r="G1442" s="1376"/>
      <c r="H1442" s="1376"/>
      <c r="I1442" s="1026" t="str">
        <f t="shared" si="181"/>
        <v/>
      </c>
      <c r="J1442" s="1376" t="str">
        <f t="shared" si="183"/>
        <v/>
      </c>
      <c r="K1442" s="1376" t="str">
        <f t="shared" si="182"/>
        <v/>
      </c>
      <c r="L1442" s="1376"/>
      <c r="M1442" s="1376"/>
      <c r="N1442" s="1376"/>
      <c r="O1442" s="1370" t="s">
        <v>1909</v>
      </c>
      <c r="R1442" s="1376" t="s">
        <v>397</v>
      </c>
      <c r="T1442" s="1376" t="str">
        <f>IF(Q$949="Yes",M949,"")</f>
        <v/>
      </c>
    </row>
    <row r="1443" spans="1:20" s="1370" customFormat="1" x14ac:dyDescent="0.25">
      <c r="A1443" s="1401" t="s">
        <v>1482</v>
      </c>
      <c r="B1443" s="1027" t="str">
        <f>IFERROR(_xlfn.CONCAT("D",('Configurable Tab'!$C$13+2)),"")</f>
        <v>D136</v>
      </c>
      <c r="C1443" s="1027" t="str">
        <f>IFERROR(_xlfn.CONCAT("E",('Configurable Tab'!$C$13+2)),"")</f>
        <v>E136</v>
      </c>
      <c r="D1443" s="694" t="s">
        <v>1448</v>
      </c>
      <c r="E1443" s="1030" t="s">
        <v>1893</v>
      </c>
      <c r="F1443" s="1376"/>
      <c r="G1443" s="1376"/>
      <c r="H1443" s="1376"/>
      <c r="I1443" s="1026" t="str">
        <f t="shared" si="181"/>
        <v/>
      </c>
      <c r="J1443" s="1376" t="str">
        <f t="shared" si="183"/>
        <v/>
      </c>
      <c r="K1443" s="1376" t="str">
        <f t="shared" si="182"/>
        <v/>
      </c>
      <c r="L1443" s="1376"/>
      <c r="M1443" s="1376"/>
      <c r="N1443" s="1376"/>
      <c r="R1443" s="1376" t="s">
        <v>397</v>
      </c>
      <c r="T1443" s="1376" t="str">
        <f t="shared" ref="T1443" si="188">IF(Q$949="Yes",M950,"")</f>
        <v/>
      </c>
    </row>
    <row r="1444" spans="1:20" s="1370" customFormat="1" x14ac:dyDescent="0.25">
      <c r="A1444" s="1401" t="s">
        <v>1484</v>
      </c>
      <c r="B1444" s="1027" t="str">
        <f>IFERROR(_xlfn.CONCAT("D",('Configurable Tab'!$C$13+4)),"")</f>
        <v>D138</v>
      </c>
      <c r="C1444" s="1027" t="str">
        <f>IFERROR(_xlfn.CONCAT("E",('Configurable Tab'!$C$13+4)),"")</f>
        <v>E138</v>
      </c>
      <c r="D1444" s="694" t="s">
        <v>1448</v>
      </c>
      <c r="E1444" s="1030" t="s">
        <v>1893</v>
      </c>
      <c r="F1444" s="1376"/>
      <c r="G1444" s="1376"/>
      <c r="H1444" s="1376"/>
      <c r="I1444" s="1026" t="str">
        <f t="shared" si="181"/>
        <v/>
      </c>
      <c r="J1444" s="1376" t="str">
        <f t="shared" si="183"/>
        <v/>
      </c>
      <c r="K1444" s="1376" t="str">
        <f t="shared" si="182"/>
        <v/>
      </c>
      <c r="L1444" s="1376"/>
      <c r="M1444" s="1376"/>
      <c r="N1444" s="1376"/>
      <c r="R1444" s="1376" t="s">
        <v>397</v>
      </c>
      <c r="T1444" s="1376" t="str">
        <f>IF(Q$949="Yes",M958,"")</f>
        <v/>
      </c>
    </row>
    <row r="1445" spans="1:20" s="1370" customFormat="1" x14ac:dyDescent="0.25">
      <c r="A1445" s="1402" t="s">
        <v>1485</v>
      </c>
      <c r="B1445" s="1027" t="str">
        <f>IFERROR(_xlfn.CONCAT("D",('Configurable Tab'!$C$13+5)),"")</f>
        <v>D139</v>
      </c>
      <c r="C1445" s="1027" t="str">
        <f>IFERROR(_xlfn.CONCAT("E",('Configurable Tab'!$C$13+5)),"")</f>
        <v>E139</v>
      </c>
      <c r="D1445" s="694" t="s">
        <v>1448</v>
      </c>
      <c r="E1445" s="1030" t="s">
        <v>1893</v>
      </c>
      <c r="F1445" s="1376"/>
      <c r="G1445" s="1376"/>
      <c r="H1445" s="1376"/>
      <c r="I1445" s="1026" t="str">
        <f t="shared" si="181"/>
        <v/>
      </c>
      <c r="J1445" s="1376" t="str">
        <f t="shared" si="183"/>
        <v/>
      </c>
      <c r="K1445" s="1376" t="str">
        <f t="shared" si="182"/>
        <v/>
      </c>
      <c r="L1445" s="1376"/>
      <c r="M1445" s="1376"/>
      <c r="N1445" s="1376"/>
      <c r="R1445" s="1376" t="s">
        <v>397</v>
      </c>
      <c r="T1445" s="1376" t="str">
        <f>IF(Q$949="Yes",M959,"")</f>
        <v/>
      </c>
    </row>
    <row r="1446" spans="1:20" s="1370" customFormat="1" x14ac:dyDescent="0.25">
      <c r="A1446" s="1401" t="s">
        <v>1479</v>
      </c>
      <c r="B1446" s="1027" t="str">
        <f>IFERROR(_xlfn.CONCAT("G",('Configurable Tab'!$C$13+1)),"")</f>
        <v>G135</v>
      </c>
      <c r="C1446" s="1027" t="str">
        <f>IFERROR(_xlfn.CONCAT("G",('Configurable Tab'!$C$13+2)),"")</f>
        <v>G136</v>
      </c>
      <c r="D1446" s="694" t="s">
        <v>1448</v>
      </c>
      <c r="E1446" s="1030" t="s">
        <v>1893</v>
      </c>
      <c r="F1446" s="1376"/>
      <c r="G1446" s="1376"/>
      <c r="H1446" s="1376"/>
      <c r="I1446" s="1026" t="str">
        <f t="shared" si="181"/>
        <v/>
      </c>
      <c r="J1446" s="1376" t="str">
        <f t="shared" si="183"/>
        <v/>
      </c>
      <c r="K1446" s="1376" t="str">
        <f t="shared" si="182"/>
        <v/>
      </c>
      <c r="L1446" s="1376"/>
      <c r="M1446" s="1376"/>
      <c r="N1446" s="1376"/>
      <c r="R1446" s="1376" t="s">
        <v>397</v>
      </c>
      <c r="T1446" s="1376" t="str">
        <f>IF(Q$949="Yes",M951,"")</f>
        <v/>
      </c>
    </row>
    <row r="1447" spans="1:20" s="1370" customFormat="1" x14ac:dyDescent="0.25">
      <c r="A1447" s="1401" t="s">
        <v>1480</v>
      </c>
      <c r="B1447" s="1027" t="str">
        <f>IFERROR(_xlfn.CONCAT("I",('Configurable Tab'!$C$13+1)),"")</f>
        <v>I135</v>
      </c>
      <c r="C1447" s="1027" t="str">
        <f>IFERROR(_xlfn.CONCAT("I",('Configurable Tab'!$C$13+2)),"")</f>
        <v>I136</v>
      </c>
      <c r="D1447" s="694" t="s">
        <v>1448</v>
      </c>
      <c r="E1447" s="1030" t="s">
        <v>1893</v>
      </c>
      <c r="F1447" s="1376"/>
      <c r="G1447" s="1376"/>
      <c r="H1447" s="1376"/>
      <c r="I1447" s="1026" t="str">
        <f t="shared" si="181"/>
        <v/>
      </c>
      <c r="J1447" s="1376" t="str">
        <f t="shared" si="183"/>
        <v/>
      </c>
      <c r="K1447" s="1376" t="str">
        <f t="shared" si="182"/>
        <v/>
      </c>
      <c r="L1447" s="1376"/>
      <c r="M1447" s="1376"/>
      <c r="N1447" s="1376"/>
      <c r="R1447" s="1376" t="s">
        <v>397</v>
      </c>
      <c r="T1447" s="1376" t="str">
        <f t="shared" ref="T1447:T1449" si="189">IF(Q$949="Yes",M952,"")</f>
        <v/>
      </c>
    </row>
    <row r="1448" spans="1:20" s="1370" customFormat="1" x14ac:dyDescent="0.25">
      <c r="A1448" s="1401" t="s">
        <v>871</v>
      </c>
      <c r="B1448" s="1027" t="str">
        <f>IFERROR(_xlfn.CONCAT("K",('Configurable Tab'!$C$13+1)),"")</f>
        <v>K135</v>
      </c>
      <c r="C1448" s="1027" t="str">
        <f>IFERROR(_xlfn.CONCAT("K",('Configurable Tab'!$C$13+2)),"")</f>
        <v>K136</v>
      </c>
      <c r="D1448" s="694" t="s">
        <v>1448</v>
      </c>
      <c r="E1448" s="1030" t="s">
        <v>1893</v>
      </c>
      <c r="F1448" s="1376"/>
      <c r="G1448" s="1376"/>
      <c r="H1448" s="1376"/>
      <c r="I1448" s="1026" t="str">
        <f t="shared" si="181"/>
        <v/>
      </c>
      <c r="J1448" s="1376" t="str">
        <f t="shared" si="183"/>
        <v/>
      </c>
      <c r="K1448" s="1376" t="str">
        <f t="shared" si="182"/>
        <v/>
      </c>
      <c r="L1448" s="1376"/>
      <c r="M1448" s="1376"/>
      <c r="N1448" s="1376"/>
      <c r="R1448" s="1376" t="s">
        <v>397</v>
      </c>
      <c r="T1448" s="1376" t="str">
        <f t="shared" si="189"/>
        <v/>
      </c>
    </row>
    <row r="1449" spans="1:20" s="1370" customFormat="1" x14ac:dyDescent="0.25">
      <c r="A1449" s="1401" t="s">
        <v>1481</v>
      </c>
      <c r="B1449" s="1027" t="str">
        <f>IFERROR(_xlfn.CONCAT("M",('Configurable Tab'!$C$13+1)),"")</f>
        <v>M135</v>
      </c>
      <c r="C1449" s="1027" t="str">
        <f>IFERROR(_xlfn.CONCAT("M",('Configurable Tab'!$C$13+2)),"")</f>
        <v>M136</v>
      </c>
      <c r="D1449" s="694" t="s">
        <v>1448</v>
      </c>
      <c r="E1449" s="1030" t="s">
        <v>1893</v>
      </c>
      <c r="F1449" s="1376"/>
      <c r="G1449" s="1376"/>
      <c r="H1449" s="1376"/>
      <c r="I1449" s="1026" t="str">
        <f t="shared" si="181"/>
        <v/>
      </c>
      <c r="J1449" s="1376" t="str">
        <f t="shared" si="183"/>
        <v/>
      </c>
      <c r="K1449" s="1376" t="str">
        <f t="shared" si="182"/>
        <v/>
      </c>
      <c r="L1449" s="1376"/>
      <c r="M1449" s="1376"/>
      <c r="N1449" s="1376"/>
      <c r="R1449" s="1376" t="s">
        <v>397</v>
      </c>
      <c r="T1449" s="1376" t="str">
        <f t="shared" si="189"/>
        <v/>
      </c>
    </row>
    <row r="1450" spans="1:20" s="1370" customFormat="1" x14ac:dyDescent="0.25">
      <c r="A1450" s="1401" t="s">
        <v>1486</v>
      </c>
      <c r="B1450" s="1027" t="str">
        <f>IFERROR(_xlfn.CONCAT("G",('Configurable Tab'!$C$13+4)),"")</f>
        <v>G138</v>
      </c>
      <c r="C1450" s="1027" t="str">
        <f>IFERROR(_xlfn.CONCAT("G",('Configurable Tab'!$C$13+5)),"")</f>
        <v>G139</v>
      </c>
      <c r="D1450" s="694" t="s">
        <v>1448</v>
      </c>
      <c r="E1450" s="1030" t="s">
        <v>1893</v>
      </c>
      <c r="F1450" s="1376"/>
      <c r="G1450" s="1376"/>
      <c r="H1450" s="1376"/>
      <c r="I1450" s="1026" t="str">
        <f t="shared" si="181"/>
        <v/>
      </c>
      <c r="J1450" s="1376" t="str">
        <f t="shared" si="183"/>
        <v/>
      </c>
      <c r="K1450" s="1376" t="str">
        <f t="shared" si="182"/>
        <v/>
      </c>
      <c r="L1450" s="1376"/>
      <c r="M1450" s="1376"/>
      <c r="N1450" s="1376"/>
      <c r="R1450" s="1376" t="s">
        <v>397</v>
      </c>
      <c r="T1450" s="1376" t="str">
        <f>IF(Q$949="Yes",M963,"")</f>
        <v/>
      </c>
    </row>
    <row r="1451" spans="1:20" s="1370" customFormat="1" x14ac:dyDescent="0.25">
      <c r="A1451" s="1401" t="s">
        <v>1488</v>
      </c>
      <c r="B1451" s="1026" t="str">
        <f>IFERROR(_xlfn.CONCAT("K",('Configurable Tab'!$C$13+4)),"")</f>
        <v>K138</v>
      </c>
      <c r="C1451" s="1026" t="str">
        <f>IFERROR(_xlfn.CONCAT("K",('Configurable Tab'!$C$13+5)),"")</f>
        <v>K139</v>
      </c>
      <c r="D1451" s="1376" t="s">
        <v>1448</v>
      </c>
      <c r="E1451" s="1029" t="s">
        <v>1893</v>
      </c>
      <c r="F1451" s="1376"/>
      <c r="G1451" s="1376"/>
      <c r="H1451" s="1376"/>
      <c r="I1451" s="1026" t="str">
        <f t="shared" si="181"/>
        <v/>
      </c>
      <c r="J1451" s="1376" t="str">
        <f t="shared" si="183"/>
        <v/>
      </c>
      <c r="K1451" s="1376" t="str">
        <f t="shared" si="182"/>
        <v/>
      </c>
      <c r="L1451" s="1376"/>
      <c r="M1451" s="1376"/>
      <c r="N1451" s="1376"/>
      <c r="R1451" s="1376" t="s">
        <v>397</v>
      </c>
      <c r="T1451" s="1376" t="str">
        <f>IF(Q$949="Yes",M965,"")</f>
        <v/>
      </c>
    </row>
    <row r="1452" spans="1:20" s="1370" customFormat="1" x14ac:dyDescent="0.25">
      <c r="A1452" s="1302" t="s">
        <v>528</v>
      </c>
      <c r="B1452" s="1027" t="str">
        <f>IFERROR(_xlfn.CONCAT("D",('Configurable Tab'!$C$14+1)),"")</f>
        <v>D143</v>
      </c>
      <c r="C1452" s="1027" t="str">
        <f>IFERROR(_xlfn.CONCAT("E",('Configurable Tab'!$C$14+1)),"")</f>
        <v>E143</v>
      </c>
      <c r="D1452" s="694" t="s">
        <v>1448</v>
      </c>
      <c r="E1452" s="1030" t="s">
        <v>1893</v>
      </c>
      <c r="F1452" s="1376"/>
      <c r="G1452" s="1376"/>
      <c r="H1452" s="1376"/>
      <c r="I1452" s="1026" t="str">
        <f t="shared" si="181"/>
        <v/>
      </c>
      <c r="J1452" s="1376" t="str">
        <f t="shared" si="183"/>
        <v/>
      </c>
      <c r="K1452" s="1376" t="str">
        <f t="shared" si="182"/>
        <v/>
      </c>
      <c r="L1452" s="1376"/>
      <c r="M1452" s="1376"/>
      <c r="N1452" s="1376"/>
      <c r="O1452" s="1370" t="s">
        <v>1910</v>
      </c>
      <c r="R1452" s="1376" t="s">
        <v>397</v>
      </c>
      <c r="T1452" s="1376" t="str">
        <f>IF(Q$968="Yes",M968,"")</f>
        <v/>
      </c>
    </row>
    <row r="1453" spans="1:20" s="1370" customFormat="1" x14ac:dyDescent="0.25">
      <c r="A1453" s="1398" t="s">
        <v>1482</v>
      </c>
      <c r="B1453" s="1027" t="str">
        <f>IFERROR(_xlfn.CONCAT("D",('Configurable Tab'!$C$14+2)),"")</f>
        <v>D144</v>
      </c>
      <c r="C1453" s="1027" t="str">
        <f>IFERROR(_xlfn.CONCAT("E",('Configurable Tab'!$C$14+2)),"")</f>
        <v>E144</v>
      </c>
      <c r="D1453" s="694" t="s">
        <v>1448</v>
      </c>
      <c r="E1453" s="1030" t="s">
        <v>1893</v>
      </c>
      <c r="F1453" s="1376"/>
      <c r="G1453" s="1376"/>
      <c r="H1453" s="1376"/>
      <c r="I1453" s="1026" t="str">
        <f t="shared" si="181"/>
        <v/>
      </c>
      <c r="J1453" s="1376" t="str">
        <f t="shared" si="183"/>
        <v/>
      </c>
      <c r="K1453" s="1376" t="str">
        <f t="shared" si="182"/>
        <v/>
      </c>
      <c r="L1453" s="1376"/>
      <c r="M1453" s="1376"/>
      <c r="N1453" s="1376"/>
      <c r="R1453" s="1376" t="s">
        <v>397</v>
      </c>
      <c r="T1453" s="1376" t="str">
        <f t="shared" ref="T1453" si="190">IF(Q$968="Yes",M969,"")</f>
        <v/>
      </c>
    </row>
    <row r="1454" spans="1:20" s="1370" customFormat="1" x14ac:dyDescent="0.25">
      <c r="A1454" s="1398" t="s">
        <v>1484</v>
      </c>
      <c r="B1454" s="1027" t="str">
        <f>IFERROR(_xlfn.CONCAT("D",('Configurable Tab'!$C$14+4)),"")</f>
        <v>D146</v>
      </c>
      <c r="C1454" s="1027" t="str">
        <f>IFERROR(_xlfn.CONCAT("E",('Configurable Tab'!$C$14+4)),"")</f>
        <v>E146</v>
      </c>
      <c r="D1454" s="694" t="s">
        <v>1448</v>
      </c>
      <c r="E1454" s="1030" t="s">
        <v>1893</v>
      </c>
      <c r="F1454" s="1376"/>
      <c r="G1454" s="1376"/>
      <c r="H1454" s="1376"/>
      <c r="I1454" s="1026" t="str">
        <f t="shared" si="181"/>
        <v/>
      </c>
      <c r="J1454" s="1376" t="str">
        <f t="shared" si="183"/>
        <v/>
      </c>
      <c r="K1454" s="1376" t="str">
        <f t="shared" si="182"/>
        <v/>
      </c>
      <c r="L1454" s="1376"/>
      <c r="M1454" s="1376"/>
      <c r="N1454" s="1376"/>
      <c r="R1454" s="1376" t="s">
        <v>397</v>
      </c>
      <c r="T1454" s="1376" t="str">
        <f>IF(Q$968="Yes",M977,"")</f>
        <v/>
      </c>
    </row>
    <row r="1455" spans="1:20" s="1370" customFormat="1" x14ac:dyDescent="0.25">
      <c r="A1455" s="1399" t="s">
        <v>1485</v>
      </c>
      <c r="B1455" s="1027" t="str">
        <f>IFERROR(_xlfn.CONCAT("D",('Configurable Tab'!$C$14+5)),"")</f>
        <v>D147</v>
      </c>
      <c r="C1455" s="1027" t="str">
        <f>IFERROR(_xlfn.CONCAT("E",('Configurable Tab'!$C$14+5)),"")</f>
        <v>E147</v>
      </c>
      <c r="D1455" s="694" t="s">
        <v>1448</v>
      </c>
      <c r="E1455" s="1030" t="s">
        <v>1893</v>
      </c>
      <c r="F1455" s="1376"/>
      <c r="G1455" s="1376"/>
      <c r="H1455" s="1376"/>
      <c r="I1455" s="1026" t="str">
        <f t="shared" si="181"/>
        <v/>
      </c>
      <c r="J1455" s="1376" t="str">
        <f t="shared" si="183"/>
        <v/>
      </c>
      <c r="K1455" s="1376" t="str">
        <f t="shared" si="182"/>
        <v/>
      </c>
      <c r="L1455" s="1376"/>
      <c r="M1455" s="1376"/>
      <c r="N1455" s="1376"/>
      <c r="R1455" s="1376" t="s">
        <v>397</v>
      </c>
      <c r="T1455" s="1376" t="str">
        <f>IF(Q$968="Yes",M978,"")</f>
        <v/>
      </c>
    </row>
    <row r="1456" spans="1:20" s="1370" customFormat="1" x14ac:dyDescent="0.25">
      <c r="A1456" s="1398" t="s">
        <v>1479</v>
      </c>
      <c r="B1456" s="1027" t="str">
        <f>IFERROR(_xlfn.CONCAT("G",('Configurable Tab'!$C$14+1)),"")</f>
        <v>G143</v>
      </c>
      <c r="C1456" s="1027" t="str">
        <f>IFERROR(_xlfn.CONCAT("G",('Configurable Tab'!$C$14+2)),"")</f>
        <v>G144</v>
      </c>
      <c r="D1456" s="694" t="s">
        <v>1448</v>
      </c>
      <c r="E1456" s="1030" t="s">
        <v>1893</v>
      </c>
      <c r="F1456" s="1376"/>
      <c r="G1456" s="1376"/>
      <c r="H1456" s="1376"/>
      <c r="I1456" s="1026" t="str">
        <f t="shared" si="181"/>
        <v/>
      </c>
      <c r="J1456" s="1376" t="str">
        <f t="shared" si="183"/>
        <v/>
      </c>
      <c r="K1456" s="1376" t="str">
        <f t="shared" si="182"/>
        <v/>
      </c>
      <c r="L1456" s="1376"/>
      <c r="M1456" s="1376"/>
      <c r="N1456" s="1376"/>
      <c r="R1456" s="1376" t="s">
        <v>397</v>
      </c>
      <c r="T1456" s="1376" t="str">
        <f>IF(Q$968="Yes",M970,"")</f>
        <v/>
      </c>
    </row>
    <row r="1457" spans="1:22" s="1370" customFormat="1" x14ac:dyDescent="0.25">
      <c r="A1457" s="1398" t="s">
        <v>1480</v>
      </c>
      <c r="B1457" s="1027" t="str">
        <f>IFERROR(_xlfn.CONCAT("I",('Configurable Tab'!$C$14+1)),"")</f>
        <v>I143</v>
      </c>
      <c r="C1457" s="1027" t="str">
        <f>IFERROR(_xlfn.CONCAT("I",('Configurable Tab'!$C$14+2)),"")</f>
        <v>I144</v>
      </c>
      <c r="D1457" s="694" t="s">
        <v>1448</v>
      </c>
      <c r="E1457" s="1030" t="s">
        <v>1893</v>
      </c>
      <c r="F1457" s="1376"/>
      <c r="G1457" s="1376"/>
      <c r="H1457" s="1376"/>
      <c r="I1457" s="1026" t="str">
        <f t="shared" si="181"/>
        <v/>
      </c>
      <c r="J1457" s="1376" t="str">
        <f t="shared" si="183"/>
        <v/>
      </c>
      <c r="K1457" s="1376" t="str">
        <f t="shared" si="182"/>
        <v/>
      </c>
      <c r="L1457" s="1376"/>
      <c r="M1457" s="1376"/>
      <c r="N1457" s="1376"/>
      <c r="R1457" s="1376" t="s">
        <v>397</v>
      </c>
      <c r="T1457" s="1376" t="str">
        <f t="shared" ref="T1457:T1459" si="191">IF(Q$968="Yes",M971,"")</f>
        <v/>
      </c>
    </row>
    <row r="1458" spans="1:22" s="1370" customFormat="1" x14ac:dyDescent="0.25">
      <c r="A1458" s="1398" t="s">
        <v>871</v>
      </c>
      <c r="B1458" s="1027" t="str">
        <f>IFERROR(_xlfn.CONCAT("K",('Configurable Tab'!$C$14+1)),"")</f>
        <v>K143</v>
      </c>
      <c r="C1458" s="1027" t="str">
        <f>IFERROR(_xlfn.CONCAT("K",('Configurable Tab'!$C$14+2)),"")</f>
        <v>K144</v>
      </c>
      <c r="D1458" s="694" t="s">
        <v>1448</v>
      </c>
      <c r="E1458" s="1030" t="s">
        <v>1893</v>
      </c>
      <c r="F1458" s="1376"/>
      <c r="G1458" s="1376"/>
      <c r="H1458" s="1376"/>
      <c r="I1458" s="1026" t="str">
        <f t="shared" si="181"/>
        <v/>
      </c>
      <c r="J1458" s="1376" t="str">
        <f t="shared" si="183"/>
        <v/>
      </c>
      <c r="K1458" s="1376" t="str">
        <f t="shared" si="182"/>
        <v/>
      </c>
      <c r="L1458" s="1376"/>
      <c r="M1458" s="1376"/>
      <c r="N1458" s="1376"/>
      <c r="R1458" s="1376" t="s">
        <v>397</v>
      </c>
      <c r="T1458" s="1376" t="str">
        <f t="shared" si="191"/>
        <v/>
      </c>
    </row>
    <row r="1459" spans="1:22" s="1370" customFormat="1" x14ac:dyDescent="0.25">
      <c r="A1459" s="1398" t="s">
        <v>1481</v>
      </c>
      <c r="B1459" s="1027" t="str">
        <f>IFERROR(_xlfn.CONCAT("M",('Configurable Tab'!$C$14+1)),"")</f>
        <v>M143</v>
      </c>
      <c r="C1459" s="1027" t="str">
        <f>IFERROR(_xlfn.CONCAT("M",('Configurable Tab'!$C$14+2)),"")</f>
        <v>M144</v>
      </c>
      <c r="D1459" s="694" t="s">
        <v>1448</v>
      </c>
      <c r="E1459" s="1030" t="s">
        <v>1893</v>
      </c>
      <c r="F1459" s="1376"/>
      <c r="G1459" s="1376"/>
      <c r="H1459" s="1376"/>
      <c r="I1459" s="1026" t="str">
        <f t="shared" si="181"/>
        <v/>
      </c>
      <c r="J1459" s="1376" t="str">
        <f t="shared" si="183"/>
        <v/>
      </c>
      <c r="K1459" s="1376" t="str">
        <f t="shared" si="182"/>
        <v/>
      </c>
      <c r="L1459" s="1376"/>
      <c r="M1459" s="1376"/>
      <c r="N1459" s="1376"/>
      <c r="R1459" s="1376" t="s">
        <v>397</v>
      </c>
      <c r="T1459" s="1376" t="str">
        <f t="shared" si="191"/>
        <v/>
      </c>
    </row>
    <row r="1460" spans="1:22" s="1370" customFormat="1" x14ac:dyDescent="0.25">
      <c r="A1460" s="1398" t="s">
        <v>1486</v>
      </c>
      <c r="B1460" s="1027" t="str">
        <f>IFERROR(_xlfn.CONCAT("G",('Configurable Tab'!$C$14+4)),"")</f>
        <v>G146</v>
      </c>
      <c r="C1460" s="1027" t="str">
        <f>IFERROR(_xlfn.CONCAT("G",('Configurable Tab'!$C$14+5)),"")</f>
        <v>G147</v>
      </c>
      <c r="D1460" s="694" t="s">
        <v>1448</v>
      </c>
      <c r="E1460" s="1030" t="s">
        <v>1893</v>
      </c>
      <c r="F1460" s="1376"/>
      <c r="G1460" s="1376"/>
      <c r="H1460" s="1376"/>
      <c r="I1460" s="1026" t="str">
        <f t="shared" si="181"/>
        <v/>
      </c>
      <c r="J1460" s="1376" t="str">
        <f t="shared" si="183"/>
        <v/>
      </c>
      <c r="K1460" s="1376" t="str">
        <f t="shared" si="182"/>
        <v/>
      </c>
      <c r="L1460" s="1376"/>
      <c r="M1460" s="1376"/>
      <c r="N1460" s="1376"/>
      <c r="R1460" s="1376" t="s">
        <v>397</v>
      </c>
      <c r="T1460" s="1376" t="str">
        <f>IF(Q$968="Yes",M982,"")</f>
        <v/>
      </c>
    </row>
    <row r="1461" spans="1:22" s="1370" customFormat="1" x14ac:dyDescent="0.25">
      <c r="A1461" s="1398" t="s">
        <v>1488</v>
      </c>
      <c r="B1461" s="1026" t="str">
        <f>IFERROR(_xlfn.CONCAT("K",('Configurable Tab'!$C$14+4)),"")</f>
        <v>K146</v>
      </c>
      <c r="C1461" s="1026" t="str">
        <f>IFERROR(_xlfn.CONCAT("K",('Configurable Tab'!$C$14+5)),"")</f>
        <v>K147</v>
      </c>
      <c r="D1461" s="1376" t="s">
        <v>1448</v>
      </c>
      <c r="E1461" s="1029" t="s">
        <v>1893</v>
      </c>
      <c r="F1461" s="1376"/>
      <c r="G1461" s="1376"/>
      <c r="H1461" s="1376"/>
      <c r="I1461" s="1026" t="str">
        <f t="shared" si="181"/>
        <v/>
      </c>
      <c r="J1461" s="1376" t="str">
        <f t="shared" si="183"/>
        <v/>
      </c>
      <c r="K1461" s="1376" t="str">
        <f t="shared" si="182"/>
        <v/>
      </c>
      <c r="L1461" s="1376"/>
      <c r="M1461" s="1376"/>
      <c r="N1461" s="1376"/>
      <c r="R1461" s="1376" t="s">
        <v>397</v>
      </c>
      <c r="T1461" s="1376" t="str">
        <f>IF(Q$968="Yes",M984,"")</f>
        <v/>
      </c>
    </row>
    <row r="1462" spans="1:22" s="1370" customFormat="1" x14ac:dyDescent="0.25">
      <c r="A1462" s="1386" t="s">
        <v>528</v>
      </c>
      <c r="B1462" s="1027" t="str">
        <f>IFERROR(_xlfn.CONCAT("D",('Configurable Tab'!$C$15+1)),"")</f>
        <v>D151</v>
      </c>
      <c r="C1462" s="1027" t="str">
        <f>IFERROR(_xlfn.CONCAT("E",('Configurable Tab'!$C$15+1)),"")</f>
        <v>E151</v>
      </c>
      <c r="D1462" s="694" t="s">
        <v>1448</v>
      </c>
      <c r="E1462" s="1030" t="s">
        <v>1893</v>
      </c>
      <c r="F1462" s="1376"/>
      <c r="G1462" s="1376"/>
      <c r="H1462" s="1376"/>
      <c r="I1462" s="1026" t="str">
        <f t="shared" si="181"/>
        <v/>
      </c>
      <c r="J1462" s="1376" t="str">
        <f>$Q$1&amp;T1462</f>
        <v/>
      </c>
      <c r="K1462" s="1376" t="str">
        <f t="shared" si="182"/>
        <v/>
      </c>
      <c r="L1462" s="1376"/>
      <c r="M1462" s="1376"/>
      <c r="N1462" s="1376"/>
      <c r="O1462" s="1370" t="s">
        <v>1800</v>
      </c>
      <c r="R1462" s="1376" t="s">
        <v>1800</v>
      </c>
      <c r="T1462" s="1376" t="str">
        <f>IF(Q$987="Yes",M987,"")</f>
        <v/>
      </c>
    </row>
    <row r="1463" spans="1:22" s="1370" customFormat="1" x14ac:dyDescent="0.25">
      <c r="A1463" s="1387" t="s">
        <v>1482</v>
      </c>
      <c r="B1463" s="1027" t="str">
        <f>IFERROR(_xlfn.CONCAT("D",('Configurable Tab'!$C$15+2)),"")</f>
        <v>D152</v>
      </c>
      <c r="C1463" s="1027" t="str">
        <f>IFERROR(_xlfn.CONCAT("E",('Configurable Tab'!$C$15+2)),"")</f>
        <v>E152</v>
      </c>
      <c r="D1463" s="694" t="s">
        <v>1448</v>
      </c>
      <c r="E1463" s="1030" t="s">
        <v>1893</v>
      </c>
      <c r="F1463" s="1376"/>
      <c r="G1463" s="1376"/>
      <c r="H1463" s="1376"/>
      <c r="I1463" s="1026" t="str">
        <f t="shared" si="181"/>
        <v/>
      </c>
      <c r="J1463" s="1376" t="str">
        <f t="shared" ref="J1463:J1471" si="192">$Q$1&amp;T1463</f>
        <v/>
      </c>
      <c r="K1463" s="1376" t="str">
        <f t="shared" si="182"/>
        <v/>
      </c>
      <c r="L1463" s="1376"/>
      <c r="M1463" s="1376"/>
      <c r="N1463" s="1376"/>
      <c r="R1463" s="1376" t="s">
        <v>1800</v>
      </c>
      <c r="T1463" s="1376" t="str">
        <f t="shared" ref="T1463" si="193">IF(Q$987="Yes",M988,"")</f>
        <v/>
      </c>
    </row>
    <row r="1464" spans="1:22" s="1370" customFormat="1" x14ac:dyDescent="0.25">
      <c r="A1464" s="1387" t="s">
        <v>1484</v>
      </c>
      <c r="B1464" s="1027" t="str">
        <f>IFERROR(_xlfn.CONCAT("D",('Configurable Tab'!$C$15+4)),"")</f>
        <v>D154</v>
      </c>
      <c r="C1464" s="1027" t="str">
        <f>IFERROR(_xlfn.CONCAT("E",('Configurable Tab'!$C$15+4)),"")</f>
        <v>E154</v>
      </c>
      <c r="D1464" s="694" t="s">
        <v>1448</v>
      </c>
      <c r="E1464" s="1030" t="s">
        <v>1893</v>
      </c>
      <c r="F1464" s="1376"/>
      <c r="G1464" s="1376"/>
      <c r="H1464" s="1376"/>
      <c r="I1464" s="1026" t="str">
        <f t="shared" si="181"/>
        <v/>
      </c>
      <c r="J1464" s="1376" t="str">
        <f t="shared" si="192"/>
        <v/>
      </c>
      <c r="K1464" s="1376" t="str">
        <f t="shared" si="182"/>
        <v/>
      </c>
      <c r="L1464" s="1376"/>
      <c r="M1464" s="1376"/>
      <c r="N1464" s="1376"/>
      <c r="R1464" s="1376" t="s">
        <v>1800</v>
      </c>
      <c r="T1464" s="1376" t="str">
        <f>IF(Q$987="Yes",M996,"")</f>
        <v/>
      </c>
    </row>
    <row r="1465" spans="1:22" s="1370" customFormat="1" x14ac:dyDescent="0.25">
      <c r="A1465" s="1388" t="s">
        <v>1485</v>
      </c>
      <c r="B1465" s="1027" t="str">
        <f>IFERROR(_xlfn.CONCAT("D",('Configurable Tab'!$C$15+5)),"")</f>
        <v>D155</v>
      </c>
      <c r="C1465" s="1027" t="str">
        <f>IFERROR(_xlfn.CONCAT("E",('Configurable Tab'!$C$15+5)),"")</f>
        <v>E155</v>
      </c>
      <c r="D1465" s="694" t="s">
        <v>1448</v>
      </c>
      <c r="E1465" s="1030" t="s">
        <v>1893</v>
      </c>
      <c r="F1465" s="1376"/>
      <c r="G1465" s="1376"/>
      <c r="H1465" s="1376"/>
      <c r="I1465" s="1026" t="str">
        <f t="shared" si="181"/>
        <v/>
      </c>
      <c r="J1465" s="1376" t="str">
        <f t="shared" si="192"/>
        <v/>
      </c>
      <c r="K1465" s="1376" t="str">
        <f t="shared" si="182"/>
        <v/>
      </c>
      <c r="L1465" s="1376"/>
      <c r="M1465" s="1376"/>
      <c r="N1465" s="1376"/>
      <c r="R1465" s="1376" t="s">
        <v>1800</v>
      </c>
      <c r="T1465" s="1376" t="str">
        <f>IF(Q$987="Yes",M997,"")</f>
        <v/>
      </c>
    </row>
    <row r="1466" spans="1:22" s="1370" customFormat="1" x14ac:dyDescent="0.25">
      <c r="A1466" s="1387" t="s">
        <v>1479</v>
      </c>
      <c r="B1466" s="1027" t="str">
        <f>IFERROR(_xlfn.CONCAT("G",('Configurable Tab'!$C$15+1)),"")</f>
        <v>G151</v>
      </c>
      <c r="C1466" s="1027" t="str">
        <f>IFERROR(_xlfn.CONCAT("G",('Configurable Tab'!$C$15+2)),"")</f>
        <v>G152</v>
      </c>
      <c r="D1466" s="694" t="s">
        <v>1448</v>
      </c>
      <c r="E1466" s="1030" t="s">
        <v>1893</v>
      </c>
      <c r="F1466" s="1376"/>
      <c r="G1466" s="1376"/>
      <c r="H1466" s="1376"/>
      <c r="I1466" s="1026" t="str">
        <f t="shared" si="181"/>
        <v/>
      </c>
      <c r="J1466" s="1376" t="str">
        <f t="shared" si="192"/>
        <v/>
      </c>
      <c r="K1466" s="1376" t="str">
        <f t="shared" si="182"/>
        <v/>
      </c>
      <c r="L1466" s="1376"/>
      <c r="M1466" s="1376"/>
      <c r="N1466" s="1376"/>
      <c r="R1466" s="1376" t="s">
        <v>1800</v>
      </c>
      <c r="T1466" s="1376" t="str">
        <f>IF(Q$987="Yes",M989,"")</f>
        <v/>
      </c>
    </row>
    <row r="1467" spans="1:22" s="1370" customFormat="1" x14ac:dyDescent="0.25">
      <c r="A1467" s="1387" t="s">
        <v>1480</v>
      </c>
      <c r="B1467" s="1027" t="str">
        <f>IFERROR(_xlfn.CONCAT("I",('Configurable Tab'!$C$15+1)),"")</f>
        <v>I151</v>
      </c>
      <c r="C1467" s="1027" t="str">
        <f>IFERROR(_xlfn.CONCAT("I",('Configurable Tab'!$C$15+2)),"")</f>
        <v>I152</v>
      </c>
      <c r="D1467" s="694" t="s">
        <v>1448</v>
      </c>
      <c r="E1467" s="1030" t="s">
        <v>1893</v>
      </c>
      <c r="F1467" s="1376"/>
      <c r="G1467" s="1376"/>
      <c r="H1467" s="1376"/>
      <c r="I1467" s="1026" t="str">
        <f t="shared" si="181"/>
        <v/>
      </c>
      <c r="J1467" s="1376" t="str">
        <f t="shared" si="192"/>
        <v/>
      </c>
      <c r="K1467" s="1376" t="str">
        <f t="shared" si="182"/>
        <v/>
      </c>
      <c r="L1467" s="1376"/>
      <c r="M1467" s="1376"/>
      <c r="N1467" s="1376"/>
      <c r="R1467" s="1376" t="s">
        <v>1800</v>
      </c>
      <c r="T1467" s="1376" t="str">
        <f t="shared" ref="T1467:T1469" si="194">IF(Q$987="Yes",M990,"")</f>
        <v/>
      </c>
    </row>
    <row r="1468" spans="1:22" s="1370" customFormat="1" x14ac:dyDescent="0.25">
      <c r="A1468" s="1387" t="s">
        <v>871</v>
      </c>
      <c r="B1468" s="1027" t="str">
        <f>IFERROR(_xlfn.CONCAT("K",('Configurable Tab'!$C$15+1)),"")</f>
        <v>K151</v>
      </c>
      <c r="C1468" s="1027" t="str">
        <f>IFERROR(_xlfn.CONCAT("K",('Configurable Tab'!$C$15+2)),"")</f>
        <v>K152</v>
      </c>
      <c r="D1468" s="694" t="s">
        <v>1448</v>
      </c>
      <c r="E1468" s="1030" t="s">
        <v>1893</v>
      </c>
      <c r="F1468" s="1376"/>
      <c r="G1468" s="1376"/>
      <c r="H1468" s="1376"/>
      <c r="I1468" s="1026" t="str">
        <f t="shared" si="181"/>
        <v/>
      </c>
      <c r="J1468" s="1376" t="str">
        <f t="shared" si="192"/>
        <v/>
      </c>
      <c r="K1468" s="1376" t="str">
        <f t="shared" si="182"/>
        <v/>
      </c>
      <c r="L1468" s="1376"/>
      <c r="M1468" s="1376"/>
      <c r="N1468" s="1376"/>
      <c r="R1468" s="1376" t="s">
        <v>1800</v>
      </c>
      <c r="T1468" s="1376" t="str">
        <f t="shared" si="194"/>
        <v/>
      </c>
    </row>
    <row r="1469" spans="1:22" s="1370" customFormat="1" x14ac:dyDescent="0.25">
      <c r="A1469" s="1387" t="s">
        <v>1481</v>
      </c>
      <c r="B1469" s="1027" t="str">
        <f>IFERROR(_xlfn.CONCAT("M",('Configurable Tab'!$C$15+1)),"")</f>
        <v>M151</v>
      </c>
      <c r="C1469" s="1027" t="str">
        <f>IFERROR(_xlfn.CONCAT("M",('Configurable Tab'!$C$15+2)),"")</f>
        <v>M152</v>
      </c>
      <c r="D1469" s="694" t="s">
        <v>1448</v>
      </c>
      <c r="E1469" s="1030" t="s">
        <v>1893</v>
      </c>
      <c r="F1469" s="1376"/>
      <c r="G1469" s="1376"/>
      <c r="H1469" s="1376"/>
      <c r="I1469" s="1026" t="str">
        <f t="shared" si="181"/>
        <v/>
      </c>
      <c r="J1469" s="1376" t="str">
        <f t="shared" si="192"/>
        <v/>
      </c>
      <c r="K1469" s="1376" t="str">
        <f t="shared" si="182"/>
        <v/>
      </c>
      <c r="L1469" s="1376"/>
      <c r="M1469" s="1376"/>
      <c r="N1469" s="1376"/>
      <c r="R1469" s="1376" t="s">
        <v>1800</v>
      </c>
      <c r="T1469" s="1376" t="str">
        <f t="shared" si="194"/>
        <v/>
      </c>
    </row>
    <row r="1470" spans="1:22" s="1370" customFormat="1" x14ac:dyDescent="0.25">
      <c r="A1470" s="1387" t="s">
        <v>1486</v>
      </c>
      <c r="B1470" s="1027" t="str">
        <f>IFERROR(_xlfn.CONCAT("G",('Configurable Tab'!$C$15+4)),"")</f>
        <v>G154</v>
      </c>
      <c r="C1470" s="1027" t="str">
        <f>IFERROR(_xlfn.CONCAT("G",('Configurable Tab'!$C$15+5)),"")</f>
        <v>G155</v>
      </c>
      <c r="D1470" s="694" t="s">
        <v>1448</v>
      </c>
      <c r="E1470" s="1030" t="s">
        <v>1893</v>
      </c>
      <c r="F1470" s="1376"/>
      <c r="G1470" s="1376"/>
      <c r="H1470" s="1376"/>
      <c r="I1470" s="1026" t="str">
        <f t="shared" si="181"/>
        <v/>
      </c>
      <c r="J1470" s="1376" t="str">
        <f t="shared" si="192"/>
        <v/>
      </c>
      <c r="K1470" s="1376" t="str">
        <f t="shared" si="182"/>
        <v/>
      </c>
      <c r="L1470" s="1376"/>
      <c r="M1470" s="1376"/>
      <c r="N1470" s="1376"/>
      <c r="R1470" s="1376" t="s">
        <v>1800</v>
      </c>
      <c r="T1470" s="1376" t="str">
        <f>IF(Q$987="Yes",M1001,"")</f>
        <v/>
      </c>
    </row>
    <row r="1471" spans="1:22" s="1370" customFormat="1" x14ac:dyDescent="0.25">
      <c r="A1471" s="1387" t="s">
        <v>1488</v>
      </c>
      <c r="B1471" s="1026" t="str">
        <f>IFERROR(_xlfn.CONCAT("K",('Configurable Tab'!$C$15+4)),"")</f>
        <v>K154</v>
      </c>
      <c r="C1471" s="1026" t="str">
        <f>IFERROR(_xlfn.CONCAT("K",('Configurable Tab'!$C$15+5)),"")</f>
        <v>K155</v>
      </c>
      <c r="D1471" s="1376" t="s">
        <v>1448</v>
      </c>
      <c r="E1471" s="1029" t="s">
        <v>1893</v>
      </c>
      <c r="F1471" s="1376"/>
      <c r="G1471" s="1376"/>
      <c r="H1471" s="1376"/>
      <c r="I1471" s="1026" t="str">
        <f t="shared" si="181"/>
        <v/>
      </c>
      <c r="J1471" s="1376" t="str">
        <f t="shared" si="192"/>
        <v/>
      </c>
      <c r="K1471" s="1376" t="str">
        <f t="shared" si="182"/>
        <v/>
      </c>
      <c r="L1471" s="1376"/>
      <c r="M1471" s="1376"/>
      <c r="N1471" s="1376"/>
      <c r="R1471" s="1376" t="s">
        <v>1800</v>
      </c>
      <c r="T1471" s="1376" t="str">
        <f>IF(Q$987="Yes",M1003,"")</f>
        <v/>
      </c>
    </row>
    <row r="1472" spans="1:22" s="1370" customFormat="1" x14ac:dyDescent="0.25">
      <c r="A1472" s="1118" t="s">
        <v>528</v>
      </c>
      <c r="B1472" s="1027" t="str">
        <f>IFERROR(_xlfn.CONCAT("D",('Configurable Tab'!$C$16+1)),"")</f>
        <v>D159</v>
      </c>
      <c r="C1472" s="1027" t="str">
        <f>IFERROR(_xlfn.CONCAT("E",('Configurable Tab'!$C$16+1)),"")</f>
        <v>E159</v>
      </c>
      <c r="D1472" s="694" t="s">
        <v>1448</v>
      </c>
      <c r="E1472" s="1030" t="s">
        <v>1893</v>
      </c>
      <c r="F1472" s="1376"/>
      <c r="G1472" s="1376"/>
      <c r="H1472" s="1376"/>
      <c r="I1472" s="1026" t="str">
        <f t="shared" si="181"/>
        <v/>
      </c>
      <c r="J1472" s="1376" t="str">
        <f>$Q$1&amp;IF(T$1472&lt;&gt;0,U1472,IF(T$1479&lt;&gt;0,U1479,""))</f>
        <v/>
      </c>
      <c r="K1472" s="1376" t="str">
        <f t="shared" si="182"/>
        <v/>
      </c>
      <c r="L1472" s="1376"/>
      <c r="M1472" s="1376"/>
      <c r="N1472" s="1376"/>
      <c r="O1472" s="1370" t="s">
        <v>1911</v>
      </c>
      <c r="R1472" s="1376" t="s">
        <v>484</v>
      </c>
      <c r="S1472" s="1376" t="s">
        <v>1911</v>
      </c>
      <c r="T1472" s="1376">
        <f>IF(Q1005="Yes",IF(Q1016="Yes",2,1),0)</f>
        <v>0</v>
      </c>
      <c r="U1472" s="1376" t="str">
        <f>IF(Q$1005="Yes",M1005,"")</f>
        <v/>
      </c>
      <c r="V1472" s="1376" t="str">
        <f>IF(Q$1016="Yes",M1016,"")</f>
        <v/>
      </c>
    </row>
    <row r="1473" spans="1:22" s="1370" customFormat="1" x14ac:dyDescent="0.25">
      <c r="A1473" s="1112" t="s">
        <v>1482</v>
      </c>
      <c r="B1473" s="1027" t="str">
        <f>IFERROR(_xlfn.CONCAT("D",('Configurable Tab'!$C$16+2)),"")</f>
        <v>D160</v>
      </c>
      <c r="C1473" s="1027" t="str">
        <f>IFERROR(_xlfn.CONCAT("E",('Configurable Tab'!$C$16+2)),"")</f>
        <v>E160</v>
      </c>
      <c r="D1473" s="694" t="s">
        <v>1448</v>
      </c>
      <c r="E1473" s="1030" t="s">
        <v>1893</v>
      </c>
      <c r="F1473" s="1376"/>
      <c r="G1473" s="1376"/>
      <c r="H1473" s="1376"/>
      <c r="I1473" s="1026" t="str">
        <f t="shared" si="181"/>
        <v/>
      </c>
      <c r="J1473" s="1376" t="str">
        <f t="shared" ref="J1473:J1478" si="195">$Q$1&amp;IF(T$1472&lt;&gt;0,U1473,IF(T$1479&lt;&gt;0,U1480,""))</f>
        <v/>
      </c>
      <c r="K1473" s="1376" t="str">
        <f t="shared" si="182"/>
        <v/>
      </c>
      <c r="L1473" s="1376"/>
      <c r="M1473" s="1376"/>
      <c r="N1473" s="1376"/>
      <c r="R1473" s="1376" t="s">
        <v>484</v>
      </c>
      <c r="S1473" s="1376" t="s">
        <v>1911</v>
      </c>
      <c r="U1473" s="1376" t="str">
        <f t="shared" ref="U1473" si="196">IF(Q$1005="Yes",M1006,"")</f>
        <v/>
      </c>
      <c r="V1473" s="1376" t="str">
        <f>IF(Q$1016="Yes",M1017,"")</f>
        <v/>
      </c>
    </row>
    <row r="1474" spans="1:22" s="1370" customFormat="1" x14ac:dyDescent="0.25">
      <c r="A1474" s="1112" t="s">
        <v>1484</v>
      </c>
      <c r="B1474" s="1027" t="str">
        <f>IFERROR(_xlfn.CONCAT("D",('Configurable Tab'!$C$16+4)),"")</f>
        <v>D162</v>
      </c>
      <c r="C1474" s="1027" t="str">
        <f>IFERROR(_xlfn.CONCAT("E",('Configurable Tab'!$C$16+4)),"")</f>
        <v>E162</v>
      </c>
      <c r="D1474" s="694" t="s">
        <v>1448</v>
      </c>
      <c r="E1474" s="1030" t="s">
        <v>1893</v>
      </c>
      <c r="F1474" s="1376"/>
      <c r="G1474" s="1376"/>
      <c r="H1474" s="1376"/>
      <c r="I1474" s="1026" t="str">
        <f t="shared" si="181"/>
        <v/>
      </c>
      <c r="J1474" s="1376" t="str">
        <f t="shared" si="195"/>
        <v/>
      </c>
      <c r="K1474" s="1376" t="str">
        <f t="shared" si="182"/>
        <v/>
      </c>
      <c r="L1474" s="1376"/>
      <c r="M1474" s="1376"/>
      <c r="N1474" s="1376"/>
      <c r="R1474" s="1376" t="s">
        <v>484</v>
      </c>
      <c r="S1474" s="1376" t="s">
        <v>1911</v>
      </c>
      <c r="U1474" s="1376" t="str">
        <f>IF(Q$1005="Yes",M1010,"")</f>
        <v/>
      </c>
      <c r="V1474" s="1376" t="str">
        <f>IF(Q$1016="Yes",M1021,"")</f>
        <v/>
      </c>
    </row>
    <row r="1475" spans="1:22" s="1370" customFormat="1" x14ac:dyDescent="0.25">
      <c r="A1475" s="1385" t="s">
        <v>1485</v>
      </c>
      <c r="B1475" s="1027" t="str">
        <f>IFERROR(_xlfn.CONCAT("D",('Configurable Tab'!$C$16+5)),"")</f>
        <v>D163</v>
      </c>
      <c r="C1475" s="1027" t="str">
        <f>IFERROR(_xlfn.CONCAT("E",('Configurable Tab'!$C$16+5)),"")</f>
        <v>E163</v>
      </c>
      <c r="D1475" s="694" t="s">
        <v>1448</v>
      </c>
      <c r="E1475" s="1030" t="s">
        <v>1893</v>
      </c>
      <c r="F1475" s="1376"/>
      <c r="G1475" s="1376"/>
      <c r="H1475" s="1376"/>
      <c r="I1475" s="1026" t="str">
        <f t="shared" si="181"/>
        <v/>
      </c>
      <c r="J1475" s="1376" t="str">
        <f t="shared" si="195"/>
        <v/>
      </c>
      <c r="K1475" s="1376" t="str">
        <f t="shared" si="182"/>
        <v/>
      </c>
      <c r="L1475" s="1376"/>
      <c r="M1475" s="1376"/>
      <c r="N1475" s="1376"/>
      <c r="R1475" s="1376" t="s">
        <v>484</v>
      </c>
      <c r="S1475" s="1376" t="s">
        <v>1911</v>
      </c>
      <c r="U1475" s="1376" t="str">
        <f>IF(Q$1005="Yes",M1011,"")</f>
        <v/>
      </c>
      <c r="V1475" s="1376" t="str">
        <f>IF(Q$1016="Yes",M1022,"")</f>
        <v/>
      </c>
    </row>
    <row r="1476" spans="1:22" s="1370" customFormat="1" x14ac:dyDescent="0.25">
      <c r="A1476" s="1112" t="s">
        <v>1495</v>
      </c>
      <c r="B1476" s="1027" t="str">
        <f>IFERROR(_xlfn.CONCAT("G",('Configurable Tab'!$C$16+4)),"")</f>
        <v>G162</v>
      </c>
      <c r="C1476" s="1027" t="str">
        <f>IFERROR(_xlfn.CONCAT("G",('Configurable Tab'!$C$16+5)),"")</f>
        <v>G163</v>
      </c>
      <c r="D1476" s="694" t="s">
        <v>1448</v>
      </c>
      <c r="E1476" s="1030" t="s">
        <v>1893</v>
      </c>
      <c r="F1476" s="1376"/>
      <c r="G1476" s="1376"/>
      <c r="H1476" s="1376"/>
      <c r="I1476" s="1026" t="str">
        <f t="shared" ref="I1476:I1539" si="197">IF(J1476&lt;&gt;"",A1476,"")</f>
        <v/>
      </c>
      <c r="J1476" s="1376" t="str">
        <f t="shared" si="195"/>
        <v/>
      </c>
      <c r="K1476" s="1376" t="str">
        <f t="shared" ref="K1476:K1539" si="198">IF(J1476&lt;&gt;"",E1476,"")</f>
        <v/>
      </c>
      <c r="L1476" s="1376"/>
      <c r="M1476" s="1376"/>
      <c r="N1476" s="1376"/>
      <c r="R1476" s="1376" t="s">
        <v>484</v>
      </c>
      <c r="S1476" s="1376" t="s">
        <v>1911</v>
      </c>
      <c r="U1476" s="1376" t="str">
        <f>IF(Q$1005="Yes",M1014,"")</f>
        <v/>
      </c>
      <c r="V1476" s="1376" t="str">
        <f>IF(Q$1016="Yes",M1025,"")</f>
        <v/>
      </c>
    </row>
    <row r="1477" spans="1:22" s="1370" customFormat="1" x14ac:dyDescent="0.25">
      <c r="A1477" s="1112" t="s">
        <v>1480</v>
      </c>
      <c r="B1477" s="1027" t="str">
        <f>IFERROR(_xlfn.CONCAT("I",('Configurable Tab'!$C$16+1)),"")</f>
        <v>I159</v>
      </c>
      <c r="C1477" s="1027" t="str">
        <f>IFERROR(_xlfn.CONCAT("I",('Configurable Tab'!$C$16+2)),"")</f>
        <v>I160</v>
      </c>
      <c r="D1477" s="694" t="s">
        <v>1448</v>
      </c>
      <c r="E1477" s="1030" t="s">
        <v>1893</v>
      </c>
      <c r="F1477" s="1376"/>
      <c r="G1477" s="1376"/>
      <c r="H1477" s="1376"/>
      <c r="I1477" s="1026" t="str">
        <f t="shared" si="197"/>
        <v/>
      </c>
      <c r="J1477" s="1376" t="str">
        <f t="shared" si="195"/>
        <v/>
      </c>
      <c r="K1477" s="1376" t="str">
        <f t="shared" si="198"/>
        <v/>
      </c>
      <c r="L1477" s="1376"/>
      <c r="M1477" s="1376"/>
      <c r="N1477" s="1376"/>
      <c r="R1477" s="1376" t="s">
        <v>484</v>
      </c>
      <c r="S1477" s="1376" t="s">
        <v>1911</v>
      </c>
      <c r="U1477" s="1376" t="str">
        <f>IF(Q$1005="Yes",M1007,"")</f>
        <v/>
      </c>
      <c r="V1477" s="1376" t="str">
        <f>IF(Q$1016="Yes",M1018,"")</f>
        <v/>
      </c>
    </row>
    <row r="1478" spans="1:22" s="1370" customFormat="1" x14ac:dyDescent="0.25">
      <c r="A1478" s="1112" t="s">
        <v>1481</v>
      </c>
      <c r="B1478" s="1026" t="str">
        <f>IFERROR(_xlfn.CONCAT("M",('Configurable Tab'!$C$16+1)),"")</f>
        <v>M159</v>
      </c>
      <c r="C1478" s="1026" t="str">
        <f>IFERROR(_xlfn.CONCAT("M",('Configurable Tab'!$C$16+2)),"")</f>
        <v>M160</v>
      </c>
      <c r="D1478" s="1376" t="s">
        <v>1448</v>
      </c>
      <c r="E1478" s="1029" t="s">
        <v>1893</v>
      </c>
      <c r="F1478" s="1376"/>
      <c r="G1478" s="1376"/>
      <c r="H1478" s="1376"/>
      <c r="I1478" s="1026" t="str">
        <f t="shared" si="197"/>
        <v/>
      </c>
      <c r="J1478" s="1376" t="str">
        <f t="shared" si="195"/>
        <v/>
      </c>
      <c r="K1478" s="1376" t="str">
        <f t="shared" si="198"/>
        <v/>
      </c>
      <c r="L1478" s="1376"/>
      <c r="M1478" s="1376"/>
      <c r="N1478" s="1376"/>
      <c r="R1478" s="1376" t="s">
        <v>484</v>
      </c>
      <c r="S1478" s="1376" t="s">
        <v>1911</v>
      </c>
      <c r="U1478" s="1376" t="str">
        <f>IF(Q$1005="Yes",M1009,"")</f>
        <v/>
      </c>
      <c r="V1478" s="1376" t="str">
        <f>IF(Q$1016="Yes",M1020,"")</f>
        <v/>
      </c>
    </row>
    <row r="1479" spans="1:22" s="1370" customFormat="1" x14ac:dyDescent="0.25">
      <c r="A1479" s="1300" t="s">
        <v>528</v>
      </c>
      <c r="B1479" s="1027" t="str">
        <f>IFERROR(_xlfn.CONCAT("D",('Configurable Tab'!$C$17+1)),"")</f>
        <v>D167</v>
      </c>
      <c r="C1479" s="1027" t="str">
        <f>IFERROR(_xlfn.CONCAT("E",('Configurable Tab'!$C$17+1)),"")</f>
        <v>E167</v>
      </c>
      <c r="D1479" s="694" t="s">
        <v>1448</v>
      </c>
      <c r="E1479" s="1030" t="s">
        <v>1893</v>
      </c>
      <c r="F1479" s="1376"/>
      <c r="G1479" s="1376"/>
      <c r="H1479" s="1376"/>
      <c r="I1479" s="1026" t="str">
        <f t="shared" si="197"/>
        <v/>
      </c>
      <c r="J1479" s="1376" t="str">
        <f>$Q$1&amp;IF(T$1472=2,V1472,IF(T$1472=1,IF(T$1479=1,U1479,""),IF(T$1479=1,U1479,"")))</f>
        <v/>
      </c>
      <c r="K1479" s="1376" t="str">
        <f t="shared" si="198"/>
        <v/>
      </c>
      <c r="L1479" s="1376"/>
      <c r="M1479" s="1376"/>
      <c r="N1479" s="1376"/>
      <c r="O1479" s="1370" t="s">
        <v>1911</v>
      </c>
      <c r="R1479" s="1376" t="s">
        <v>484</v>
      </c>
      <c r="S1479" s="1376" t="s">
        <v>1912</v>
      </c>
      <c r="T1479" s="1376">
        <f>IF(Q$1027="Yes",IF(Q$1027="Yes",2,1),0)</f>
        <v>0</v>
      </c>
      <c r="U1479" s="1376" t="str">
        <f>IF(Q$1027="Yes",M1027,"")</f>
        <v/>
      </c>
    </row>
    <row r="1480" spans="1:22" s="1370" customFormat="1" x14ac:dyDescent="0.25">
      <c r="A1480" s="1301" t="s">
        <v>1482</v>
      </c>
      <c r="B1480" s="1027" t="str">
        <f>IFERROR(_xlfn.CONCAT("D",('Configurable Tab'!$C$17+2)),"")</f>
        <v>D168</v>
      </c>
      <c r="C1480" s="1027" t="str">
        <f>IFERROR(_xlfn.CONCAT("E",('Configurable Tab'!$C$17+2)),"")</f>
        <v>E168</v>
      </c>
      <c r="D1480" s="694" t="s">
        <v>1448</v>
      </c>
      <c r="E1480" s="1030" t="s">
        <v>1893</v>
      </c>
      <c r="F1480" s="1376"/>
      <c r="G1480" s="1376"/>
      <c r="H1480" s="1376"/>
      <c r="I1480" s="1026" t="str">
        <f t="shared" si="197"/>
        <v/>
      </c>
      <c r="J1480" s="1376" t="str">
        <f t="shared" ref="J1480:J1485" si="199">$Q$1&amp;IF(T$1472=2,V1473,IF(T$1472=1,IF(T$1479=1,U1480,""),IF(T$1479=1,U1480,"")))</f>
        <v/>
      </c>
      <c r="K1480" s="1376" t="str">
        <f t="shared" si="198"/>
        <v/>
      </c>
      <c r="L1480" s="1376"/>
      <c r="M1480" s="1376"/>
      <c r="N1480" s="1376"/>
      <c r="R1480" s="1376" t="s">
        <v>484</v>
      </c>
      <c r="S1480" s="1376" t="s">
        <v>1912</v>
      </c>
      <c r="U1480" s="1376" t="str">
        <f t="shared" ref="U1480" si="200">IF(Q$1027="Yes",M1028,"")</f>
        <v/>
      </c>
    </row>
    <row r="1481" spans="1:22" s="1370" customFormat="1" x14ac:dyDescent="0.25">
      <c r="A1481" s="1301" t="s">
        <v>1484</v>
      </c>
      <c r="B1481" s="1027" t="str">
        <f>IFERROR(_xlfn.CONCAT("D",('Configurable Tab'!$C$17+4)),"")</f>
        <v>D170</v>
      </c>
      <c r="C1481" s="1027" t="str">
        <f>IFERROR(_xlfn.CONCAT("E",('Configurable Tab'!$C$17+4)),"")</f>
        <v>E170</v>
      </c>
      <c r="D1481" s="694" t="s">
        <v>1448</v>
      </c>
      <c r="E1481" s="1030" t="s">
        <v>1893</v>
      </c>
      <c r="F1481" s="1376"/>
      <c r="G1481" s="1376"/>
      <c r="H1481" s="1376"/>
      <c r="I1481" s="1026" t="str">
        <f t="shared" si="197"/>
        <v/>
      </c>
      <c r="J1481" s="1376" t="str">
        <f t="shared" si="199"/>
        <v/>
      </c>
      <c r="K1481" s="1376" t="str">
        <f t="shared" si="198"/>
        <v/>
      </c>
      <c r="L1481" s="1376"/>
      <c r="M1481" s="1376"/>
      <c r="N1481" s="1376"/>
      <c r="R1481" s="1376" t="s">
        <v>484</v>
      </c>
      <c r="S1481" s="1376" t="s">
        <v>1912</v>
      </c>
      <c r="U1481" s="1376" t="str">
        <f>IF(Q$1027="Yes",M1032,"")</f>
        <v/>
      </c>
    </row>
    <row r="1482" spans="1:22" s="1370" customFormat="1" x14ac:dyDescent="0.25">
      <c r="A1482" s="1383" t="s">
        <v>1485</v>
      </c>
      <c r="B1482" s="1027" t="str">
        <f>IFERROR(_xlfn.CONCAT("D",('Configurable Tab'!$C$17+5)),"")</f>
        <v>D171</v>
      </c>
      <c r="C1482" s="1027" t="str">
        <f>IFERROR(_xlfn.CONCAT("E",('Configurable Tab'!$C$17+5)),"")</f>
        <v>E171</v>
      </c>
      <c r="D1482" s="694" t="s">
        <v>1448</v>
      </c>
      <c r="E1482" s="1030" t="s">
        <v>1893</v>
      </c>
      <c r="F1482" s="1376"/>
      <c r="G1482" s="1376"/>
      <c r="H1482" s="1376"/>
      <c r="I1482" s="1026" t="str">
        <f t="shared" si="197"/>
        <v/>
      </c>
      <c r="J1482" s="1376" t="str">
        <f t="shared" si="199"/>
        <v/>
      </c>
      <c r="K1482" s="1376" t="str">
        <f t="shared" si="198"/>
        <v/>
      </c>
      <c r="L1482" s="1376"/>
      <c r="M1482" s="1376"/>
      <c r="N1482" s="1376"/>
      <c r="R1482" s="1376" t="s">
        <v>484</v>
      </c>
      <c r="S1482" s="1376" t="s">
        <v>1912</v>
      </c>
      <c r="U1482" s="1376" t="str">
        <f>IF(Q$1027="Yes",M1033,"")</f>
        <v/>
      </c>
    </row>
    <row r="1483" spans="1:22" s="1370" customFormat="1" x14ac:dyDescent="0.25">
      <c r="A1483" s="1301" t="s">
        <v>1495</v>
      </c>
      <c r="B1483" s="1027" t="str">
        <f>IFERROR(_xlfn.CONCAT("G",('Configurable Tab'!$C$17+4)),"")</f>
        <v>G170</v>
      </c>
      <c r="C1483" s="1027" t="str">
        <f>IFERROR(_xlfn.CONCAT("G",('Configurable Tab'!$C$17+5)),"")</f>
        <v>G171</v>
      </c>
      <c r="D1483" s="694" t="s">
        <v>1448</v>
      </c>
      <c r="E1483" s="1030" t="s">
        <v>1893</v>
      </c>
      <c r="F1483" s="1376"/>
      <c r="G1483" s="1376"/>
      <c r="H1483" s="1376"/>
      <c r="I1483" s="1026" t="str">
        <f t="shared" si="197"/>
        <v/>
      </c>
      <c r="J1483" s="1376" t="str">
        <f t="shared" si="199"/>
        <v/>
      </c>
      <c r="K1483" s="1376" t="str">
        <f t="shared" si="198"/>
        <v/>
      </c>
      <c r="L1483" s="1376"/>
      <c r="M1483" s="1376"/>
      <c r="N1483" s="1376"/>
      <c r="R1483" s="1376" t="s">
        <v>484</v>
      </c>
      <c r="S1483" s="1376" t="s">
        <v>1912</v>
      </c>
      <c r="U1483" s="1376" t="str">
        <f>IF(Q$1027="Yes",M1036,"")</f>
        <v/>
      </c>
    </row>
    <row r="1484" spans="1:22" s="1370" customFormat="1" x14ac:dyDescent="0.25">
      <c r="A1484" s="1301" t="s">
        <v>1480</v>
      </c>
      <c r="B1484" s="1027" t="str">
        <f>IFERROR(_xlfn.CONCAT("I",('Configurable Tab'!$C$17+1)),"")</f>
        <v>I167</v>
      </c>
      <c r="C1484" s="1027" t="str">
        <f>IFERROR(_xlfn.CONCAT("I",('Configurable Tab'!$C$17+2)),"")</f>
        <v>I168</v>
      </c>
      <c r="D1484" s="694" t="s">
        <v>1448</v>
      </c>
      <c r="E1484" s="1030" t="s">
        <v>1893</v>
      </c>
      <c r="F1484" s="1376"/>
      <c r="G1484" s="1376"/>
      <c r="H1484" s="1376"/>
      <c r="I1484" s="1026" t="str">
        <f t="shared" si="197"/>
        <v/>
      </c>
      <c r="J1484" s="1376" t="str">
        <f t="shared" si="199"/>
        <v/>
      </c>
      <c r="K1484" s="1376" t="str">
        <f t="shared" si="198"/>
        <v/>
      </c>
      <c r="L1484" s="1376"/>
      <c r="M1484" s="1376"/>
      <c r="N1484" s="1376"/>
      <c r="R1484" s="1376" t="s">
        <v>484</v>
      </c>
      <c r="S1484" s="1376" t="s">
        <v>1912</v>
      </c>
      <c r="U1484" s="1376" t="str">
        <f>IF(Q$1027="Yes",M1030,"")</f>
        <v/>
      </c>
    </row>
    <row r="1485" spans="1:22" s="1370" customFormat="1" x14ac:dyDescent="0.25">
      <c r="A1485" s="1301" t="s">
        <v>1481</v>
      </c>
      <c r="B1485" s="1026" t="str">
        <f>IFERROR(_xlfn.CONCAT("M",('Configurable Tab'!$C$17+1)),"")</f>
        <v>M167</v>
      </c>
      <c r="C1485" s="1026" t="str">
        <f>IFERROR(_xlfn.CONCAT("M",('Configurable Tab'!$C$17+2)),"")</f>
        <v>M168</v>
      </c>
      <c r="D1485" s="1376" t="s">
        <v>1448</v>
      </c>
      <c r="E1485" s="1029" t="s">
        <v>1893</v>
      </c>
      <c r="F1485" s="1376"/>
      <c r="G1485" s="1376"/>
      <c r="H1485" s="1376"/>
      <c r="I1485" s="1026" t="str">
        <f t="shared" si="197"/>
        <v/>
      </c>
      <c r="J1485" s="1376" t="str">
        <f t="shared" si="199"/>
        <v/>
      </c>
      <c r="K1485" s="1376" t="str">
        <f t="shared" si="198"/>
        <v/>
      </c>
      <c r="L1485" s="1376"/>
      <c r="M1485" s="1376"/>
      <c r="N1485" s="1376"/>
      <c r="R1485" s="1376" t="s">
        <v>484</v>
      </c>
      <c r="S1485" s="1376" t="s">
        <v>1912</v>
      </c>
      <c r="U1485" s="1376" t="str">
        <f>IF(Q$1027="Yes",M1031,"")</f>
        <v/>
      </c>
    </row>
    <row r="1486" spans="1:22" s="1370" customFormat="1" x14ac:dyDescent="0.25">
      <c r="A1486" s="1386" t="s">
        <v>528</v>
      </c>
      <c r="B1486" s="1027" t="str">
        <f>IFERROR(_xlfn.CONCAT("D",('Configurable Tab'!$C$18+1)),"")</f>
        <v>D175</v>
      </c>
      <c r="C1486" s="1027" t="str">
        <f>IFERROR(_xlfn.CONCAT("E",('Configurable Tab'!$C$18+1)),"")</f>
        <v>E175</v>
      </c>
      <c r="D1486" s="694" t="s">
        <v>1448</v>
      </c>
      <c r="E1486" s="1030" t="s">
        <v>1893</v>
      </c>
      <c r="F1486" s="1376"/>
      <c r="G1486" s="1376"/>
      <c r="H1486" s="1376"/>
      <c r="I1486" s="1026" t="str">
        <f t="shared" si="197"/>
        <v/>
      </c>
      <c r="J1486" s="1376" t="str">
        <f>$Q$1&amp;T1486</f>
        <v/>
      </c>
      <c r="K1486" s="1376" t="str">
        <f t="shared" si="198"/>
        <v/>
      </c>
      <c r="L1486" s="1376"/>
      <c r="M1486" s="1376"/>
      <c r="N1486" s="1376"/>
      <c r="O1486" s="1370" t="s">
        <v>1913</v>
      </c>
      <c r="R1486" s="1376" t="s">
        <v>1224</v>
      </c>
      <c r="T1486" s="1376" t="str">
        <f>IF(Q$1038="Yes",M1038,"")</f>
        <v/>
      </c>
    </row>
    <row r="1487" spans="1:22" s="1370" customFormat="1" x14ac:dyDescent="0.25">
      <c r="A1487" s="1387" t="s">
        <v>1482</v>
      </c>
      <c r="B1487" s="1027" t="str">
        <f>IFERROR(_xlfn.CONCAT("D",('Configurable Tab'!$C$18+2)),"")</f>
        <v>D176</v>
      </c>
      <c r="C1487" s="1027" t="str">
        <f>IFERROR(_xlfn.CONCAT("E",('Configurable Tab'!$C$18+2)),"")</f>
        <v>E176</v>
      </c>
      <c r="D1487" s="694" t="s">
        <v>1448</v>
      </c>
      <c r="E1487" s="1030" t="s">
        <v>1893</v>
      </c>
      <c r="F1487" s="1376"/>
      <c r="G1487" s="1376"/>
      <c r="H1487" s="1376"/>
      <c r="I1487" s="1026" t="str">
        <f t="shared" si="197"/>
        <v/>
      </c>
      <c r="J1487" s="1376" t="str">
        <f t="shared" ref="J1487:J1494" si="201">$Q$1&amp;T1487</f>
        <v/>
      </c>
      <c r="K1487" s="1376" t="str">
        <f t="shared" si="198"/>
        <v/>
      </c>
      <c r="L1487" s="1376"/>
      <c r="M1487" s="1376"/>
      <c r="N1487" s="1376"/>
      <c r="R1487" s="1376" t="s">
        <v>1224</v>
      </c>
      <c r="T1487" s="1376" t="str">
        <f t="shared" ref="T1487" si="202">IF(Q$1038="Yes",M1039,"")</f>
        <v/>
      </c>
    </row>
    <row r="1488" spans="1:22" s="1370" customFormat="1" x14ac:dyDescent="0.25">
      <c r="A1488" s="1387" t="s">
        <v>1484</v>
      </c>
      <c r="B1488" s="1027" t="str">
        <f>IFERROR(_xlfn.CONCAT("D",('Configurable Tab'!$C$18+4)),"")</f>
        <v>D178</v>
      </c>
      <c r="C1488" s="1027" t="str">
        <f>IFERROR(_xlfn.CONCAT("E",('Configurable Tab'!$C$18+4)),"")</f>
        <v>E178</v>
      </c>
      <c r="D1488" s="694" t="s">
        <v>1448</v>
      </c>
      <c r="E1488" s="1030" t="s">
        <v>1893</v>
      </c>
      <c r="F1488" s="1376"/>
      <c r="G1488" s="1376"/>
      <c r="H1488" s="1376"/>
      <c r="I1488" s="1026" t="str">
        <f t="shared" si="197"/>
        <v/>
      </c>
      <c r="J1488" s="1376" t="str">
        <f t="shared" si="201"/>
        <v/>
      </c>
      <c r="K1488" s="1376" t="str">
        <f t="shared" si="198"/>
        <v/>
      </c>
      <c r="L1488" s="1376"/>
      <c r="M1488" s="1376"/>
      <c r="N1488" s="1376"/>
      <c r="R1488" s="1376" t="s">
        <v>1224</v>
      </c>
      <c r="T1488" s="1376" t="str">
        <f>IF(Q$1038="Yes",M1046,"")</f>
        <v/>
      </c>
    </row>
    <row r="1489" spans="1:22" s="1370" customFormat="1" x14ac:dyDescent="0.25">
      <c r="A1489" s="1388" t="s">
        <v>1485</v>
      </c>
      <c r="B1489" s="1027" t="str">
        <f>IFERROR(_xlfn.CONCAT("D",('Configurable Tab'!$C$18+5)),"")</f>
        <v>D179</v>
      </c>
      <c r="C1489" s="1027" t="str">
        <f>IFERROR(_xlfn.CONCAT("E",('Configurable Tab'!$C$18+5)),"")</f>
        <v>E179</v>
      </c>
      <c r="D1489" s="694" t="s">
        <v>1448</v>
      </c>
      <c r="E1489" s="1030" t="s">
        <v>1893</v>
      </c>
      <c r="F1489" s="1376"/>
      <c r="G1489" s="1376"/>
      <c r="H1489" s="1376"/>
      <c r="I1489" s="1026" t="str">
        <f t="shared" si="197"/>
        <v/>
      </c>
      <c r="J1489" s="1376" t="str">
        <f t="shared" si="201"/>
        <v/>
      </c>
      <c r="K1489" s="1376" t="str">
        <f t="shared" si="198"/>
        <v/>
      </c>
      <c r="L1489" s="1376"/>
      <c r="M1489" s="1376"/>
      <c r="N1489" s="1376"/>
      <c r="R1489" s="1376" t="s">
        <v>1224</v>
      </c>
      <c r="T1489" s="1376" t="str">
        <f>IF(Q$1038="Yes",M1047,"")</f>
        <v/>
      </c>
    </row>
    <row r="1490" spans="1:22" s="1370" customFormat="1" x14ac:dyDescent="0.25">
      <c r="A1490" s="1387" t="s">
        <v>1479</v>
      </c>
      <c r="B1490" s="1027" t="str">
        <f>IFERROR(_xlfn.CONCAT("G",('Configurable Tab'!$C$18+1)),"")</f>
        <v>G175</v>
      </c>
      <c r="C1490" s="1027" t="str">
        <f>IFERROR(_xlfn.CONCAT("G",('Configurable Tab'!$C$18+2)),"")</f>
        <v>G176</v>
      </c>
      <c r="D1490" s="694" t="s">
        <v>1448</v>
      </c>
      <c r="E1490" s="1030" t="s">
        <v>1893</v>
      </c>
      <c r="F1490" s="1376"/>
      <c r="G1490" s="1376"/>
      <c r="H1490" s="1376"/>
      <c r="I1490" s="1026" t="str">
        <f t="shared" si="197"/>
        <v/>
      </c>
      <c r="J1490" s="1376" t="str">
        <f t="shared" si="201"/>
        <v/>
      </c>
      <c r="K1490" s="1376" t="str">
        <f t="shared" si="198"/>
        <v/>
      </c>
      <c r="L1490" s="1376"/>
      <c r="M1490" s="1376"/>
      <c r="N1490" s="1376"/>
      <c r="R1490" s="1376" t="s">
        <v>1224</v>
      </c>
      <c r="T1490" s="1354"/>
    </row>
    <row r="1491" spans="1:22" s="1370" customFormat="1" x14ac:dyDescent="0.25">
      <c r="A1491" s="1387" t="s">
        <v>1480</v>
      </c>
      <c r="B1491" s="1027" t="str">
        <f>IFERROR(_xlfn.CONCAT("I",('Configurable Tab'!$C$18+1)),"")</f>
        <v>I175</v>
      </c>
      <c r="C1491" s="1027" t="str">
        <f>IFERROR(_xlfn.CONCAT("I",('Configurable Tab'!$C$18+2)),"")</f>
        <v>I176</v>
      </c>
      <c r="D1491" s="694" t="s">
        <v>1448</v>
      </c>
      <c r="E1491" s="1030" t="s">
        <v>1893</v>
      </c>
      <c r="F1491" s="1376"/>
      <c r="G1491" s="1376"/>
      <c r="H1491" s="1376"/>
      <c r="I1491" s="1026" t="str">
        <f t="shared" si="197"/>
        <v/>
      </c>
      <c r="J1491" s="1376" t="str">
        <f t="shared" si="201"/>
        <v/>
      </c>
      <c r="K1491" s="1376" t="str">
        <f t="shared" si="198"/>
        <v/>
      </c>
      <c r="L1491" s="1376"/>
      <c r="M1491" s="1376"/>
      <c r="N1491" s="1376"/>
      <c r="R1491" s="1376" t="s">
        <v>1224</v>
      </c>
      <c r="T1491" s="1376" t="str">
        <f>IF(Q$1038="Yes",M1040,"")</f>
        <v/>
      </c>
    </row>
    <row r="1492" spans="1:22" s="1370" customFormat="1" x14ac:dyDescent="0.25">
      <c r="A1492" s="1387" t="s">
        <v>871</v>
      </c>
      <c r="B1492" s="1027" t="str">
        <f>IFERROR(_xlfn.CONCAT("K",('Configurable Tab'!$C$18+1)),"")</f>
        <v>K175</v>
      </c>
      <c r="C1492" s="1027" t="str">
        <f>IFERROR(_xlfn.CONCAT("K",('Configurable Tab'!$C$18+2)),"")</f>
        <v>K176</v>
      </c>
      <c r="D1492" s="694" t="s">
        <v>1448</v>
      </c>
      <c r="E1492" s="1030" t="s">
        <v>1893</v>
      </c>
      <c r="F1492" s="1376"/>
      <c r="G1492" s="1376"/>
      <c r="H1492" s="1376"/>
      <c r="I1492" s="1026" t="str">
        <f t="shared" si="197"/>
        <v/>
      </c>
      <c r="J1492" s="1376" t="str">
        <f t="shared" si="201"/>
        <v/>
      </c>
      <c r="K1492" s="1376" t="str">
        <f t="shared" si="198"/>
        <v/>
      </c>
      <c r="L1492" s="1376"/>
      <c r="M1492" s="1376"/>
      <c r="N1492" s="1376"/>
      <c r="R1492" s="1376" t="s">
        <v>1224</v>
      </c>
      <c r="T1492" s="1376" t="str">
        <f t="shared" ref="T1492:T1493" si="203">IF(Q$1038="Yes",M1041,"")</f>
        <v/>
      </c>
    </row>
    <row r="1493" spans="1:22" s="1370" customFormat="1" x14ac:dyDescent="0.25">
      <c r="A1493" s="1387" t="s">
        <v>1481</v>
      </c>
      <c r="B1493" s="1027" t="str">
        <f>IFERROR(_xlfn.CONCAT("M",('Configurable Tab'!$C$18+1)),"")</f>
        <v>M175</v>
      </c>
      <c r="C1493" s="1027" t="str">
        <f>IFERROR(_xlfn.CONCAT("M",('Configurable Tab'!$C$18+2)),"")</f>
        <v>M176</v>
      </c>
      <c r="D1493" s="694" t="s">
        <v>1448</v>
      </c>
      <c r="E1493" s="1030" t="s">
        <v>1893</v>
      </c>
      <c r="F1493" s="1376"/>
      <c r="G1493" s="1376"/>
      <c r="H1493" s="1376"/>
      <c r="I1493" s="1026" t="str">
        <f t="shared" si="197"/>
        <v/>
      </c>
      <c r="J1493" s="1376" t="str">
        <f t="shared" si="201"/>
        <v/>
      </c>
      <c r="K1493" s="1376" t="str">
        <f t="shared" si="198"/>
        <v/>
      </c>
      <c r="L1493" s="1376"/>
      <c r="M1493" s="1376"/>
      <c r="N1493" s="1376"/>
      <c r="R1493" s="1376" t="s">
        <v>1224</v>
      </c>
      <c r="T1493" s="1376" t="str">
        <f t="shared" si="203"/>
        <v/>
      </c>
    </row>
    <row r="1494" spans="1:22" s="1370" customFormat="1" x14ac:dyDescent="0.25">
      <c r="A1494" s="1387" t="s">
        <v>1488</v>
      </c>
      <c r="B1494" s="1026" t="str">
        <f>IFERROR(_xlfn.CONCAT("K",('Configurable Tab'!$C$18+4)),"")</f>
        <v>K178</v>
      </c>
      <c r="C1494" s="1026" t="str">
        <f>IFERROR(_xlfn.CONCAT("K",('Configurable Tab'!$C$18+5)),"")</f>
        <v>K179</v>
      </c>
      <c r="D1494" s="1376" t="s">
        <v>1448</v>
      </c>
      <c r="E1494" s="1029" t="s">
        <v>1893</v>
      </c>
      <c r="F1494" s="1376"/>
      <c r="G1494" s="1376"/>
      <c r="H1494" s="1376"/>
      <c r="I1494" s="1026" t="str">
        <f t="shared" si="197"/>
        <v/>
      </c>
      <c r="J1494" s="1376" t="str">
        <f t="shared" si="201"/>
        <v/>
      </c>
      <c r="K1494" s="1376" t="str">
        <f t="shared" si="198"/>
        <v/>
      </c>
      <c r="L1494" s="1376"/>
      <c r="M1494" s="1376"/>
      <c r="N1494" s="1376"/>
      <c r="R1494" s="1376" t="s">
        <v>1224</v>
      </c>
      <c r="T1494" s="694" t="str">
        <f>IF(Q$1038="Yes",M1050,"")</f>
        <v/>
      </c>
    </row>
    <row r="1495" spans="1:22" s="1370" customFormat="1" x14ac:dyDescent="0.25">
      <c r="A1495" s="1403" t="s">
        <v>528</v>
      </c>
      <c r="B1495" s="1027" t="str">
        <f>IFERROR(_xlfn.CONCAT("D",('Configurable Tab'!$C$19+1)),"")</f>
        <v>D183</v>
      </c>
      <c r="C1495" s="1027" t="str">
        <f>IFERROR(_xlfn.CONCAT("E",('Configurable Tab'!$C$19+1)),"")</f>
        <v>E183</v>
      </c>
      <c r="D1495" s="694" t="s">
        <v>1448</v>
      </c>
      <c r="E1495" s="1030" t="s">
        <v>1893</v>
      </c>
      <c r="F1495" s="1376"/>
      <c r="G1495" s="1376"/>
      <c r="H1495" s="1376"/>
      <c r="I1495" s="1026" t="str">
        <f t="shared" si="197"/>
        <v/>
      </c>
      <c r="J1495" s="1376"/>
      <c r="K1495" s="1376" t="str">
        <f t="shared" si="198"/>
        <v/>
      </c>
      <c r="L1495" s="1376"/>
      <c r="M1495" s="1376"/>
      <c r="N1495" s="1376"/>
      <c r="O1495" s="1370" t="s">
        <v>1804</v>
      </c>
      <c r="R1495" s="1376" t="s">
        <v>1804</v>
      </c>
      <c r="S1495" s="1376" t="s">
        <v>1210</v>
      </c>
      <c r="T1495" s="1376" t="str">
        <f>IF(Q$1052="Yes",M1052,"")</f>
        <v/>
      </c>
      <c r="U1495" s="1376" t="s">
        <v>1914</v>
      </c>
      <c r="V1495" s="1376" t="str">
        <f>IF(Q1069="Yes",M1069,"")</f>
        <v/>
      </c>
    </row>
    <row r="1496" spans="1:22" s="1370" customFormat="1" x14ac:dyDescent="0.25">
      <c r="A1496" s="1028" t="s">
        <v>1482</v>
      </c>
      <c r="B1496" s="1027" t="str">
        <f>IFERROR(_xlfn.CONCAT("D",('Configurable Tab'!$C$19+2)),"")</f>
        <v>D184</v>
      </c>
      <c r="C1496" s="1027" t="str">
        <f>IFERROR(_xlfn.CONCAT("E",('Configurable Tab'!$C$19+2)),"")</f>
        <v>E184</v>
      </c>
      <c r="D1496" s="694" t="s">
        <v>1448</v>
      </c>
      <c r="E1496" s="1030" t="s">
        <v>1893</v>
      </c>
      <c r="F1496" s="1376"/>
      <c r="G1496" s="1376"/>
      <c r="H1496" s="1376"/>
      <c r="I1496" s="1026" t="str">
        <f t="shared" si="197"/>
        <v/>
      </c>
      <c r="J1496" s="1376"/>
      <c r="K1496" s="1376" t="str">
        <f t="shared" si="198"/>
        <v/>
      </c>
      <c r="L1496" s="1376"/>
      <c r="M1496" s="1376"/>
      <c r="N1496" s="1376"/>
      <c r="R1496" s="1376" t="s">
        <v>1804</v>
      </c>
      <c r="S1496" s="1376" t="s">
        <v>1210</v>
      </c>
      <c r="T1496" s="1376" t="str">
        <f t="shared" ref="T1496:T1507" si="204">IF(Q$1052="Yes",M1053,"")</f>
        <v/>
      </c>
      <c r="U1496" s="1376" t="s">
        <v>1914</v>
      </c>
      <c r="V1496" s="1376" t="str">
        <f t="shared" ref="V1496:V1509" si="205">IF(Q1070="Yes",M1070,"")</f>
        <v/>
      </c>
    </row>
    <row r="1497" spans="1:22" s="1370" customFormat="1" x14ac:dyDescent="0.25">
      <c r="A1497" s="1028" t="s">
        <v>1484</v>
      </c>
      <c r="B1497" s="1027" t="str">
        <f>IFERROR(_xlfn.CONCAT("D",('Configurable Tab'!$C$19+4)),"")</f>
        <v>D186</v>
      </c>
      <c r="C1497" s="1027" t="str">
        <f>IFERROR(_xlfn.CONCAT("E",('Configurable Tab'!$C$19+4)),"")</f>
        <v>E186</v>
      </c>
      <c r="D1497" s="694" t="s">
        <v>1448</v>
      </c>
      <c r="E1497" s="1030" t="s">
        <v>1893</v>
      </c>
      <c r="F1497" s="1376"/>
      <c r="G1497" s="1376"/>
      <c r="H1497" s="1376"/>
      <c r="I1497" s="1026" t="str">
        <f t="shared" si="197"/>
        <v/>
      </c>
      <c r="J1497" s="1376"/>
      <c r="K1497" s="1376" t="str">
        <f t="shared" si="198"/>
        <v/>
      </c>
      <c r="L1497" s="1376"/>
      <c r="M1497" s="1376"/>
      <c r="N1497" s="1376"/>
      <c r="R1497" s="1376" t="s">
        <v>1804</v>
      </c>
      <c r="S1497" s="1376" t="s">
        <v>1210</v>
      </c>
      <c r="T1497" s="1376" t="str">
        <f>IF(Q$1052="Yes",M1056,"")</f>
        <v/>
      </c>
      <c r="U1497" s="1376" t="s">
        <v>1914</v>
      </c>
      <c r="V1497" s="1376" t="str">
        <f>IF(Q1071="Yes",M1073,"")</f>
        <v/>
      </c>
    </row>
    <row r="1498" spans="1:22" s="1370" customFormat="1" x14ac:dyDescent="0.25">
      <c r="A1498" s="1404" t="s">
        <v>1485</v>
      </c>
      <c r="B1498" s="1027" t="str">
        <f>IFERROR(_xlfn.CONCAT("D",('Configurable Tab'!$C$19+5)),"")</f>
        <v>D187</v>
      </c>
      <c r="C1498" s="1027" t="str">
        <f>IFERROR(_xlfn.CONCAT("E",('Configurable Tab'!$C$19+5)),"")</f>
        <v>E187</v>
      </c>
      <c r="D1498" s="694" t="s">
        <v>1448</v>
      </c>
      <c r="E1498" s="1030" t="s">
        <v>1893</v>
      </c>
      <c r="F1498" s="1376"/>
      <c r="G1498" s="1376"/>
      <c r="H1498" s="1376"/>
      <c r="I1498" s="1026" t="str">
        <f t="shared" si="197"/>
        <v/>
      </c>
      <c r="J1498" s="1376"/>
      <c r="K1498" s="1376" t="str">
        <f t="shared" si="198"/>
        <v/>
      </c>
      <c r="L1498" s="1376"/>
      <c r="M1498" s="1376"/>
      <c r="N1498" s="1376"/>
      <c r="R1498" s="1376" t="s">
        <v>1804</v>
      </c>
      <c r="S1498" s="1376" t="s">
        <v>1210</v>
      </c>
      <c r="T1498" s="1376" t="str">
        <f>IF(Q$1052="Yes",M1057,"")</f>
        <v/>
      </c>
      <c r="U1498" s="1376" t="s">
        <v>1914</v>
      </c>
      <c r="V1498" s="1376" t="str">
        <f>IF(Q1072="Yes",M1074,"")</f>
        <v/>
      </c>
    </row>
    <row r="1499" spans="1:22" s="1370" customFormat="1" x14ac:dyDescent="0.25">
      <c r="A1499" s="1028" t="s">
        <v>1480</v>
      </c>
      <c r="B1499" s="1027" t="str">
        <f>IFERROR(_xlfn.CONCAT("I",('Configurable Tab'!$C$19+1)),"")</f>
        <v>I183</v>
      </c>
      <c r="C1499" s="1027" t="str">
        <f>IFERROR(_xlfn.CONCAT("I",('Configurable Tab'!$C$19+2)),"")</f>
        <v>I184</v>
      </c>
      <c r="D1499" s="694" t="s">
        <v>1448</v>
      </c>
      <c r="E1499" s="1030" t="s">
        <v>1893</v>
      </c>
      <c r="F1499" s="1376"/>
      <c r="G1499" s="1376"/>
      <c r="H1499" s="1376"/>
      <c r="I1499" s="1026" t="str">
        <f t="shared" si="197"/>
        <v/>
      </c>
      <c r="J1499" s="1376"/>
      <c r="K1499" s="1376" t="str">
        <f t="shared" si="198"/>
        <v/>
      </c>
      <c r="L1499" s="1376"/>
      <c r="M1499" s="1376"/>
      <c r="N1499" s="1376"/>
      <c r="R1499" s="1376" t="s">
        <v>1804</v>
      </c>
      <c r="S1499" s="1376" t="s">
        <v>1210</v>
      </c>
      <c r="T1499" s="1376" t="str">
        <f>IF(Q$1052="Yes",M1054,"")</f>
        <v/>
      </c>
      <c r="U1499" s="1376" t="s">
        <v>1914</v>
      </c>
      <c r="V1499" s="1376" t="str">
        <f>IF(Q1073="Yes",M1071,"")</f>
        <v/>
      </c>
    </row>
    <row r="1500" spans="1:22" s="1370" customFormat="1" x14ac:dyDescent="0.25">
      <c r="A1500" s="1028" t="s">
        <v>1481</v>
      </c>
      <c r="B1500" s="1027" t="str">
        <f>IFERROR(_xlfn.CONCAT("M",('Configurable Tab'!$C$19+1)),"")</f>
        <v>M183</v>
      </c>
      <c r="C1500" s="1027" t="str">
        <f>IFERROR(_xlfn.CONCAT("M",('Configurable Tab'!$C$19+2)),"")</f>
        <v>M184</v>
      </c>
      <c r="D1500" s="694" t="s">
        <v>1448</v>
      </c>
      <c r="E1500" s="1030" t="s">
        <v>1893</v>
      </c>
      <c r="F1500" s="1376"/>
      <c r="G1500" s="1376"/>
      <c r="H1500" s="1376"/>
      <c r="I1500" s="1026" t="str">
        <f t="shared" si="197"/>
        <v/>
      </c>
      <c r="J1500" s="1376"/>
      <c r="K1500" s="1376" t="str">
        <f t="shared" si="198"/>
        <v/>
      </c>
      <c r="L1500" s="1376"/>
      <c r="M1500" s="1376"/>
      <c r="N1500" s="1376"/>
      <c r="R1500" s="1376" t="s">
        <v>1804</v>
      </c>
      <c r="S1500" s="1376" t="s">
        <v>1210</v>
      </c>
      <c r="T1500" s="1376" t="str">
        <f>IF(Q$1052="Yes",M1055,"")</f>
        <v/>
      </c>
      <c r="U1500" s="1376" t="s">
        <v>1914</v>
      </c>
      <c r="V1500" s="1376" t="str">
        <f>IF(Q1074="Yes",M1072,"")</f>
        <v/>
      </c>
    </row>
    <row r="1501" spans="1:22" s="1370" customFormat="1" x14ac:dyDescent="0.25">
      <c r="A1501" s="1028" t="s">
        <v>1495</v>
      </c>
      <c r="B1501" s="1026" t="str">
        <f>IFERROR(_xlfn.CONCAT("G",('Configurable Tab'!$C$19+4)),"")</f>
        <v>G186</v>
      </c>
      <c r="C1501" s="1026" t="str">
        <f>IFERROR(_xlfn.CONCAT("G",('Configurable Tab'!$C$19+5)),"")</f>
        <v>G187</v>
      </c>
      <c r="D1501" s="1376" t="s">
        <v>1448</v>
      </c>
      <c r="E1501" s="1029" t="s">
        <v>1893</v>
      </c>
      <c r="F1501" s="180"/>
      <c r="G1501" s="1405"/>
      <c r="I1501" s="1026" t="str">
        <f t="shared" si="197"/>
        <v/>
      </c>
      <c r="J1501" s="1376"/>
      <c r="K1501" s="1376" t="str">
        <f t="shared" si="198"/>
        <v/>
      </c>
      <c r="L1501" s="1376"/>
      <c r="M1501" s="1376"/>
      <c r="N1501" s="1376"/>
      <c r="R1501" s="1376" t="s">
        <v>1804</v>
      </c>
      <c r="S1501" s="1376" t="s">
        <v>1210</v>
      </c>
      <c r="T1501" s="1376" t="str">
        <f>IF(Q$1052="Yes",M1060,"")</f>
        <v/>
      </c>
      <c r="U1501" s="1376" t="s">
        <v>1914</v>
      </c>
      <c r="V1501" s="1376" t="str">
        <f>IF(Q1075="Yes",M1077,"")</f>
        <v/>
      </c>
    </row>
    <row r="1502" spans="1:22" s="1370" customFormat="1" x14ac:dyDescent="0.25">
      <c r="A1502" s="1028" t="s">
        <v>1576</v>
      </c>
      <c r="B1502" s="1026" t="str">
        <f>IFERROR(_xlfn.CONCAT("I",('Configurable Tab'!$C$19+4)),"")</f>
        <v>I186</v>
      </c>
      <c r="C1502" s="1026" t="str">
        <f>IFERROR(_xlfn.CONCAT("I",('Configurable Tab'!$C$19+5)),"")</f>
        <v>I187</v>
      </c>
      <c r="D1502" s="1376" t="s">
        <v>1448</v>
      </c>
      <c r="E1502" s="1029" t="s">
        <v>1893</v>
      </c>
      <c r="F1502" s="180"/>
      <c r="G1502" s="177"/>
      <c r="I1502" s="1026" t="str">
        <f t="shared" si="197"/>
        <v/>
      </c>
      <c r="J1502" s="1376"/>
      <c r="K1502" s="1376" t="str">
        <f t="shared" si="198"/>
        <v/>
      </c>
      <c r="L1502" s="1376"/>
      <c r="M1502" s="1376"/>
      <c r="N1502" s="1376"/>
      <c r="R1502" s="1376" t="s">
        <v>1804</v>
      </c>
      <c r="S1502" s="1376" t="s">
        <v>1210</v>
      </c>
      <c r="T1502" s="1376" t="str">
        <f t="shared" ref="T1502:T1503" si="206">IF(Q$1052="Yes",M1061,"")</f>
        <v/>
      </c>
      <c r="U1502" s="1376" t="s">
        <v>1914</v>
      </c>
      <c r="V1502" s="1376" t="str">
        <f>IF(Q1076="Yes",M1078,"")</f>
        <v/>
      </c>
    </row>
    <row r="1503" spans="1:22" s="1370" customFormat="1" x14ac:dyDescent="0.25">
      <c r="A1503" s="1028" t="s">
        <v>1577</v>
      </c>
      <c r="B1503" s="1026" t="str">
        <f>IFERROR(_xlfn.CONCAT("K",('Configurable Tab'!$C$19+4)),"")</f>
        <v>K186</v>
      </c>
      <c r="C1503" s="1026" t="str">
        <f>IFERROR(_xlfn.CONCAT("K",('Configurable Tab'!$C$19+5)),"")</f>
        <v>K187</v>
      </c>
      <c r="D1503" s="1376" t="s">
        <v>1448</v>
      </c>
      <c r="E1503" s="1029" t="s">
        <v>1893</v>
      </c>
      <c r="F1503" s="177"/>
      <c r="G1503" s="180"/>
      <c r="I1503" s="1026" t="str">
        <f t="shared" si="197"/>
        <v/>
      </c>
      <c r="J1503" s="1376"/>
      <c r="K1503" s="1376" t="str">
        <f t="shared" si="198"/>
        <v/>
      </c>
      <c r="L1503" s="1376"/>
      <c r="M1503" s="1376"/>
      <c r="N1503" s="1376"/>
      <c r="R1503" s="1376" t="s">
        <v>1804</v>
      </c>
      <c r="S1503" s="1376" t="s">
        <v>1210</v>
      </c>
      <c r="T1503" s="1376" t="str">
        <f t="shared" si="206"/>
        <v/>
      </c>
      <c r="U1503" s="1376" t="s">
        <v>1914</v>
      </c>
      <c r="V1503" s="1376"/>
    </row>
    <row r="1504" spans="1:22" s="1370" customFormat="1" x14ac:dyDescent="0.25">
      <c r="A1504" s="1028" t="s">
        <v>1501</v>
      </c>
      <c r="B1504" s="1026" t="str">
        <f>IFERROR(_xlfn.CONCAT("M",('Configurable Tab'!$C$19+4)),"")</f>
        <v>M186</v>
      </c>
      <c r="C1504" s="1026" t="str">
        <f>IFERROR(_xlfn.CONCAT("M",('Configurable Tab'!$C$19+5)),"")</f>
        <v>M187</v>
      </c>
      <c r="D1504" s="1376" t="s">
        <v>1448</v>
      </c>
      <c r="E1504" s="1029" t="s">
        <v>1893</v>
      </c>
      <c r="F1504" s="177"/>
      <c r="G1504" s="180"/>
      <c r="I1504" s="1026" t="str">
        <f t="shared" si="197"/>
        <v/>
      </c>
      <c r="J1504" s="1376"/>
      <c r="K1504" s="1376" t="str">
        <f t="shared" si="198"/>
        <v/>
      </c>
      <c r="L1504" s="1376"/>
      <c r="M1504" s="1376"/>
      <c r="N1504" s="1376"/>
      <c r="R1504" s="1376" t="s">
        <v>1804</v>
      </c>
      <c r="S1504" s="1376" t="s">
        <v>1210</v>
      </c>
      <c r="T1504" s="1376" t="str">
        <f>IF(Q$1052="Yes",M1065,"")</f>
        <v/>
      </c>
      <c r="U1504" s="1376" t="s">
        <v>1914</v>
      </c>
      <c r="V1504" s="1376" t="str">
        <f>IF(Q1078="Yes",M1081,"")</f>
        <v/>
      </c>
    </row>
    <row r="1505" spans="1:26" s="1370" customFormat="1" x14ac:dyDescent="0.25">
      <c r="A1505" s="1028" t="s">
        <v>1580</v>
      </c>
      <c r="B1505" s="1026" t="str">
        <f>IFERROR(_xlfn.CONCAT("G",('Configurable Tab'!$C$19+7)),"")</f>
        <v>G189</v>
      </c>
      <c r="C1505" s="1026" t="str">
        <f>IFERROR(_xlfn.CONCAT("G",('Configurable Tab'!$C$19+8)),"")</f>
        <v>G190</v>
      </c>
      <c r="D1505" s="1376" t="s">
        <v>1448</v>
      </c>
      <c r="E1505" s="1029" t="s">
        <v>1893</v>
      </c>
      <c r="F1505" s="1406"/>
      <c r="G1505" s="1405"/>
      <c r="I1505" s="1026" t="str">
        <f t="shared" si="197"/>
        <v/>
      </c>
      <c r="J1505" s="1376"/>
      <c r="K1505" s="1376" t="str">
        <f t="shared" si="198"/>
        <v/>
      </c>
      <c r="L1505" s="1376"/>
      <c r="M1505" s="1376"/>
      <c r="N1505" s="1376"/>
      <c r="R1505" s="1376" t="s">
        <v>1804</v>
      </c>
      <c r="S1505" s="1376" t="s">
        <v>1210</v>
      </c>
      <c r="T1505" s="1354"/>
      <c r="U1505" s="1376" t="s">
        <v>1914</v>
      </c>
      <c r="V1505" s="1376"/>
    </row>
    <row r="1506" spans="1:26" s="1370" customFormat="1" ht="30" x14ac:dyDescent="0.25">
      <c r="A1506" s="1028" t="s">
        <v>1581</v>
      </c>
      <c r="B1506" s="1026" t="str">
        <f>IFERROR(_xlfn.CONCAT("I",('Configurable Tab'!$C$19+7)),"")</f>
        <v>I189</v>
      </c>
      <c r="C1506" s="1026" t="str">
        <f>IFERROR(_xlfn.CONCAT("I",('Configurable Tab'!$C$19+8)),"")</f>
        <v>I190</v>
      </c>
      <c r="D1506" s="1376" t="s">
        <v>1448</v>
      </c>
      <c r="E1506" s="1029" t="s">
        <v>1893</v>
      </c>
      <c r="F1506" s="134"/>
      <c r="G1506" s="134"/>
      <c r="I1506" s="1026" t="str">
        <f t="shared" si="197"/>
        <v/>
      </c>
      <c r="J1506" s="1376"/>
      <c r="K1506" s="1376" t="str">
        <f t="shared" si="198"/>
        <v/>
      </c>
      <c r="L1506" s="1376"/>
      <c r="M1506" s="1376"/>
      <c r="N1506" s="1376"/>
      <c r="R1506" s="1376" t="s">
        <v>1804</v>
      </c>
      <c r="S1506" s="1376" t="s">
        <v>1210</v>
      </c>
      <c r="T1506" s="1376" t="str">
        <f t="shared" si="204"/>
        <v/>
      </c>
      <c r="U1506" s="1376" t="s">
        <v>1914</v>
      </c>
      <c r="V1506" s="1376" t="str">
        <f>IF(Q1080="Yes",M1079,"")</f>
        <v/>
      </c>
    </row>
    <row r="1507" spans="1:26" s="1370" customFormat="1" x14ac:dyDescent="0.25">
      <c r="A1507" s="1028" t="s">
        <v>1212</v>
      </c>
      <c r="B1507" s="1026" t="str">
        <f>IFERROR(_xlfn.CONCAT("K",('Configurable Tab'!$C$19+7)),"")</f>
        <v>K189</v>
      </c>
      <c r="C1507" s="1026" t="str">
        <f>IFERROR(_xlfn.CONCAT("K",('Configurable Tab'!$C$19+8)),"")</f>
        <v>K190</v>
      </c>
      <c r="D1507" s="1376" t="s">
        <v>1448</v>
      </c>
      <c r="E1507" s="1029" t="s">
        <v>1893</v>
      </c>
      <c r="I1507" s="1026" t="str">
        <f t="shared" si="197"/>
        <v/>
      </c>
      <c r="J1507" s="1376"/>
      <c r="K1507" s="1376" t="str">
        <f t="shared" si="198"/>
        <v/>
      </c>
      <c r="L1507" s="1376"/>
      <c r="M1507" s="1376"/>
      <c r="N1507" s="1376"/>
      <c r="R1507" s="1376" t="s">
        <v>1804</v>
      </c>
      <c r="S1507" s="1376" t="s">
        <v>1210</v>
      </c>
      <c r="T1507" s="1376" t="str">
        <f t="shared" si="204"/>
        <v/>
      </c>
      <c r="U1507" s="1376" t="s">
        <v>1914</v>
      </c>
      <c r="V1507" s="1376" t="str">
        <f>IF(Q1081="Yes",M1080,"")</f>
        <v/>
      </c>
    </row>
    <row r="1508" spans="1:26" s="1370" customFormat="1" x14ac:dyDescent="0.25">
      <c r="A1508" s="1028" t="s">
        <v>1582</v>
      </c>
      <c r="B1508" s="1026" t="str">
        <f>IFERROR(_xlfn.CONCAT("M",('Configurable Tab'!$C$19+7)),"")</f>
        <v>M189</v>
      </c>
      <c r="C1508" s="1026" t="str">
        <f>IFERROR(_xlfn.CONCAT("M",('Configurable Tab'!$C$19+8)),"")</f>
        <v>M190</v>
      </c>
      <c r="D1508" s="1376" t="s">
        <v>1448</v>
      </c>
      <c r="E1508" s="1029" t="s">
        <v>1893</v>
      </c>
      <c r="I1508" s="1026" t="str">
        <f t="shared" si="197"/>
        <v/>
      </c>
      <c r="J1508" s="1376"/>
      <c r="K1508" s="1376" t="str">
        <f t="shared" si="198"/>
        <v/>
      </c>
      <c r="L1508" s="1376"/>
      <c r="M1508" s="1376"/>
      <c r="N1508" s="1376"/>
      <c r="R1508" s="1376" t="s">
        <v>1804</v>
      </c>
      <c r="S1508" s="1376" t="s">
        <v>1210</v>
      </c>
      <c r="T1508" s="1376" t="str">
        <f>IF(Q$1052="Yes",M1066,"")</f>
        <v/>
      </c>
      <c r="U1508" s="1376" t="s">
        <v>1914</v>
      </c>
      <c r="V1508" s="1376" t="str">
        <f t="shared" si="205"/>
        <v/>
      </c>
    </row>
    <row r="1509" spans="1:26" s="1370" customFormat="1" x14ac:dyDescent="0.25">
      <c r="A1509" s="1028" t="s">
        <v>1211</v>
      </c>
      <c r="B1509" s="1026" t="str">
        <f>IFERROR(_xlfn.CONCAT("O",('Configurable Tab'!$C$19+7)),"")</f>
        <v>O189</v>
      </c>
      <c r="C1509" s="1026" t="str">
        <f>IFERROR(_xlfn.CONCAT("O",('Configurable Tab'!$C$19+8)),"")</f>
        <v>O190</v>
      </c>
      <c r="D1509" s="1376" t="s">
        <v>1448</v>
      </c>
      <c r="E1509" s="1029" t="s">
        <v>1893</v>
      </c>
      <c r="F1509" s="694"/>
      <c r="G1509" s="694"/>
      <c r="H1509" s="1376"/>
      <c r="I1509" s="1026" t="str">
        <f t="shared" si="197"/>
        <v/>
      </c>
      <c r="J1509" s="1376"/>
      <c r="K1509" s="1376" t="str">
        <f t="shared" si="198"/>
        <v/>
      </c>
      <c r="L1509" s="1376"/>
      <c r="M1509" s="1376"/>
      <c r="N1509" s="1376"/>
      <c r="R1509" s="1376" t="s">
        <v>1804</v>
      </c>
      <c r="S1509" s="1376" t="s">
        <v>1210</v>
      </c>
      <c r="T1509" s="1376" t="str">
        <f>IF(Q$1052="Yes",M1067,"")</f>
        <v/>
      </c>
      <c r="U1509" s="1376" t="s">
        <v>1914</v>
      </c>
      <c r="V1509" s="1376" t="str">
        <f t="shared" si="205"/>
        <v/>
      </c>
    </row>
    <row r="1510" spans="1:26" s="1370" customFormat="1" x14ac:dyDescent="0.25">
      <c r="A1510" s="1395" t="s">
        <v>528</v>
      </c>
      <c r="B1510" s="1027" t="str">
        <f>IFERROR(_xlfn.CONCAT("D",('Configurable Tab'!$C$20+1)),"")</f>
        <v>D194</v>
      </c>
      <c r="C1510" s="1027" t="str">
        <f>IFERROR(_xlfn.CONCAT("E",('Configurable Tab'!$C$20+1)),"")</f>
        <v>E194</v>
      </c>
      <c r="D1510" s="694" t="s">
        <v>1448</v>
      </c>
      <c r="E1510" s="1030" t="s">
        <v>1893</v>
      </c>
      <c r="F1510" s="1376"/>
      <c r="G1510" s="1376"/>
      <c r="H1510" s="1376"/>
      <c r="I1510" s="1026" t="str">
        <f t="shared" si="197"/>
        <v/>
      </c>
      <c r="J1510" s="1376" t="str">
        <f>$Q$1&amp;IF(T$1510&lt;&gt;0,U1510,IF(T$1529&lt;&gt;0,U1529,IF(X$1510&lt;&gt;0,Y1510,"")))</f>
        <v/>
      </c>
      <c r="K1510" s="1376" t="str">
        <f t="shared" si="198"/>
        <v/>
      </c>
      <c r="L1510" s="1376"/>
      <c r="M1510" s="1376"/>
      <c r="N1510" s="1376"/>
      <c r="O1510" s="1370" t="s">
        <v>1915</v>
      </c>
      <c r="R1510" s="1372" t="s">
        <v>1168</v>
      </c>
      <c r="S1510" s="1376" t="s">
        <v>1718</v>
      </c>
      <c r="T1510" s="1376">
        <f>IF(Q$1085="Yes",IF(Q$1095="Yes",2,1),0)</f>
        <v>0</v>
      </c>
      <c r="U1510" s="1376" t="str">
        <f>IF(Q$1085="Yes",M1085,"")</f>
        <v/>
      </c>
      <c r="V1510" s="1376" t="str">
        <f>IF(Q$1095="Yes",M1095,"")</f>
        <v/>
      </c>
      <c r="W1510" s="1376" t="s">
        <v>1721</v>
      </c>
      <c r="X1510" s="1376">
        <f>IF(U$1105="Yes",IF(U$1134="Yes",2,1),0)</f>
        <v>0</v>
      </c>
      <c r="Y1510" s="1376" t="str">
        <f>IF(Q$1105="Yes",M1105,"")</f>
        <v/>
      </c>
      <c r="Z1510" s="1376" t="str">
        <f>IF(Q$1134="Yes",M1134,"")</f>
        <v/>
      </c>
    </row>
    <row r="1511" spans="1:26" s="1370" customFormat="1" x14ac:dyDescent="0.25">
      <c r="A1511" s="1396" t="s">
        <v>1482</v>
      </c>
      <c r="B1511" s="1027" t="str">
        <f>IFERROR(_xlfn.CONCAT("D",('Configurable Tab'!$C$20+2)),"")</f>
        <v>D195</v>
      </c>
      <c r="C1511" s="1027" t="str">
        <f>IFERROR(_xlfn.CONCAT("E",('Configurable Tab'!$C$20+2)),"")</f>
        <v>E195</v>
      </c>
      <c r="D1511" s="694" t="s">
        <v>1448</v>
      </c>
      <c r="E1511" s="1030" t="s">
        <v>1893</v>
      </c>
      <c r="F1511" s="1376"/>
      <c r="G1511" s="1376"/>
      <c r="H1511" s="1376"/>
      <c r="I1511" s="1026" t="str">
        <f t="shared" si="197"/>
        <v/>
      </c>
      <c r="J1511" s="1376" t="str">
        <f t="shared" ref="J1511:J1528" si="207">$Q$1&amp;IF(T$1510&lt;&gt;0,U1511,IF(T$1529&lt;&gt;0,U1530,IF(X$1510&lt;&gt;0,Y1511,"")))</f>
        <v/>
      </c>
      <c r="K1511" s="1376" t="str">
        <f t="shared" si="198"/>
        <v/>
      </c>
      <c r="L1511" s="1376"/>
      <c r="M1511" s="1376"/>
      <c r="N1511" s="1376"/>
      <c r="R1511" s="1376" t="s">
        <v>1168</v>
      </c>
      <c r="S1511" s="1376" t="s">
        <v>1718</v>
      </c>
      <c r="U1511" s="1376" t="str">
        <f>IF(Q$1085="Yes",M1086,"")</f>
        <v/>
      </c>
      <c r="V1511" s="1376" t="str">
        <f t="shared" ref="V1511" si="208">IF(Q$1095="Yes",M1096,"")</f>
        <v/>
      </c>
      <c r="W1511" s="1376" t="s">
        <v>1721</v>
      </c>
      <c r="Y1511" s="1376" t="str">
        <f t="shared" ref="Y1511" si="209">IF(Q$1105="Yes",M1106,"")</f>
        <v/>
      </c>
      <c r="Z1511" s="1376" t="str">
        <f t="shared" ref="Z1511" si="210">IF(Q$1134="Yes",M1135,"")</f>
        <v/>
      </c>
    </row>
    <row r="1512" spans="1:26" s="1370" customFormat="1" x14ac:dyDescent="0.25">
      <c r="A1512" s="1396" t="s">
        <v>1484</v>
      </c>
      <c r="B1512" s="1027" t="str">
        <f>IFERROR(_xlfn.CONCAT("D",('Configurable Tab'!$C$20+4)),"")</f>
        <v>D197</v>
      </c>
      <c r="C1512" s="1027" t="str">
        <f>IFERROR(_xlfn.CONCAT("E",('Configurable Tab'!$C$20+4)),"")</f>
        <v>E197</v>
      </c>
      <c r="D1512" s="694" t="s">
        <v>1448</v>
      </c>
      <c r="E1512" s="1030" t="s">
        <v>1893</v>
      </c>
      <c r="F1512" s="1376"/>
      <c r="G1512" s="1376"/>
      <c r="H1512" s="1376"/>
      <c r="I1512" s="1026" t="str">
        <f t="shared" si="197"/>
        <v/>
      </c>
      <c r="J1512" s="1376" t="str">
        <f t="shared" si="207"/>
        <v/>
      </c>
      <c r="K1512" s="1376" t="str">
        <f t="shared" si="198"/>
        <v/>
      </c>
      <c r="L1512" s="1376"/>
      <c r="M1512" s="1376"/>
      <c r="N1512" s="1376"/>
      <c r="R1512" s="1376" t="s">
        <v>1168</v>
      </c>
      <c r="S1512" s="1376" t="s">
        <v>1718</v>
      </c>
      <c r="U1512" s="1376" t="str">
        <f>IF(Q$1085="Yes",M1089,"")</f>
        <v/>
      </c>
      <c r="V1512" s="1376" t="str">
        <f>IF(Q$1095="Yes",M1099,"")</f>
        <v/>
      </c>
      <c r="W1512" s="1376" t="s">
        <v>1721</v>
      </c>
      <c r="Y1512" s="1376" t="str">
        <f>IF(Q$1105="Yes",M1112,"")</f>
        <v/>
      </c>
      <c r="Z1512" s="1376" t="str">
        <f>IF(Q$1134="Yes",M1141,"")</f>
        <v/>
      </c>
    </row>
    <row r="1513" spans="1:26" s="1370" customFormat="1" x14ac:dyDescent="0.25">
      <c r="A1513" s="1397" t="s">
        <v>1485</v>
      </c>
      <c r="B1513" s="1027" t="str">
        <f>IFERROR(_xlfn.CONCAT("D",('Configurable Tab'!$C$20+5)),"")</f>
        <v>D198</v>
      </c>
      <c r="C1513" s="1027" t="str">
        <f>IFERROR(_xlfn.CONCAT("E",('Configurable Tab'!$C$20+5)),"")</f>
        <v>E198</v>
      </c>
      <c r="D1513" s="694" t="s">
        <v>1448</v>
      </c>
      <c r="E1513" s="1030" t="s">
        <v>1893</v>
      </c>
      <c r="F1513" s="1376"/>
      <c r="G1513" s="1376"/>
      <c r="H1513" s="1376"/>
      <c r="I1513" s="1026" t="str">
        <f t="shared" si="197"/>
        <v/>
      </c>
      <c r="J1513" s="1376" t="str">
        <f t="shared" si="207"/>
        <v/>
      </c>
      <c r="K1513" s="1376" t="str">
        <f t="shared" si="198"/>
        <v/>
      </c>
      <c r="L1513" s="1376"/>
      <c r="M1513" s="1376"/>
      <c r="N1513" s="1376"/>
      <c r="R1513" s="1376" t="s">
        <v>1168</v>
      </c>
      <c r="S1513" s="1376" t="s">
        <v>1718</v>
      </c>
      <c r="U1513" s="1376" t="str">
        <f>IF(Q$1085="Yes",M1090,"")</f>
        <v/>
      </c>
      <c r="V1513" s="1376" t="str">
        <f>IF(Q$1095="Yes",M1100,"")</f>
        <v/>
      </c>
      <c r="W1513" s="1376" t="s">
        <v>1721</v>
      </c>
      <c r="Y1513" s="1376" t="str">
        <f>IF(Q$1105="Yes",M1113,"")</f>
        <v/>
      </c>
      <c r="Z1513" s="1376" t="str">
        <f>IF(Q$1134="Yes",M1142,"")</f>
        <v/>
      </c>
    </row>
    <row r="1514" spans="1:26" s="1370" customFormat="1" x14ac:dyDescent="0.25">
      <c r="A1514" s="1396" t="s">
        <v>1479</v>
      </c>
      <c r="B1514" s="1027" t="str">
        <f>IFERROR(_xlfn.CONCAT("G",('Configurable Tab'!$C$20+1)),"")</f>
        <v>G194</v>
      </c>
      <c r="C1514" s="1027" t="str">
        <f>IFERROR(_xlfn.CONCAT("G",('Configurable Tab'!$C$20+2)),"")</f>
        <v>G195</v>
      </c>
      <c r="D1514" s="694" t="s">
        <v>1448</v>
      </c>
      <c r="E1514" s="1030" t="s">
        <v>1893</v>
      </c>
      <c r="F1514" s="1376"/>
      <c r="G1514" s="1376"/>
      <c r="H1514" s="1376"/>
      <c r="I1514" s="1026" t="str">
        <f t="shared" si="197"/>
        <v/>
      </c>
      <c r="J1514" s="1376" t="str">
        <f t="shared" si="207"/>
        <v/>
      </c>
      <c r="K1514" s="1376" t="str">
        <f t="shared" si="198"/>
        <v/>
      </c>
      <c r="L1514" s="1376"/>
      <c r="M1514" s="1376"/>
      <c r="N1514" s="1376"/>
      <c r="R1514" s="1376" t="s">
        <v>1168</v>
      </c>
      <c r="S1514" s="1376" t="s">
        <v>1718</v>
      </c>
      <c r="U1514" s="1354"/>
      <c r="V1514" s="1354"/>
      <c r="W1514" s="1376" t="s">
        <v>1721</v>
      </c>
      <c r="Y1514" s="1376" t="str">
        <f>IF(Q$1105="Yes",M1107,"")</f>
        <v/>
      </c>
      <c r="Z1514" s="1376" t="str">
        <f>IF(Q$1134="Yes",M1136,"")</f>
        <v/>
      </c>
    </row>
    <row r="1515" spans="1:26" s="1370" customFormat="1" x14ac:dyDescent="0.25">
      <c r="A1515" s="1396" t="s">
        <v>1480</v>
      </c>
      <c r="B1515" s="1027" t="str">
        <f>IFERROR(_xlfn.CONCAT("I",('Configurable Tab'!$C$20+1)),"")</f>
        <v>I194</v>
      </c>
      <c r="C1515" s="1027" t="str">
        <f>IFERROR(_xlfn.CONCAT("I",('Configurable Tab'!$C$20+2)),"")</f>
        <v>I195</v>
      </c>
      <c r="D1515" s="694" t="s">
        <v>1448</v>
      </c>
      <c r="E1515" s="1030" t="s">
        <v>1893</v>
      </c>
      <c r="F1515" s="1376"/>
      <c r="G1515" s="1376"/>
      <c r="H1515" s="1376"/>
      <c r="I1515" s="1026" t="str">
        <f t="shared" si="197"/>
        <v/>
      </c>
      <c r="J1515" s="1376" t="str">
        <f t="shared" si="207"/>
        <v/>
      </c>
      <c r="K1515" s="1376" t="str">
        <f t="shared" si="198"/>
        <v/>
      </c>
      <c r="L1515" s="1376"/>
      <c r="M1515" s="1376"/>
      <c r="N1515" s="1376"/>
      <c r="R1515" s="1376" t="s">
        <v>1168</v>
      </c>
      <c r="S1515" s="1376" t="s">
        <v>1718</v>
      </c>
      <c r="U1515" s="1376" t="str">
        <f>IF(Q$1085="Yes",M1087,"")</f>
        <v/>
      </c>
      <c r="V1515" s="1376" t="str">
        <f>IF(Q$1095="Yes",M1097,"")</f>
        <v/>
      </c>
      <c r="W1515" s="1376" t="s">
        <v>1721</v>
      </c>
      <c r="Y1515" s="1376" t="str">
        <f t="shared" ref="Y1515:Y1516" si="211">IF(Q$1105="Yes",M1108,"")</f>
        <v/>
      </c>
      <c r="Z1515" s="1376" t="str">
        <f>IF(Q$1134="Yes",M1137,"")</f>
        <v/>
      </c>
    </row>
    <row r="1516" spans="1:26" s="1370" customFormat="1" x14ac:dyDescent="0.25">
      <c r="A1516" s="1396" t="s">
        <v>1481</v>
      </c>
      <c r="B1516" s="1027" t="str">
        <f>IFERROR(_xlfn.CONCAT("M",('Configurable Tab'!$C$20+1)),"")</f>
        <v>M194</v>
      </c>
      <c r="C1516" s="1027" t="str">
        <f>IFERROR(_xlfn.CONCAT("M",('Configurable Tab'!$C$20+2)),"")</f>
        <v>M195</v>
      </c>
      <c r="D1516" s="694" t="s">
        <v>1448</v>
      </c>
      <c r="E1516" s="1030" t="s">
        <v>1893</v>
      </c>
      <c r="F1516" s="1376"/>
      <c r="G1516" s="1376"/>
      <c r="H1516" s="1376"/>
      <c r="I1516" s="1026" t="str">
        <f t="shared" si="197"/>
        <v/>
      </c>
      <c r="J1516" s="1376" t="str">
        <f t="shared" si="207"/>
        <v/>
      </c>
      <c r="K1516" s="1376" t="str">
        <f t="shared" si="198"/>
        <v/>
      </c>
      <c r="L1516" s="1376"/>
      <c r="M1516" s="1376"/>
      <c r="N1516" s="1376"/>
      <c r="R1516" s="1376" t="s">
        <v>1168</v>
      </c>
      <c r="S1516" s="1376" t="s">
        <v>1718</v>
      </c>
      <c r="U1516" s="1376" t="str">
        <f>IF(Q$1085="Yes",M1088,"")</f>
        <v/>
      </c>
      <c r="V1516" s="1376" t="str">
        <f>IF(Q$1095="Yes",M1098,"")</f>
        <v/>
      </c>
      <c r="W1516" s="1376" t="s">
        <v>1721</v>
      </c>
      <c r="Y1516" s="1376" t="str">
        <f t="shared" si="211"/>
        <v/>
      </c>
      <c r="Z1516" s="1376" t="str">
        <f>IF(Q$1134="Yes",M1138,"")</f>
        <v/>
      </c>
    </row>
    <row r="1517" spans="1:26" s="1370" customFormat="1" x14ac:dyDescent="0.25">
      <c r="A1517" s="1396" t="s">
        <v>1495</v>
      </c>
      <c r="B1517" s="1026" t="str">
        <f>IFERROR(_xlfn.CONCAT("G",('Configurable Tab'!$C$20+4)),"")</f>
        <v>G197</v>
      </c>
      <c r="C1517" s="1026" t="str">
        <f>IFERROR(_xlfn.CONCAT("G",('Configurable Tab'!$C$20+5)),"")</f>
        <v>G198</v>
      </c>
      <c r="D1517" s="1376" t="s">
        <v>1448</v>
      </c>
      <c r="E1517" s="1029" t="s">
        <v>1893</v>
      </c>
      <c r="F1517" s="180"/>
      <c r="G1517" s="1405"/>
      <c r="I1517" s="1026" t="str">
        <f t="shared" si="197"/>
        <v/>
      </c>
      <c r="J1517" s="1376" t="str">
        <f t="shared" si="207"/>
        <v/>
      </c>
      <c r="K1517" s="1376" t="str">
        <f t="shared" si="198"/>
        <v/>
      </c>
      <c r="L1517" s="1376"/>
      <c r="M1517" s="1376"/>
      <c r="N1517" s="1376"/>
      <c r="R1517" s="1376" t="s">
        <v>1168</v>
      </c>
      <c r="S1517" s="1376" t="s">
        <v>1718</v>
      </c>
      <c r="U1517" s="1376" t="str">
        <f>IF(Q$1085="Yes",M1093,"")</f>
        <v/>
      </c>
      <c r="V1517" s="1376" t="str">
        <f>IF(Q$1095="Yes",M1103,"")</f>
        <v/>
      </c>
      <c r="W1517" s="1376" t="s">
        <v>1721</v>
      </c>
      <c r="Y1517" s="1376" t="str">
        <f>IF(Q$1105="Yes",M1117,"")</f>
        <v/>
      </c>
      <c r="Z1517" s="1376" t="str">
        <f>IF(Q$1134="Yes",M1146,"")</f>
        <v/>
      </c>
    </row>
    <row r="1518" spans="1:26" s="1370" customFormat="1" x14ac:dyDescent="0.25">
      <c r="A1518" s="1407" t="s">
        <v>1488</v>
      </c>
      <c r="B1518" s="1026" t="str">
        <f>IFERROR(_xlfn.CONCAT("G",('Configurable Tab'!$C$20+7)),"")</f>
        <v>G200</v>
      </c>
      <c r="C1518" s="1026" t="str">
        <f>IFERROR(_xlfn.CONCAT("G",('Configurable Tab'!$C$20+8)),"")</f>
        <v>G201</v>
      </c>
      <c r="D1518" s="1376" t="s">
        <v>1448</v>
      </c>
      <c r="E1518" s="1029" t="s">
        <v>1893</v>
      </c>
      <c r="I1518" s="1026" t="str">
        <f t="shared" si="197"/>
        <v/>
      </c>
      <c r="J1518" s="1376" t="str">
        <f t="shared" si="207"/>
        <v/>
      </c>
      <c r="K1518" s="1376" t="str">
        <f t="shared" si="198"/>
        <v/>
      </c>
      <c r="L1518" s="1376"/>
      <c r="M1518" s="1376"/>
      <c r="N1518" s="1376"/>
      <c r="R1518" s="1376" t="s">
        <v>1168</v>
      </c>
      <c r="W1518" s="1376" t="s">
        <v>1721</v>
      </c>
      <c r="Y1518" s="1376" t="str">
        <f>IF(Q$1105="Yes",M1116,"")</f>
        <v/>
      </c>
      <c r="Z1518" s="1376" t="str">
        <f>IF(Q$1134="Yes",M1145,"")</f>
        <v/>
      </c>
    </row>
    <row r="1519" spans="1:26" s="1370" customFormat="1" x14ac:dyDescent="0.25">
      <c r="A1519" s="1407" t="s">
        <v>751</v>
      </c>
      <c r="B1519" s="1026" t="str">
        <f>IFERROR(_xlfn.CONCAT("G",('Configurable Tab'!$C$20+4)),"")</f>
        <v>G197</v>
      </c>
      <c r="C1519" s="1026" t="str">
        <f>IFERROR(_xlfn.CONCAT("G",('Configurable Tab'!$C$20+5)),"")</f>
        <v>G198</v>
      </c>
      <c r="D1519" s="1376" t="s">
        <v>1448</v>
      </c>
      <c r="E1519" s="1029" t="s">
        <v>1893</v>
      </c>
      <c r="I1519" s="1026" t="str">
        <f t="shared" si="197"/>
        <v/>
      </c>
      <c r="J1519" s="1376" t="str">
        <f t="shared" si="207"/>
        <v/>
      </c>
      <c r="K1519" s="1376" t="str">
        <f t="shared" si="198"/>
        <v/>
      </c>
      <c r="L1519" s="1376"/>
      <c r="M1519" s="1376"/>
      <c r="N1519" s="1376"/>
      <c r="R1519" s="1376" t="s">
        <v>1168</v>
      </c>
      <c r="W1519" s="1376" t="s">
        <v>1721</v>
      </c>
      <c r="Y1519" s="1376" t="str">
        <f>IF(Q$1105="Yes",M1119,"")</f>
        <v/>
      </c>
      <c r="Z1519" s="1376" t="str">
        <f>IF(Q$1134="Yes",M1148,"")</f>
        <v/>
      </c>
    </row>
    <row r="1520" spans="1:26" s="1370" customFormat="1" x14ac:dyDescent="0.25">
      <c r="A1520" s="1407" t="s">
        <v>751</v>
      </c>
      <c r="B1520" s="1026" t="str">
        <f>IFERROR(_xlfn.CONCAT("G",('Configurable Tab'!$C$20+4)),"")</f>
        <v>G197</v>
      </c>
      <c r="C1520" s="1026" t="str">
        <f>IFERROR(_xlfn.CONCAT("G",('Configurable Tab'!$C$20+6)),"")</f>
        <v>G199</v>
      </c>
      <c r="D1520" s="1376" t="s">
        <v>1448</v>
      </c>
      <c r="E1520" s="1029" t="s">
        <v>1893</v>
      </c>
      <c r="I1520" s="1026" t="str">
        <f t="shared" si="197"/>
        <v/>
      </c>
      <c r="J1520" s="1376" t="str">
        <f t="shared" si="207"/>
        <v/>
      </c>
      <c r="K1520" s="1376" t="str">
        <f t="shared" si="198"/>
        <v/>
      </c>
      <c r="L1520" s="1376"/>
      <c r="M1520" s="1376"/>
      <c r="N1520" s="1376"/>
      <c r="R1520" s="1376" t="s">
        <v>1168</v>
      </c>
      <c r="W1520" s="1376" t="s">
        <v>1721</v>
      </c>
      <c r="Y1520" s="1376" t="str">
        <f>IF(Q$1105="Yes",M1122,"")</f>
        <v/>
      </c>
      <c r="Z1520" s="1376" t="str">
        <f>IF(Q$1134="Yes",M1151,"")</f>
        <v/>
      </c>
    </row>
    <row r="1521" spans="1:26" s="1370" customFormat="1" x14ac:dyDescent="0.25">
      <c r="A1521" s="1407" t="s">
        <v>751</v>
      </c>
      <c r="B1521" s="1026" t="str">
        <f>IFERROR(_xlfn.CONCAT("G",('Configurable Tab'!$C$20+4)),"")</f>
        <v>G197</v>
      </c>
      <c r="C1521" s="1026" t="str">
        <f>IFERROR(_xlfn.CONCAT("G",('Configurable Tab'!$C$20+7)),"")</f>
        <v>G200</v>
      </c>
      <c r="D1521" s="1376" t="s">
        <v>1448</v>
      </c>
      <c r="E1521" s="1029" t="s">
        <v>1893</v>
      </c>
      <c r="I1521" s="1026" t="str">
        <f t="shared" si="197"/>
        <v/>
      </c>
      <c r="J1521" s="1376" t="str">
        <f t="shared" si="207"/>
        <v/>
      </c>
      <c r="K1521" s="1376" t="str">
        <f t="shared" si="198"/>
        <v/>
      </c>
      <c r="L1521" s="1376"/>
      <c r="M1521" s="1376"/>
      <c r="N1521" s="1376"/>
      <c r="R1521" s="1376" t="s">
        <v>1168</v>
      </c>
      <c r="W1521" s="1376" t="s">
        <v>1721</v>
      </c>
      <c r="Y1521" s="1376" t="str">
        <f>IF(Q$1105="Yes",M1125,"")</f>
        <v/>
      </c>
      <c r="Z1521" s="1376" t="str">
        <f>IF(Q$1134="Yes",M1154,"")</f>
        <v/>
      </c>
    </row>
    <row r="1522" spans="1:26" s="1370" customFormat="1" x14ac:dyDescent="0.25">
      <c r="A1522" s="1407" t="s">
        <v>751</v>
      </c>
      <c r="B1522" s="1026" t="str">
        <f>IFERROR(_xlfn.CONCAT("G",('Configurable Tab'!$C$20+4)),"")</f>
        <v>G197</v>
      </c>
      <c r="C1522" s="1026" t="str">
        <f>IFERROR(_xlfn.CONCAT("G",('Configurable Tab'!$C$20+8)),"")</f>
        <v>G201</v>
      </c>
      <c r="D1522" s="1376" t="s">
        <v>1448</v>
      </c>
      <c r="E1522" s="1029" t="s">
        <v>1893</v>
      </c>
      <c r="I1522" s="1026" t="str">
        <f t="shared" si="197"/>
        <v/>
      </c>
      <c r="J1522" s="1376" t="str">
        <f t="shared" si="207"/>
        <v/>
      </c>
      <c r="K1522" s="1376" t="str">
        <f t="shared" si="198"/>
        <v/>
      </c>
      <c r="L1522" s="1376"/>
      <c r="M1522" s="1376"/>
      <c r="N1522" s="1376"/>
      <c r="R1522" s="1376" t="s">
        <v>1168</v>
      </c>
      <c r="W1522" s="1376" t="s">
        <v>1721</v>
      </c>
      <c r="Y1522" s="1376" t="str">
        <f>IF(Q$1105="Yes",M1128,"")</f>
        <v/>
      </c>
      <c r="Z1522" s="1376" t="str">
        <f>IF(Q$1134="Yes",M1157,"")</f>
        <v/>
      </c>
    </row>
    <row r="1523" spans="1:26" s="1370" customFormat="1" x14ac:dyDescent="0.25">
      <c r="A1523" s="1407" t="s">
        <v>751</v>
      </c>
      <c r="B1523" s="1026" t="str">
        <f>IFERROR(_xlfn.CONCAT("G",('Configurable Tab'!$C$20+4)),"")</f>
        <v>G197</v>
      </c>
      <c r="C1523" s="1026" t="str">
        <f>IFERROR(_xlfn.CONCAT("G",('Configurable Tab'!$C$20+9)),"")</f>
        <v>G202</v>
      </c>
      <c r="D1523" s="1376" t="s">
        <v>1448</v>
      </c>
      <c r="E1523" s="1029" t="s">
        <v>1893</v>
      </c>
      <c r="I1523" s="1026" t="str">
        <f t="shared" si="197"/>
        <v/>
      </c>
      <c r="J1523" s="1376" t="str">
        <f t="shared" si="207"/>
        <v/>
      </c>
      <c r="K1523" s="1376" t="str">
        <f t="shared" si="198"/>
        <v/>
      </c>
      <c r="L1523" s="1376"/>
      <c r="M1523" s="1376"/>
      <c r="N1523" s="1376"/>
      <c r="R1523" s="1376" t="s">
        <v>1168</v>
      </c>
      <c r="W1523" s="1376" t="s">
        <v>1721</v>
      </c>
      <c r="Y1523" s="1376" t="str">
        <f>IF(Q$1105="Yes",M1131,"")</f>
        <v/>
      </c>
      <c r="Z1523" s="1376" t="str">
        <f>IF(Q$1134="Yes",M1160,"")</f>
        <v/>
      </c>
    </row>
    <row r="1524" spans="1:26" s="1370" customFormat="1" x14ac:dyDescent="0.25">
      <c r="A1524" s="1407" t="s">
        <v>1584</v>
      </c>
      <c r="B1524" s="1026" t="str">
        <f>IFERROR(_xlfn.CONCAT("G",('Configurable Tab'!$C$20+4)),"")</f>
        <v>G197</v>
      </c>
      <c r="C1524" s="1026" t="str">
        <f>IFERROR(_xlfn.CONCAT("G",('Configurable Tab'!$C$20+5)),"")</f>
        <v>G198</v>
      </c>
      <c r="D1524" s="1376" t="s">
        <v>1448</v>
      </c>
      <c r="E1524" s="1029" t="s">
        <v>1893</v>
      </c>
      <c r="I1524" s="1026" t="str">
        <f t="shared" si="197"/>
        <v/>
      </c>
      <c r="J1524" s="1376" t="str">
        <f t="shared" si="207"/>
        <v/>
      </c>
      <c r="K1524" s="1376" t="str">
        <f t="shared" si="198"/>
        <v/>
      </c>
      <c r="L1524" s="1376"/>
      <c r="M1524" s="1376"/>
      <c r="N1524" s="1376"/>
      <c r="R1524" s="1376" t="s">
        <v>1168</v>
      </c>
      <c r="W1524" s="1376" t="s">
        <v>1721</v>
      </c>
      <c r="Y1524" s="1376" t="str">
        <f>IF(Q$1105="Yes",M1120,"")</f>
        <v/>
      </c>
      <c r="Z1524" s="1376" t="str">
        <f>IF(Q$1134="Yes",M1149,"")</f>
        <v/>
      </c>
    </row>
    <row r="1525" spans="1:26" s="1370" customFormat="1" x14ac:dyDescent="0.25">
      <c r="A1525" s="1407" t="s">
        <v>1584</v>
      </c>
      <c r="B1525" s="1026" t="str">
        <f>IFERROR(_xlfn.CONCAT("G",('Configurable Tab'!$C$20+4)),"")</f>
        <v>G197</v>
      </c>
      <c r="C1525" s="1026" t="str">
        <f>IFERROR(_xlfn.CONCAT("G",('Configurable Tab'!$C$20+6)),"")</f>
        <v>G199</v>
      </c>
      <c r="D1525" s="1376" t="s">
        <v>1448</v>
      </c>
      <c r="E1525" s="1029" t="s">
        <v>1893</v>
      </c>
      <c r="I1525" s="1026" t="str">
        <f t="shared" si="197"/>
        <v/>
      </c>
      <c r="J1525" s="1376" t="str">
        <f t="shared" si="207"/>
        <v/>
      </c>
      <c r="K1525" s="1376" t="str">
        <f t="shared" si="198"/>
        <v/>
      </c>
      <c r="L1525" s="1376"/>
      <c r="M1525" s="1376"/>
      <c r="N1525" s="1376"/>
      <c r="R1525" s="1376" t="s">
        <v>1168</v>
      </c>
      <c r="W1525" s="1376" t="s">
        <v>1721</v>
      </c>
      <c r="Y1525" s="1376" t="str">
        <f>IF(Q$1105="Yes",M1123,"")</f>
        <v/>
      </c>
      <c r="Z1525" s="1376" t="str">
        <f>IF(Q$1134="Yes",M1152,"")</f>
        <v/>
      </c>
    </row>
    <row r="1526" spans="1:26" s="1370" customFormat="1" x14ac:dyDescent="0.25">
      <c r="A1526" s="1407" t="s">
        <v>1584</v>
      </c>
      <c r="B1526" s="1026" t="str">
        <f>IFERROR(_xlfn.CONCAT("G",('Configurable Tab'!$C$20+4)),"")</f>
        <v>G197</v>
      </c>
      <c r="C1526" s="1026" t="str">
        <f>IFERROR(_xlfn.CONCAT("G",('Configurable Tab'!$C$20+7)),"")</f>
        <v>G200</v>
      </c>
      <c r="D1526" s="1376" t="s">
        <v>1448</v>
      </c>
      <c r="E1526" s="1029" t="s">
        <v>1893</v>
      </c>
      <c r="I1526" s="1026" t="str">
        <f t="shared" si="197"/>
        <v/>
      </c>
      <c r="J1526" s="1376" t="str">
        <f t="shared" si="207"/>
        <v/>
      </c>
      <c r="K1526" s="1376" t="str">
        <f t="shared" si="198"/>
        <v/>
      </c>
      <c r="L1526" s="1376"/>
      <c r="M1526" s="1376"/>
      <c r="N1526" s="1376"/>
      <c r="R1526" s="1376" t="s">
        <v>1168</v>
      </c>
      <c r="W1526" s="1376" t="s">
        <v>1721</v>
      </c>
      <c r="Y1526" s="1376" t="str">
        <f>IF(Q$1105="Yes",M1126,"")</f>
        <v/>
      </c>
      <c r="Z1526" s="1376" t="str">
        <f>IF(Q$1134="Yes",M1155,"")</f>
        <v/>
      </c>
    </row>
    <row r="1527" spans="1:26" s="1370" customFormat="1" x14ac:dyDescent="0.25">
      <c r="A1527" s="1407" t="s">
        <v>1584</v>
      </c>
      <c r="B1527" s="1026" t="str">
        <f>IFERROR(_xlfn.CONCAT("G",('Configurable Tab'!$C$20+4)),"")</f>
        <v>G197</v>
      </c>
      <c r="C1527" s="1026" t="str">
        <f>IFERROR(_xlfn.CONCAT("G",('Configurable Tab'!$C$20+8)),"")</f>
        <v>G201</v>
      </c>
      <c r="D1527" s="1376" t="s">
        <v>1448</v>
      </c>
      <c r="E1527" s="1029" t="s">
        <v>1893</v>
      </c>
      <c r="I1527" s="1026" t="str">
        <f t="shared" si="197"/>
        <v/>
      </c>
      <c r="J1527" s="1376" t="str">
        <f t="shared" si="207"/>
        <v/>
      </c>
      <c r="K1527" s="1376" t="str">
        <f t="shared" si="198"/>
        <v/>
      </c>
      <c r="L1527" s="1376"/>
      <c r="M1527" s="1376"/>
      <c r="N1527" s="1376"/>
      <c r="R1527" s="1376" t="s">
        <v>1168</v>
      </c>
      <c r="W1527" s="1376" t="s">
        <v>1721</v>
      </c>
      <c r="Y1527" s="1376" t="str">
        <f>IF(Q$1105="Yes",M1129,"")</f>
        <v/>
      </c>
      <c r="Z1527" s="1376" t="str">
        <f>IF(Q$1134="Yes",M1158,"")</f>
        <v/>
      </c>
    </row>
    <row r="1528" spans="1:26" s="1370" customFormat="1" x14ac:dyDescent="0.25">
      <c r="A1528" s="1407" t="s">
        <v>1584</v>
      </c>
      <c r="B1528" s="1026" t="str">
        <f>IFERROR(_xlfn.CONCAT("G",('Configurable Tab'!$C$20+4)),"")</f>
        <v>G197</v>
      </c>
      <c r="C1528" s="1026" t="str">
        <f>IFERROR(_xlfn.CONCAT("G",('Configurable Tab'!$C$20+9)),"")</f>
        <v>G202</v>
      </c>
      <c r="D1528" s="1376" t="s">
        <v>1448</v>
      </c>
      <c r="E1528" s="1029" t="s">
        <v>1893</v>
      </c>
      <c r="I1528" s="1026" t="str">
        <f t="shared" si="197"/>
        <v/>
      </c>
      <c r="J1528" s="1376" t="str">
        <f t="shared" si="207"/>
        <v/>
      </c>
      <c r="K1528" s="1376" t="str">
        <f t="shared" si="198"/>
        <v/>
      </c>
      <c r="L1528" s="1376"/>
      <c r="M1528" s="1376"/>
      <c r="N1528" s="1376"/>
      <c r="R1528" s="1376" t="s">
        <v>1168</v>
      </c>
      <c r="W1528" s="1376" t="s">
        <v>1721</v>
      </c>
      <c r="Y1528" s="1376" t="str">
        <f>IF(Q$1105="Yes",M1132,"")</f>
        <v/>
      </c>
      <c r="Z1528" s="1376" t="str">
        <f>IF(Q$1134="Yes",M1161,"")</f>
        <v/>
      </c>
    </row>
    <row r="1529" spans="1:26" s="1370" customFormat="1" x14ac:dyDescent="0.25">
      <c r="A1529" s="1386" t="s">
        <v>528</v>
      </c>
      <c r="B1529" s="1027" t="str">
        <f>IFERROR(_xlfn.CONCAT("D",('Configurable Tab'!$C$21+1)),"")</f>
        <v>D206</v>
      </c>
      <c r="C1529" s="1027" t="str">
        <f>IFERROR(_xlfn.CONCAT("E",('Configurable Tab'!$C$21+1)),"")</f>
        <v>E206</v>
      </c>
      <c r="D1529" s="694" t="s">
        <v>1448</v>
      </c>
      <c r="E1529" s="1030" t="s">
        <v>1893</v>
      </c>
      <c r="F1529" s="1376"/>
      <c r="G1529" s="1376"/>
      <c r="H1529" s="1376"/>
      <c r="I1529" s="1026" t="str">
        <f t="shared" si="197"/>
        <v/>
      </c>
      <c r="J1529" s="1376" t="str">
        <f>$Q$1&amp;IF(T$1510=2,V1510,IF(T$1510=1,IF(AND(T$1529=1,T$1529&lt;&gt;0),U1529,IF(AND(X$1510=1,X$1510&lt;&gt;0),Y1510,"")),IF(T$1529=2,V1529,IF(T$1529=1,IF(AND(X$1510=1,X$1510&lt;&gt;0),Y1510,""),IF(X$1510=2,Z1510,"")))))</f>
        <v/>
      </c>
      <c r="K1529" s="1376" t="str">
        <f t="shared" si="198"/>
        <v/>
      </c>
      <c r="L1529" s="1376"/>
      <c r="M1529" s="1376"/>
      <c r="N1529" s="1376"/>
      <c r="O1529" s="1370" t="s">
        <v>1916</v>
      </c>
      <c r="R1529" s="1376" t="s">
        <v>1168</v>
      </c>
      <c r="S1529" s="1375" t="s">
        <v>1917</v>
      </c>
      <c r="T1529" s="1376">
        <f>IF(Q$1163="Yes",IF(Q$1188="Yes",2,1),0)</f>
        <v>0</v>
      </c>
      <c r="U1529" s="1376" t="str">
        <f>IF(Q$1163="Yes",M1163,"")</f>
        <v/>
      </c>
      <c r="V1529" s="1376" t="str">
        <f>IF(Q$1188="Yes",M1188,"")</f>
        <v/>
      </c>
    </row>
    <row r="1530" spans="1:26" s="1370" customFormat="1" x14ac:dyDescent="0.25">
      <c r="A1530" s="1387" t="s">
        <v>1482</v>
      </c>
      <c r="B1530" s="1027" t="str">
        <f>IFERROR(_xlfn.CONCAT("D",('Configurable Tab'!$C$21+2)),"")</f>
        <v>D207</v>
      </c>
      <c r="C1530" s="1027" t="str">
        <f>IFERROR(_xlfn.CONCAT("E",('Configurable Tab'!$C$21+2)),"")</f>
        <v>E207</v>
      </c>
      <c r="D1530" s="694" t="s">
        <v>1448</v>
      </c>
      <c r="E1530" s="1030" t="s">
        <v>1893</v>
      </c>
      <c r="F1530" s="1376"/>
      <c r="G1530" s="1376"/>
      <c r="H1530" s="1376"/>
      <c r="I1530" s="1026" t="str">
        <f t="shared" si="197"/>
        <v/>
      </c>
      <c r="J1530" s="1376" t="str">
        <f t="shared" ref="J1530:J1547" si="212">$Q$1&amp;IF(T$1510=2,V1511,IF(T$1510=1,IF(AND(T$1529=1,T$1529&lt;&gt;0),U1530,IF(AND(X$1510=1,X$1510&lt;&gt;0),Y1511,"")),IF(T$1529=2,V1530,IF(T$1529=1,IF(AND(X$1510=1,X$1510&lt;&gt;0),Y1511,""),IF(X$1510=2,Z1511,"")))))</f>
        <v/>
      </c>
      <c r="K1530" s="1376" t="str">
        <f t="shared" si="198"/>
        <v/>
      </c>
      <c r="L1530" s="1376"/>
      <c r="M1530" s="1376"/>
      <c r="N1530" s="1376"/>
      <c r="R1530" s="1376" t="s">
        <v>1168</v>
      </c>
      <c r="U1530" s="1376" t="str">
        <f t="shared" ref="U1530" si="213">IF(Q$1163="Yes",M1164,"")</f>
        <v/>
      </c>
      <c r="V1530" s="1376" t="str">
        <f t="shared" ref="V1530" si="214">IF(Q$1188="Yes",M1189,"")</f>
        <v/>
      </c>
    </row>
    <row r="1531" spans="1:26" s="1370" customFormat="1" x14ac:dyDescent="0.25">
      <c r="A1531" s="1387" t="s">
        <v>1484</v>
      </c>
      <c r="B1531" s="1027" t="str">
        <f>IFERROR(_xlfn.CONCAT("D",('Configurable Tab'!$C$21+4)),"")</f>
        <v>D209</v>
      </c>
      <c r="C1531" s="1027" t="str">
        <f>IFERROR(_xlfn.CONCAT("E",('Configurable Tab'!$C$21+4)),"")</f>
        <v>E209</v>
      </c>
      <c r="D1531" s="694" t="s">
        <v>1448</v>
      </c>
      <c r="E1531" s="1030" t="s">
        <v>1893</v>
      </c>
      <c r="F1531" s="1376"/>
      <c r="G1531" s="1376"/>
      <c r="H1531" s="1376"/>
      <c r="I1531" s="1026" t="str">
        <f t="shared" si="197"/>
        <v/>
      </c>
      <c r="J1531" s="1376" t="str">
        <f t="shared" si="212"/>
        <v/>
      </c>
      <c r="K1531" s="1376" t="str">
        <f t="shared" si="198"/>
        <v/>
      </c>
      <c r="L1531" s="1376"/>
      <c r="M1531" s="1376"/>
      <c r="N1531" s="1376"/>
      <c r="R1531" s="1376" t="s">
        <v>1168</v>
      </c>
      <c r="U1531" s="1376" t="str">
        <f>IF(Q$1163="Yes",M1167,"")</f>
        <v/>
      </c>
      <c r="V1531" s="1376" t="str">
        <f>IF(Q$1188="Yes",M1192,"")</f>
        <v/>
      </c>
    </row>
    <row r="1532" spans="1:26" s="1370" customFormat="1" x14ac:dyDescent="0.25">
      <c r="A1532" s="1388" t="s">
        <v>1485</v>
      </c>
      <c r="B1532" s="1027" t="str">
        <f>IFERROR(_xlfn.CONCAT("D",('Configurable Tab'!$C$21+5)),"")</f>
        <v>D210</v>
      </c>
      <c r="C1532" s="1027" t="str">
        <f>IFERROR(_xlfn.CONCAT("E",('Configurable Tab'!$C$21+5)),"")</f>
        <v>E210</v>
      </c>
      <c r="D1532" s="694" t="s">
        <v>1448</v>
      </c>
      <c r="E1532" s="1030" t="s">
        <v>1893</v>
      </c>
      <c r="F1532" s="1376"/>
      <c r="G1532" s="1376"/>
      <c r="H1532" s="1376"/>
      <c r="I1532" s="1026" t="str">
        <f t="shared" si="197"/>
        <v/>
      </c>
      <c r="J1532" s="1376" t="str">
        <f t="shared" si="212"/>
        <v/>
      </c>
      <c r="K1532" s="1376" t="str">
        <f t="shared" si="198"/>
        <v/>
      </c>
      <c r="L1532" s="1376"/>
      <c r="M1532" s="1376"/>
      <c r="N1532" s="1376"/>
      <c r="R1532" s="1376" t="s">
        <v>1168</v>
      </c>
      <c r="U1532" s="1376" t="str">
        <f>IF(Q$1163="Yes",M1168,"")</f>
        <v/>
      </c>
      <c r="V1532" s="1376" t="str">
        <f>IF(Q$1188="Yes",M1193,"")</f>
        <v/>
      </c>
    </row>
    <row r="1533" spans="1:26" s="1370" customFormat="1" x14ac:dyDescent="0.25">
      <c r="A1533" s="1387" t="s">
        <v>1479</v>
      </c>
      <c r="B1533" s="1027" t="str">
        <f>IFERROR(_xlfn.CONCAT("G",('Configurable Tab'!$C$21+1)),"")</f>
        <v>G206</v>
      </c>
      <c r="C1533" s="1027" t="str">
        <f>IFERROR(_xlfn.CONCAT("G",('Configurable Tab'!$C$21+2)),"")</f>
        <v>G207</v>
      </c>
      <c r="D1533" s="694" t="s">
        <v>1448</v>
      </c>
      <c r="E1533" s="1030" t="s">
        <v>1893</v>
      </c>
      <c r="F1533" s="1376"/>
      <c r="G1533" s="1376"/>
      <c r="H1533" s="1376"/>
      <c r="I1533" s="1026" t="str">
        <f t="shared" si="197"/>
        <v/>
      </c>
      <c r="J1533" s="1376" t="str">
        <f t="shared" si="212"/>
        <v/>
      </c>
      <c r="K1533" s="1376" t="str">
        <f t="shared" si="198"/>
        <v/>
      </c>
      <c r="L1533" s="1376"/>
      <c r="M1533" s="1376"/>
      <c r="N1533" s="1376"/>
      <c r="R1533" s="1376" t="s">
        <v>1168</v>
      </c>
      <c r="U1533" s="1354"/>
      <c r="V1533" s="1354"/>
    </row>
    <row r="1534" spans="1:26" s="1370" customFormat="1" x14ac:dyDescent="0.25">
      <c r="A1534" s="1387" t="s">
        <v>1480</v>
      </c>
      <c r="B1534" s="1027" t="str">
        <f>IFERROR(_xlfn.CONCAT("I",('Configurable Tab'!$C$21+1)),"")</f>
        <v>I206</v>
      </c>
      <c r="C1534" s="1027" t="str">
        <f>IFERROR(_xlfn.CONCAT("I",('Configurable Tab'!$C$21+2)),"")</f>
        <v>I207</v>
      </c>
      <c r="D1534" s="694" t="s">
        <v>1448</v>
      </c>
      <c r="E1534" s="1030" t="s">
        <v>1893</v>
      </c>
      <c r="F1534" s="1376"/>
      <c r="G1534" s="1376"/>
      <c r="H1534" s="1376"/>
      <c r="I1534" s="1026" t="str">
        <f t="shared" si="197"/>
        <v/>
      </c>
      <c r="J1534" s="1376" t="str">
        <f t="shared" si="212"/>
        <v/>
      </c>
      <c r="K1534" s="1376" t="str">
        <f t="shared" si="198"/>
        <v/>
      </c>
      <c r="L1534" s="1376"/>
      <c r="M1534" s="1376"/>
      <c r="N1534" s="1376"/>
      <c r="R1534" s="1376" t="s">
        <v>1168</v>
      </c>
      <c r="U1534" s="1376" t="str">
        <f>IF(Q$1163="Yes",M1165,"")</f>
        <v/>
      </c>
      <c r="V1534" s="1376" t="str">
        <f>IF(Q$1188="Yes",M1190,"")</f>
        <v/>
      </c>
    </row>
    <row r="1535" spans="1:26" s="1370" customFormat="1" x14ac:dyDescent="0.25">
      <c r="A1535" s="1387" t="s">
        <v>1481</v>
      </c>
      <c r="B1535" s="1027" t="str">
        <f>IFERROR(_xlfn.CONCAT("M",('Configurable Tab'!$C$21+1)),"")</f>
        <v>M206</v>
      </c>
      <c r="C1535" s="1027" t="str">
        <f>IFERROR(_xlfn.CONCAT("M",('Configurable Tab'!$C$21+2)),"")</f>
        <v>M207</v>
      </c>
      <c r="D1535" s="694" t="s">
        <v>1448</v>
      </c>
      <c r="E1535" s="1030" t="s">
        <v>1893</v>
      </c>
      <c r="F1535" s="1376"/>
      <c r="G1535" s="1376"/>
      <c r="H1535" s="1376"/>
      <c r="I1535" s="1026" t="str">
        <f t="shared" si="197"/>
        <v/>
      </c>
      <c r="J1535" s="1376" t="str">
        <f t="shared" si="212"/>
        <v/>
      </c>
      <c r="K1535" s="1376" t="str">
        <f t="shared" si="198"/>
        <v/>
      </c>
      <c r="L1535" s="1376"/>
      <c r="M1535" s="1376"/>
      <c r="N1535" s="1376"/>
      <c r="R1535" s="1376" t="s">
        <v>1168</v>
      </c>
      <c r="U1535" s="1376" t="str">
        <f>IF(Q$1163="Yes",M1166,"")</f>
        <v/>
      </c>
      <c r="V1535" s="1376" t="str">
        <f>IF(Q$1188="Yes",M1191,"")</f>
        <v/>
      </c>
    </row>
    <row r="1536" spans="1:26" s="1370" customFormat="1" x14ac:dyDescent="0.25">
      <c r="A1536" s="1387" t="s">
        <v>1495</v>
      </c>
      <c r="B1536" s="1026" t="str">
        <f>IFERROR(_xlfn.CONCAT("G",('Configurable Tab'!$C$21+4)),"")</f>
        <v>G209</v>
      </c>
      <c r="C1536" s="1026" t="str">
        <f>IFERROR(_xlfn.CONCAT("G",('Configurable Tab'!$C$21+5)),"")</f>
        <v>G210</v>
      </c>
      <c r="D1536" s="1376" t="s">
        <v>1448</v>
      </c>
      <c r="E1536" s="1029" t="s">
        <v>1893</v>
      </c>
      <c r="F1536" s="180"/>
      <c r="G1536" s="1405"/>
      <c r="I1536" s="1026" t="str">
        <f t="shared" si="197"/>
        <v/>
      </c>
      <c r="J1536" s="1376" t="str">
        <f t="shared" si="212"/>
        <v/>
      </c>
      <c r="K1536" s="1376" t="str">
        <f t="shared" si="198"/>
        <v/>
      </c>
      <c r="L1536" s="1376"/>
      <c r="M1536" s="1376"/>
      <c r="N1536" s="1376"/>
      <c r="R1536" s="1376" t="s">
        <v>1168</v>
      </c>
      <c r="U1536" s="1376" t="str">
        <f>IF(Q$1163="Yes",M1171,"")</f>
        <v/>
      </c>
      <c r="V1536" s="1376" t="str">
        <f>IF(Q$1188="Yes",M1196,"")</f>
        <v/>
      </c>
    </row>
    <row r="1537" spans="1:22" s="1370" customFormat="1" x14ac:dyDescent="0.25">
      <c r="A1537" s="1408" t="s">
        <v>1488</v>
      </c>
      <c r="B1537" s="1026" t="str">
        <f>IFERROR(_xlfn.CONCAT("G",('Configurable Tab'!$C$21+7)),"")</f>
        <v>G212</v>
      </c>
      <c r="C1537" s="1026" t="str">
        <f>IFERROR(_xlfn.CONCAT("G",('Configurable Tab'!$C$21+8)),"")</f>
        <v>G213</v>
      </c>
      <c r="D1537" s="1376" t="s">
        <v>1448</v>
      </c>
      <c r="E1537" s="1029" t="s">
        <v>1893</v>
      </c>
      <c r="I1537" s="1026" t="str">
        <f t="shared" si="197"/>
        <v/>
      </c>
      <c r="J1537" s="1376" t="str">
        <f t="shared" si="212"/>
        <v/>
      </c>
      <c r="K1537" s="1376" t="str">
        <f t="shared" si="198"/>
        <v/>
      </c>
      <c r="L1537" s="1376"/>
      <c r="M1537" s="1376"/>
      <c r="N1537" s="1376"/>
      <c r="R1537" s="1376" t="s">
        <v>1168</v>
      </c>
      <c r="U1537" s="1354"/>
      <c r="V1537" s="1354"/>
    </row>
    <row r="1538" spans="1:22" s="1370" customFormat="1" x14ac:dyDescent="0.25">
      <c r="A1538" s="1408" t="s">
        <v>751</v>
      </c>
      <c r="B1538" s="1026" t="str">
        <f>IFERROR(_xlfn.CONCAT("G",('Configurable Tab'!$C$21+4)),"")</f>
        <v>G209</v>
      </c>
      <c r="C1538" s="1026" t="str">
        <f>IFERROR(_xlfn.CONCAT("G",('Configurable Tab'!$C$21+5)),"")</f>
        <v>G210</v>
      </c>
      <c r="D1538" s="1376" t="s">
        <v>1448</v>
      </c>
      <c r="E1538" s="1029" t="s">
        <v>1893</v>
      </c>
      <c r="I1538" s="1026" t="str">
        <f t="shared" si="197"/>
        <v/>
      </c>
      <c r="J1538" s="1376" t="str">
        <f t="shared" si="212"/>
        <v/>
      </c>
      <c r="K1538" s="1376" t="str">
        <f t="shared" si="198"/>
        <v/>
      </c>
      <c r="L1538" s="1376"/>
      <c r="M1538" s="1376"/>
      <c r="N1538" s="1376"/>
      <c r="R1538" s="1376" t="s">
        <v>1168</v>
      </c>
      <c r="U1538" s="1376" t="str">
        <f>IF(Q$1163="Yes",M1173,"")</f>
        <v/>
      </c>
      <c r="V1538" s="1376" t="str">
        <f>IF(Q$1188="Yes",M1198,"")</f>
        <v/>
      </c>
    </row>
    <row r="1539" spans="1:22" s="1370" customFormat="1" x14ac:dyDescent="0.25">
      <c r="A1539" s="1408" t="s">
        <v>751</v>
      </c>
      <c r="B1539" s="1026" t="str">
        <f>IFERROR(_xlfn.CONCAT("G",('Configurable Tab'!$C$21+4)),"")</f>
        <v>G209</v>
      </c>
      <c r="C1539" s="1026" t="str">
        <f>IFERROR(_xlfn.CONCAT("G",('Configurable Tab'!$C$21+6)),"")</f>
        <v>G211</v>
      </c>
      <c r="D1539" s="1376" t="s">
        <v>1448</v>
      </c>
      <c r="E1539" s="1029" t="s">
        <v>1893</v>
      </c>
      <c r="I1539" s="1026" t="str">
        <f t="shared" si="197"/>
        <v/>
      </c>
      <c r="J1539" s="1376" t="str">
        <f t="shared" si="212"/>
        <v/>
      </c>
      <c r="K1539" s="1376" t="str">
        <f t="shared" si="198"/>
        <v/>
      </c>
      <c r="L1539" s="1376"/>
      <c r="M1539" s="1376"/>
      <c r="N1539" s="1376"/>
      <c r="R1539" s="1376" t="s">
        <v>1168</v>
      </c>
      <c r="U1539" s="1376" t="str">
        <f>IF(Q$1163="Yes",M1176,"")</f>
        <v/>
      </c>
      <c r="V1539" s="1376" t="str">
        <f>IF(Q$1188="Yes",M1201,"")</f>
        <v/>
      </c>
    </row>
    <row r="1540" spans="1:22" s="1370" customFormat="1" x14ac:dyDescent="0.25">
      <c r="A1540" s="1408" t="s">
        <v>751</v>
      </c>
      <c r="B1540" s="1026" t="str">
        <f>IFERROR(_xlfn.CONCAT("G",('Configurable Tab'!$C$21+4)),"")</f>
        <v>G209</v>
      </c>
      <c r="C1540" s="1026" t="str">
        <f>IFERROR(_xlfn.CONCAT("G",('Configurable Tab'!$C$21+7)),"")</f>
        <v>G212</v>
      </c>
      <c r="D1540" s="1376" t="s">
        <v>1448</v>
      </c>
      <c r="E1540" s="1029" t="s">
        <v>1893</v>
      </c>
      <c r="I1540" s="1026" t="str">
        <f t="shared" ref="I1540:I1553" si="215">IF(J1540&lt;&gt;"",A1540,"")</f>
        <v/>
      </c>
      <c r="J1540" s="1376" t="str">
        <f t="shared" si="212"/>
        <v/>
      </c>
      <c r="K1540" s="1376" t="str">
        <f t="shared" ref="K1540:K1553" si="216">IF(J1540&lt;&gt;"",E1540,"")</f>
        <v/>
      </c>
      <c r="L1540" s="1376"/>
      <c r="M1540" s="1376"/>
      <c r="N1540" s="1376"/>
      <c r="R1540" s="1376" t="s">
        <v>1168</v>
      </c>
      <c r="U1540" s="1376" t="str">
        <f>IF(Q$1163="Yes",M1179,"")</f>
        <v/>
      </c>
      <c r="V1540" s="1376" t="str">
        <f>IF(Q$1188="Yes",M1204,"")</f>
        <v/>
      </c>
    </row>
    <row r="1541" spans="1:22" s="1370" customFormat="1" x14ac:dyDescent="0.25">
      <c r="A1541" s="1408" t="s">
        <v>751</v>
      </c>
      <c r="B1541" s="1026" t="str">
        <f>IFERROR(_xlfn.CONCAT("G",('Configurable Tab'!$C$21+4)),"")</f>
        <v>G209</v>
      </c>
      <c r="C1541" s="1026" t="str">
        <f>IFERROR(_xlfn.CONCAT("G",('Configurable Tab'!$C$21+8)),"")</f>
        <v>G213</v>
      </c>
      <c r="D1541" s="1376" t="s">
        <v>1448</v>
      </c>
      <c r="E1541" s="1029" t="s">
        <v>1893</v>
      </c>
      <c r="I1541" s="1026" t="str">
        <f t="shared" si="215"/>
        <v/>
      </c>
      <c r="J1541" s="1376" t="str">
        <f t="shared" si="212"/>
        <v/>
      </c>
      <c r="K1541" s="1376" t="str">
        <f t="shared" si="216"/>
        <v/>
      </c>
      <c r="L1541" s="1376"/>
      <c r="M1541" s="1376"/>
      <c r="N1541" s="1376"/>
      <c r="R1541" s="1376" t="s">
        <v>1168</v>
      </c>
      <c r="U1541" s="1376" t="str">
        <f>IF(Q$1163="Yes",M1182,"")</f>
        <v/>
      </c>
      <c r="V1541" s="1376" t="str">
        <f>IF(Q$1188="Yes",M1207,"")</f>
        <v/>
      </c>
    </row>
    <row r="1542" spans="1:22" s="1370" customFormat="1" x14ac:dyDescent="0.25">
      <c r="A1542" s="1408" t="s">
        <v>751</v>
      </c>
      <c r="B1542" s="1026" t="str">
        <f>IFERROR(_xlfn.CONCAT("G",('Configurable Tab'!$C$21+4)),"")</f>
        <v>G209</v>
      </c>
      <c r="C1542" s="1026" t="str">
        <f>IFERROR(_xlfn.CONCAT("G",('Configurable Tab'!$C$21+9)),"")</f>
        <v>G214</v>
      </c>
      <c r="D1542" s="1376" t="s">
        <v>1448</v>
      </c>
      <c r="E1542" s="1029" t="s">
        <v>1893</v>
      </c>
      <c r="I1542" s="1026" t="str">
        <f t="shared" si="215"/>
        <v/>
      </c>
      <c r="J1542" s="1376" t="str">
        <f t="shared" si="212"/>
        <v/>
      </c>
      <c r="K1542" s="1376" t="str">
        <f t="shared" si="216"/>
        <v/>
      </c>
      <c r="L1542" s="1376"/>
      <c r="M1542" s="1376"/>
      <c r="N1542" s="1376"/>
      <c r="R1542" s="1376" t="s">
        <v>1168</v>
      </c>
      <c r="U1542" s="1376" t="str">
        <f>IF(Q$1163="Yes",M1185,"")</f>
        <v/>
      </c>
      <c r="V1542" s="1376" t="str">
        <f>IF(Q$1188="Yes",M1210,"")</f>
        <v/>
      </c>
    </row>
    <row r="1543" spans="1:22" s="1370" customFormat="1" x14ac:dyDescent="0.25">
      <c r="A1543" s="1408" t="s">
        <v>1584</v>
      </c>
      <c r="B1543" s="1026" t="str">
        <f>IFERROR(_xlfn.CONCAT("G",('Configurable Tab'!$C$21+4)),"")</f>
        <v>G209</v>
      </c>
      <c r="C1543" s="1026" t="str">
        <f>IFERROR(_xlfn.CONCAT("G",('Configurable Tab'!$C$21+5)),"")</f>
        <v>G210</v>
      </c>
      <c r="D1543" s="1376" t="s">
        <v>1448</v>
      </c>
      <c r="E1543" s="1029" t="s">
        <v>1893</v>
      </c>
      <c r="I1543" s="1026" t="str">
        <f t="shared" si="215"/>
        <v/>
      </c>
      <c r="J1543" s="1376" t="str">
        <f t="shared" si="212"/>
        <v/>
      </c>
      <c r="K1543" s="1376" t="str">
        <f t="shared" si="216"/>
        <v/>
      </c>
      <c r="L1543" s="1376"/>
      <c r="M1543" s="1376"/>
      <c r="N1543" s="1376"/>
      <c r="R1543" s="1376" t="s">
        <v>1168</v>
      </c>
    </row>
    <row r="1544" spans="1:22" s="1370" customFormat="1" x14ac:dyDescent="0.25">
      <c r="A1544" s="1408" t="s">
        <v>1584</v>
      </c>
      <c r="B1544" s="1026" t="str">
        <f>IFERROR(_xlfn.CONCAT("G",('Configurable Tab'!$C$21+4)),"")</f>
        <v>G209</v>
      </c>
      <c r="C1544" s="1026" t="str">
        <f>IFERROR(_xlfn.CONCAT("G",('Configurable Tab'!$C$21+6)),"")</f>
        <v>G211</v>
      </c>
      <c r="D1544" s="1376" t="s">
        <v>1448</v>
      </c>
      <c r="E1544" s="1029" t="s">
        <v>1893</v>
      </c>
      <c r="I1544" s="1026" t="str">
        <f t="shared" si="215"/>
        <v/>
      </c>
      <c r="J1544" s="1376" t="str">
        <f t="shared" si="212"/>
        <v/>
      </c>
      <c r="K1544" s="1376" t="str">
        <f t="shared" si="216"/>
        <v/>
      </c>
      <c r="L1544" s="1376"/>
      <c r="M1544" s="1376"/>
      <c r="N1544" s="1376"/>
      <c r="R1544" s="1376" t="s">
        <v>1168</v>
      </c>
    </row>
    <row r="1545" spans="1:22" s="1370" customFormat="1" x14ac:dyDescent="0.25">
      <c r="A1545" s="1408" t="s">
        <v>1584</v>
      </c>
      <c r="B1545" s="1026" t="str">
        <f>IFERROR(_xlfn.CONCAT("G",('Configurable Tab'!$C$21+4)),"")</f>
        <v>G209</v>
      </c>
      <c r="C1545" s="1026" t="str">
        <f>IFERROR(_xlfn.CONCAT("G",('Configurable Tab'!$C$21+7)),"")</f>
        <v>G212</v>
      </c>
      <c r="D1545" s="1376" t="s">
        <v>1448</v>
      </c>
      <c r="E1545" s="1029" t="s">
        <v>1893</v>
      </c>
      <c r="I1545" s="1026" t="str">
        <f t="shared" si="215"/>
        <v/>
      </c>
      <c r="J1545" s="1376" t="str">
        <f t="shared" si="212"/>
        <v/>
      </c>
      <c r="K1545" s="1376" t="str">
        <f t="shared" si="216"/>
        <v/>
      </c>
      <c r="L1545" s="1376"/>
      <c r="M1545" s="1376"/>
      <c r="N1545" s="1376"/>
      <c r="R1545" s="1376" t="s">
        <v>1168</v>
      </c>
    </row>
    <row r="1546" spans="1:22" s="1370" customFormat="1" x14ac:dyDescent="0.25">
      <c r="A1546" s="1408" t="s">
        <v>1584</v>
      </c>
      <c r="B1546" s="1026" t="str">
        <f>IFERROR(_xlfn.CONCAT("G",('Configurable Tab'!$C$21+4)),"")</f>
        <v>G209</v>
      </c>
      <c r="C1546" s="1026" t="str">
        <f>IFERROR(_xlfn.CONCAT("G",('Configurable Tab'!$C$21+8)),"")</f>
        <v>G213</v>
      </c>
      <c r="D1546" s="1376" t="s">
        <v>1448</v>
      </c>
      <c r="E1546" s="1029" t="s">
        <v>1893</v>
      </c>
      <c r="I1546" s="1026" t="str">
        <f t="shared" si="215"/>
        <v/>
      </c>
      <c r="J1546" s="1376" t="str">
        <f t="shared" si="212"/>
        <v/>
      </c>
      <c r="K1546" s="1376" t="str">
        <f t="shared" si="216"/>
        <v/>
      </c>
      <c r="L1546" s="1376"/>
      <c r="M1546" s="1376"/>
      <c r="N1546" s="1376"/>
      <c r="R1546" s="1376" t="s">
        <v>1168</v>
      </c>
    </row>
    <row r="1547" spans="1:22" s="1370" customFormat="1" x14ac:dyDescent="0.25">
      <c r="A1547" s="1408" t="s">
        <v>1584</v>
      </c>
      <c r="B1547" s="1026" t="str">
        <f>IFERROR(_xlfn.CONCAT("G",('Configurable Tab'!$C$21+4)),"")</f>
        <v>G209</v>
      </c>
      <c r="C1547" s="1026" t="str">
        <f>IFERROR(_xlfn.CONCAT("G",('Configurable Tab'!$C$21+9)),"")</f>
        <v>G214</v>
      </c>
      <c r="D1547" s="1376" t="s">
        <v>1448</v>
      </c>
      <c r="E1547" s="1029" t="s">
        <v>1893</v>
      </c>
      <c r="I1547" s="1026" t="str">
        <f t="shared" si="215"/>
        <v/>
      </c>
      <c r="J1547" s="1376" t="str">
        <f t="shared" si="212"/>
        <v/>
      </c>
      <c r="K1547" s="1376" t="str">
        <f t="shared" si="216"/>
        <v/>
      </c>
      <c r="L1547" s="1376"/>
      <c r="M1547" s="1376"/>
      <c r="N1547" s="1376"/>
      <c r="R1547" s="1376" t="s">
        <v>1168</v>
      </c>
    </row>
    <row r="1548" spans="1:22" s="1370" customFormat="1" x14ac:dyDescent="0.25">
      <c r="A1548" s="1118" t="s">
        <v>528</v>
      </c>
      <c r="B1548" s="1027" t="str">
        <f>IFERROR(_xlfn.CONCAT("D",('Configurable Tab'!$C$22+1)),"")</f>
        <v>D218</v>
      </c>
      <c r="C1548" s="1027" t="str">
        <f>IFERROR(_xlfn.CONCAT("E",('Configurable Tab'!$C$22+1)),"")</f>
        <v>E218</v>
      </c>
      <c r="D1548" s="694" t="s">
        <v>1448</v>
      </c>
      <c r="E1548" s="1030" t="s">
        <v>1893</v>
      </c>
      <c r="F1548" s="1376"/>
      <c r="G1548" s="1376"/>
      <c r="H1548" s="1376"/>
      <c r="I1548" s="1026" t="str">
        <f t="shared" si="215"/>
        <v/>
      </c>
      <c r="J1548" s="1376" t="str">
        <f>$Q$1&amp;T1548</f>
        <v/>
      </c>
      <c r="K1548" s="1376" t="str">
        <f t="shared" si="216"/>
        <v/>
      </c>
      <c r="L1548" s="1376"/>
      <c r="M1548" s="1376"/>
      <c r="N1548" s="1376"/>
      <c r="O1548" s="1370" t="s">
        <v>1918</v>
      </c>
      <c r="R1548" s="1376" t="s">
        <v>1245</v>
      </c>
      <c r="T1548" s="1376" t="str">
        <f>IF(Q1213="Yes",M1213,"")</f>
        <v/>
      </c>
    </row>
    <row r="1549" spans="1:22" s="1370" customFormat="1" x14ac:dyDescent="0.25">
      <c r="A1549" s="1112" t="s">
        <v>1482</v>
      </c>
      <c r="B1549" s="1027" t="str">
        <f>IFERROR(_xlfn.CONCAT("D",('Configurable Tab'!$C$22+2)),"")</f>
        <v>D219</v>
      </c>
      <c r="C1549" s="1027" t="str">
        <f>IFERROR(_xlfn.CONCAT("E",('Configurable Tab'!$C$22+2)),"")</f>
        <v>E219</v>
      </c>
      <c r="D1549" s="694" t="s">
        <v>1448</v>
      </c>
      <c r="E1549" s="1030" t="s">
        <v>1893</v>
      </c>
      <c r="F1549" s="1376"/>
      <c r="G1549" s="1376"/>
      <c r="H1549" s="1376"/>
      <c r="I1549" s="1026" t="str">
        <f t="shared" si="215"/>
        <v/>
      </c>
      <c r="J1549" s="1376" t="str">
        <f t="shared" ref="J1549:J1553" si="217">$Q$1&amp;T1549</f>
        <v/>
      </c>
      <c r="K1549" s="1376" t="str">
        <f t="shared" si="216"/>
        <v/>
      </c>
      <c r="L1549" s="1376"/>
      <c r="M1549" s="1376"/>
      <c r="N1549" s="1376"/>
      <c r="R1549" s="1376" t="s">
        <v>1245</v>
      </c>
      <c r="T1549" s="1376" t="str">
        <f>IF(Q1214="Yes",M1214,"")</f>
        <v/>
      </c>
    </row>
    <row r="1550" spans="1:22" s="1370" customFormat="1" x14ac:dyDescent="0.25">
      <c r="A1550" s="1112" t="s">
        <v>1484</v>
      </c>
      <c r="B1550" s="1027" t="str">
        <f>IFERROR(_xlfn.CONCAT("D",('Configurable Tab'!$C$22+4)),"")</f>
        <v>D221</v>
      </c>
      <c r="C1550" s="1027" t="str">
        <f>IFERROR(_xlfn.CONCAT("E",('Configurable Tab'!$C$22+4)),"")</f>
        <v>E221</v>
      </c>
      <c r="D1550" s="694" t="s">
        <v>1448</v>
      </c>
      <c r="E1550" s="1030" t="s">
        <v>1893</v>
      </c>
      <c r="F1550" s="1376"/>
      <c r="G1550" s="1376"/>
      <c r="H1550" s="1376"/>
      <c r="I1550" s="1026" t="str">
        <f t="shared" si="215"/>
        <v/>
      </c>
      <c r="J1550" s="1376" t="str">
        <f t="shared" si="217"/>
        <v/>
      </c>
      <c r="K1550" s="1376" t="str">
        <f t="shared" si="216"/>
        <v/>
      </c>
      <c r="L1550" s="1376"/>
      <c r="M1550" s="1376"/>
      <c r="N1550" s="1376"/>
      <c r="R1550" s="1376" t="s">
        <v>1245</v>
      </c>
      <c r="T1550" s="1376" t="str">
        <f>IF(Q1215="Yes",M1216,"")</f>
        <v/>
      </c>
    </row>
    <row r="1551" spans="1:22" s="1370" customFormat="1" x14ac:dyDescent="0.25">
      <c r="A1551" s="1385" t="s">
        <v>1485</v>
      </c>
      <c r="B1551" s="1027" t="str">
        <f>IFERROR(_xlfn.CONCAT("D",('Configurable Tab'!$C$22+5)),"")</f>
        <v>D222</v>
      </c>
      <c r="C1551" s="1027" t="str">
        <f>IFERROR(_xlfn.CONCAT("E",('Configurable Tab'!$C$22+5)),"")</f>
        <v>E222</v>
      </c>
      <c r="D1551" s="694" t="s">
        <v>1448</v>
      </c>
      <c r="E1551" s="1030" t="s">
        <v>1893</v>
      </c>
      <c r="F1551" s="1376"/>
      <c r="G1551" s="1376"/>
      <c r="H1551" s="1376"/>
      <c r="I1551" s="1026" t="str">
        <f t="shared" si="215"/>
        <v/>
      </c>
      <c r="J1551" s="1376" t="str">
        <f t="shared" si="217"/>
        <v/>
      </c>
      <c r="K1551" s="1376" t="str">
        <f t="shared" si="216"/>
        <v/>
      </c>
      <c r="L1551" s="1376"/>
      <c r="M1551" s="1376"/>
      <c r="N1551" s="1376"/>
      <c r="R1551" s="1376" t="s">
        <v>1245</v>
      </c>
      <c r="T1551" s="1376" t="str">
        <f>IF(Q1216="Yes",M1217,"")</f>
        <v/>
      </c>
    </row>
    <row r="1552" spans="1:22" s="1370" customFormat="1" x14ac:dyDescent="0.25">
      <c r="A1552" s="1112" t="s">
        <v>1480</v>
      </c>
      <c r="B1552" s="1027" t="str">
        <f>IFERROR(_xlfn.CONCAT("I",('Configurable Tab'!$C$22+1)),"")</f>
        <v>I218</v>
      </c>
      <c r="C1552" s="1027" t="str">
        <f>IFERROR(_xlfn.CONCAT("I",('Configurable Tab'!$C$22+2)),"")</f>
        <v>I219</v>
      </c>
      <c r="D1552" s="694" t="s">
        <v>1448</v>
      </c>
      <c r="E1552" s="1030" t="s">
        <v>1893</v>
      </c>
      <c r="F1552" s="1376"/>
      <c r="G1552" s="1376"/>
      <c r="H1552" s="1376"/>
      <c r="I1552" s="1026" t="str">
        <f t="shared" si="215"/>
        <v/>
      </c>
      <c r="J1552" s="1376" t="str">
        <f t="shared" si="217"/>
        <v/>
      </c>
      <c r="K1552" s="1376" t="str">
        <f t="shared" si="216"/>
        <v/>
      </c>
      <c r="L1552" s="1376"/>
      <c r="M1552" s="1376"/>
      <c r="N1552" s="1376"/>
      <c r="R1552" s="1376" t="s">
        <v>1245</v>
      </c>
      <c r="T1552" s="1376" t="str">
        <f>IF(Q1217="Yes",M1215,"")</f>
        <v/>
      </c>
    </row>
    <row r="1553" spans="1:20" s="1370" customFormat="1" x14ac:dyDescent="0.25">
      <c r="A1553" s="1409" t="s">
        <v>1488</v>
      </c>
      <c r="B1553" s="1026" t="str">
        <f>IFERROR(_xlfn.CONCAT("K",('Configurable Tab'!$C$22+4)),"")</f>
        <v>K221</v>
      </c>
      <c r="C1553" s="1026" t="str">
        <f>IFERROR(_xlfn.CONCAT("K",('Configurable Tab'!$C$22+5)),"")</f>
        <v>K222</v>
      </c>
      <c r="D1553" s="1376" t="s">
        <v>1448</v>
      </c>
      <c r="E1553" s="1029" t="s">
        <v>1893</v>
      </c>
      <c r="I1553" s="1026" t="str">
        <f t="shared" si="215"/>
        <v/>
      </c>
      <c r="J1553" s="1376" t="str">
        <f t="shared" si="217"/>
        <v/>
      </c>
      <c r="K1553" s="1376" t="str">
        <f t="shared" si="216"/>
        <v/>
      </c>
      <c r="L1553" s="1376"/>
      <c r="M1553" s="1376"/>
      <c r="N1553" s="1376"/>
      <c r="R1553" s="1376" t="s">
        <v>1245</v>
      </c>
      <c r="T1553" s="1376" t="str">
        <f>IF(Q1218="Yes",M1219,"")</f>
        <v/>
      </c>
    </row>
  </sheetData>
  <autoFilter ref="A2:R1553" xr:uid="{48F26A0F-DA2E-46EE-A089-80334F706238}"/>
  <mergeCells count="4">
    <mergeCell ref="A1:E1"/>
    <mergeCell ref="F1:H1"/>
    <mergeCell ref="I1:K1"/>
    <mergeCell ref="L1:N1"/>
  </mergeCells>
  <conditionalFormatting sqref="A161:A163">
    <cfRule type="expression" dxfId="69" priority="68">
      <formula>#REF!="EXCLUDE"</formula>
    </cfRule>
  </conditionalFormatting>
  <conditionalFormatting sqref="A160">
    <cfRule type="expression" dxfId="68" priority="69">
      <formula>#REF!="EXCLUDE"</formula>
    </cfRule>
  </conditionalFormatting>
  <conditionalFormatting sqref="A164:A166">
    <cfRule type="expression" dxfId="67" priority="70">
      <formula>#REF!="EXCLUDE"</formula>
    </cfRule>
  </conditionalFormatting>
  <conditionalFormatting sqref="A279:A281">
    <cfRule type="expression" dxfId="66" priority="67">
      <formula>$G279="EXCLUDE"</formula>
    </cfRule>
  </conditionalFormatting>
  <conditionalFormatting sqref="A291:A293">
    <cfRule type="expression" dxfId="65" priority="66">
      <formula>$G291="EXCLUDE"</formula>
    </cfRule>
  </conditionalFormatting>
  <conditionalFormatting sqref="A303:A305">
    <cfRule type="expression" dxfId="64" priority="65">
      <formula>$G303="EXCLUDE"</formula>
    </cfRule>
  </conditionalFormatting>
  <conditionalFormatting sqref="A315:A317">
    <cfRule type="expression" dxfId="63" priority="64">
      <formula>$G315="EXCLUDE"</formula>
    </cfRule>
  </conditionalFormatting>
  <conditionalFormatting sqref="A327:A329">
    <cfRule type="expression" dxfId="62" priority="63">
      <formula>$G327="EXCLUDE"</formula>
    </cfRule>
  </conditionalFormatting>
  <conditionalFormatting sqref="A339:A341">
    <cfRule type="expression" dxfId="61" priority="62">
      <formula>$G339="EXCLUDE"</formula>
    </cfRule>
  </conditionalFormatting>
  <conditionalFormatting sqref="A351:A353">
    <cfRule type="expression" dxfId="60" priority="61">
      <formula>$G351="EXCLUDE"</formula>
    </cfRule>
  </conditionalFormatting>
  <conditionalFormatting sqref="A363:A365">
    <cfRule type="expression" dxfId="59" priority="60">
      <formula>$G363="EXCLUDE"</formula>
    </cfRule>
  </conditionalFormatting>
  <conditionalFormatting sqref="A375:A377">
    <cfRule type="expression" dxfId="58" priority="59">
      <formula>$G375="EXCLUDE"</formula>
    </cfRule>
  </conditionalFormatting>
  <conditionalFormatting sqref="A387:A389">
    <cfRule type="expression" dxfId="57" priority="58">
      <formula>$G387="EXCLUDE"</formula>
    </cfRule>
  </conditionalFormatting>
  <conditionalFormatting sqref="A399:A401">
    <cfRule type="expression" dxfId="56" priority="57">
      <formula>$G399="EXCLUDE"</formula>
    </cfRule>
  </conditionalFormatting>
  <conditionalFormatting sqref="A411:A413">
    <cfRule type="expression" dxfId="55" priority="56">
      <formula>$G411="EXCLUDE"</formula>
    </cfRule>
  </conditionalFormatting>
  <conditionalFormatting sqref="A423:A425">
    <cfRule type="expression" dxfId="54" priority="55">
      <formula>$G423="EXCLUDE"</formula>
    </cfRule>
  </conditionalFormatting>
  <conditionalFormatting sqref="A435:A437">
    <cfRule type="expression" dxfId="53" priority="54">
      <formula>$G435="EXCLUDE"</formula>
    </cfRule>
  </conditionalFormatting>
  <conditionalFormatting sqref="A447:A449">
    <cfRule type="expression" dxfId="52" priority="53">
      <formula>$G447="EXCLUDE"</formula>
    </cfRule>
  </conditionalFormatting>
  <conditionalFormatting sqref="A459:A461">
    <cfRule type="expression" dxfId="51" priority="52">
      <formula>$G459="EXCLUDE"</formula>
    </cfRule>
  </conditionalFormatting>
  <conditionalFormatting sqref="A471:A473">
    <cfRule type="expression" dxfId="50" priority="51">
      <formula>$G471="EXCLUDE"</formula>
    </cfRule>
  </conditionalFormatting>
  <conditionalFormatting sqref="A483:A485">
    <cfRule type="expression" dxfId="49" priority="50">
      <formula>$G483="EXCLUDE"</formula>
    </cfRule>
  </conditionalFormatting>
  <conditionalFormatting sqref="A495:A497">
    <cfRule type="expression" dxfId="48" priority="49">
      <formula>$G495="EXCLUDE"</formula>
    </cfRule>
  </conditionalFormatting>
  <conditionalFormatting sqref="A507:A509">
    <cfRule type="expression" dxfId="47" priority="48">
      <formula>$G507="EXCLUDE"</formula>
    </cfRule>
  </conditionalFormatting>
  <conditionalFormatting sqref="A519:A521">
    <cfRule type="expression" dxfId="46" priority="47">
      <formula>$G519="EXCLUDE"</formula>
    </cfRule>
  </conditionalFormatting>
  <conditionalFormatting sqref="L161:L163">
    <cfRule type="expression" dxfId="45" priority="44">
      <formula>#REF!="EXCLUDE"</formula>
    </cfRule>
  </conditionalFormatting>
  <conditionalFormatting sqref="L160">
    <cfRule type="expression" dxfId="44" priority="45">
      <formula>#REF!="EXCLUDE"</formula>
    </cfRule>
  </conditionalFormatting>
  <conditionalFormatting sqref="L164:L166">
    <cfRule type="expression" dxfId="43" priority="46">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2" priority="43">
      <formula>$G279="EXCLUDE"</formula>
    </cfRule>
  </conditionalFormatting>
  <conditionalFormatting sqref="A1241">
    <cfRule type="expression" dxfId="41" priority="42">
      <formula>$G1241="EXCLUDE"</formula>
    </cfRule>
  </conditionalFormatting>
  <conditionalFormatting sqref="A1242">
    <cfRule type="expression" dxfId="40" priority="41">
      <formula>$G1242="EXCLUDE"</formula>
    </cfRule>
  </conditionalFormatting>
  <conditionalFormatting sqref="A1243">
    <cfRule type="expression" dxfId="39" priority="40">
      <formula>$G1243="EXCLUDE"</formula>
    </cfRule>
  </conditionalFormatting>
  <conditionalFormatting sqref="A1244">
    <cfRule type="expression" dxfId="38" priority="39">
      <formula>$G1244="EXCLUDE"</formula>
    </cfRule>
  </conditionalFormatting>
  <conditionalFormatting sqref="A1245">
    <cfRule type="expression" dxfId="37" priority="38">
      <formula>$G1245="EXCLUDE"</formula>
    </cfRule>
  </conditionalFormatting>
  <conditionalFormatting sqref="A1246">
    <cfRule type="expression" dxfId="36" priority="37">
      <formula>$G1246="EXCLUDE"</formula>
    </cfRule>
  </conditionalFormatting>
  <conditionalFormatting sqref="A1247">
    <cfRule type="expression" dxfId="35" priority="36">
      <formula>$G1247="EXCLUDE"</formula>
    </cfRule>
  </conditionalFormatting>
  <conditionalFormatting sqref="A1248">
    <cfRule type="expression" dxfId="34" priority="35">
      <formula>$G1248="EXCLUDE"</formula>
    </cfRule>
  </conditionalFormatting>
  <conditionalFormatting sqref="A1249">
    <cfRule type="expression" dxfId="33" priority="34">
      <formula>$G1249="EXCLUDE"</formula>
    </cfRule>
  </conditionalFormatting>
  <conditionalFormatting sqref="A1250">
    <cfRule type="expression" dxfId="32" priority="33">
      <formula>$G1250="EXCLUDE"</formula>
    </cfRule>
  </conditionalFormatting>
  <conditionalFormatting sqref="A1251">
    <cfRule type="expression" dxfId="31" priority="32">
      <formula>$G1251="EXCLUDE"</formula>
    </cfRule>
  </conditionalFormatting>
  <conditionalFormatting sqref="A1252">
    <cfRule type="expression" dxfId="30" priority="31">
      <formula>$G1252="EXCLUDE"</formula>
    </cfRule>
  </conditionalFormatting>
  <conditionalFormatting sqref="A1253">
    <cfRule type="expression" dxfId="29" priority="30">
      <formula>$G1253="EXCLUDE"</formula>
    </cfRule>
  </conditionalFormatting>
  <conditionalFormatting sqref="A1254">
    <cfRule type="expression" dxfId="28" priority="29">
      <formula>$G1254="EXCLUDE"</formula>
    </cfRule>
  </conditionalFormatting>
  <conditionalFormatting sqref="A1255">
    <cfRule type="expression" dxfId="27" priority="28">
      <formula>$G1255="EXCLUDE"</formula>
    </cfRule>
  </conditionalFormatting>
  <conditionalFormatting sqref="A1256">
    <cfRule type="expression" dxfId="26" priority="27">
      <formula>$G1256="EXCLUDE"</formula>
    </cfRule>
  </conditionalFormatting>
  <conditionalFormatting sqref="A1257">
    <cfRule type="expression" dxfId="25" priority="26">
      <formula>$G1257="EXCLUDE"</formula>
    </cfRule>
  </conditionalFormatting>
  <conditionalFormatting sqref="A1258">
    <cfRule type="expression" dxfId="24" priority="25">
      <formula>$G1258="EXCLUDE"</formula>
    </cfRule>
  </conditionalFormatting>
  <conditionalFormatting sqref="A1259">
    <cfRule type="expression" dxfId="23" priority="24">
      <formula>$G1259="EXCLUDE"</formula>
    </cfRule>
  </conditionalFormatting>
  <conditionalFormatting sqref="A1260">
    <cfRule type="expression" dxfId="22" priority="23">
      <formula>$G1260="EXCLUDE"</formula>
    </cfRule>
  </conditionalFormatting>
  <conditionalFormatting sqref="A1261">
    <cfRule type="expression" dxfId="21" priority="22">
      <formula>$G1261="EXCLUDE"</formula>
    </cfRule>
  </conditionalFormatting>
  <conditionalFormatting sqref="A1262">
    <cfRule type="expression" dxfId="20" priority="21">
      <formula>$G1262="EXCLUDE"</formula>
    </cfRule>
  </conditionalFormatting>
  <conditionalFormatting sqref="A1263">
    <cfRule type="expression" dxfId="19" priority="20">
      <formula>$G1263="EXCLUDE"</formula>
    </cfRule>
  </conditionalFormatting>
  <conditionalFormatting sqref="A1282">
    <cfRule type="expression" dxfId="18" priority="19">
      <formula>$G1282="EXCLUDE"</formula>
    </cfRule>
  </conditionalFormatting>
  <conditionalFormatting sqref="A1264">
    <cfRule type="expression" dxfId="17" priority="18">
      <formula>$G1264="EXCLUDE"</formula>
    </cfRule>
  </conditionalFormatting>
  <conditionalFormatting sqref="A1265">
    <cfRule type="expression" dxfId="16" priority="17">
      <formula>$G1265="EXCLUDE"</formula>
    </cfRule>
  </conditionalFormatting>
  <conditionalFormatting sqref="A1266">
    <cfRule type="expression" dxfId="15" priority="16">
      <formula>$G1266="EXCLUDE"</formula>
    </cfRule>
  </conditionalFormatting>
  <conditionalFormatting sqref="A1267">
    <cfRule type="expression" dxfId="14" priority="15">
      <formula>$G1267="EXCLUDE"</formula>
    </cfRule>
  </conditionalFormatting>
  <conditionalFormatting sqref="A1268">
    <cfRule type="expression" dxfId="13" priority="14">
      <formula>$G1268="EXCLUDE"</formula>
    </cfRule>
  </conditionalFormatting>
  <conditionalFormatting sqref="A1269">
    <cfRule type="expression" dxfId="12" priority="13">
      <formula>$G1269="EXCLUDE"</formula>
    </cfRule>
  </conditionalFormatting>
  <conditionalFormatting sqref="A1270">
    <cfRule type="expression" dxfId="11" priority="12">
      <formula>$G1270="EXCLUDE"</formula>
    </cfRule>
  </conditionalFormatting>
  <conditionalFormatting sqref="A1271">
    <cfRule type="expression" dxfId="10" priority="11">
      <formula>$G1271="EXCLUDE"</formula>
    </cfRule>
  </conditionalFormatting>
  <conditionalFormatting sqref="A1272">
    <cfRule type="expression" dxfId="9" priority="10">
      <formula>$G1272="EXCLUDE"</formula>
    </cfRule>
  </conditionalFormatting>
  <conditionalFormatting sqref="A1273">
    <cfRule type="expression" dxfId="8" priority="9">
      <formula>$G1273="EXCLUDE"</formula>
    </cfRule>
  </conditionalFormatting>
  <conditionalFormatting sqref="A1274">
    <cfRule type="expression" dxfId="7" priority="8">
      <formula>$G1274="EXCLUDE"</formula>
    </cfRule>
  </conditionalFormatting>
  <conditionalFormatting sqref="A1275">
    <cfRule type="expression" dxfId="6" priority="7">
      <formula>$G1275="EXCLUDE"</formula>
    </cfRule>
  </conditionalFormatting>
  <conditionalFormatting sqref="A1276">
    <cfRule type="expression" dxfId="5" priority="6">
      <formula>$G1276="EXCLUDE"</formula>
    </cfRule>
  </conditionalFormatting>
  <conditionalFormatting sqref="A1277">
    <cfRule type="expression" dxfId="4" priority="5">
      <formula>$G1277="EXCLUDE"</formula>
    </cfRule>
  </conditionalFormatting>
  <conditionalFormatting sqref="A1278">
    <cfRule type="expression" dxfId="3" priority="4">
      <formula>$G1278="EXCLUDE"</formula>
    </cfRule>
  </conditionalFormatting>
  <conditionalFormatting sqref="A1279">
    <cfRule type="expression" dxfId="2" priority="3">
      <formula>$G1279="EXCLUDE"</formula>
    </cfRule>
  </conditionalFormatting>
  <conditionalFormatting sqref="A1280">
    <cfRule type="expression" dxfId="1" priority="2">
      <formula>$G1280="EXCLUDE"</formula>
    </cfRule>
  </conditionalFormatting>
  <conditionalFormatting sqref="A1281">
    <cfRule type="expression" dxfId="0" priority="1">
      <formula>$G1281="EXCLUDE"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L20" sqref="L20"/>
    </sheetView>
  </sheetViews>
  <sheetFormatPr defaultColWidth="9.140625" defaultRowHeight="15" x14ac:dyDescent="0.25"/>
  <cols>
    <col min="1" max="1" width="10.28515625" style="726" bestFit="1" customWidth="1"/>
    <col min="2" max="2" width="31.42578125" style="726" bestFit="1" customWidth="1"/>
    <col min="3" max="5" width="9.140625" style="726" customWidth="1"/>
    <col min="6" max="16384" width="9.140625" style="726"/>
  </cols>
  <sheetData>
    <row r="1" spans="1:2" x14ac:dyDescent="0.25">
      <c r="A1" s="728" t="s">
        <v>1067</v>
      </c>
      <c r="B1" s="728" t="s">
        <v>1066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I37"/>
  <sheetViews>
    <sheetView workbookViewId="0">
      <selection activeCell="B3" sqref="B3"/>
    </sheetView>
  </sheetViews>
  <sheetFormatPr defaultRowHeight="15" x14ac:dyDescent="0.25"/>
  <cols>
    <col min="1" max="1" width="24" style="1329" customWidth="1"/>
    <col min="2" max="2" width="25.28515625" style="1329" customWidth="1"/>
    <col min="3" max="3" width="8" style="1329" customWidth="1"/>
    <col min="4" max="5" width="9.140625" style="1329"/>
    <col min="6" max="6" width="42.28515625" style="1329" customWidth="1"/>
    <col min="7" max="7" width="27.28515625" style="1329" customWidth="1"/>
    <col min="8" max="8" width="19.28515625" style="1329" customWidth="1"/>
    <col min="9" max="16384" width="9.140625" style="1329"/>
  </cols>
  <sheetData>
    <row r="1" spans="1:9" x14ac:dyDescent="0.25">
      <c r="A1" s="1800" t="s">
        <v>1832</v>
      </c>
      <c r="B1" s="1801"/>
      <c r="C1" s="1801"/>
      <c r="D1" s="1802"/>
      <c r="F1" s="1803" t="s">
        <v>1833</v>
      </c>
      <c r="G1" s="1804"/>
      <c r="H1" s="1804"/>
      <c r="I1" s="1805"/>
    </row>
    <row r="2" spans="1:9" x14ac:dyDescent="0.25">
      <c r="A2" s="1335" t="s">
        <v>1832</v>
      </c>
      <c r="B2" s="1336" t="s">
        <v>1838</v>
      </c>
      <c r="C2" s="1336" t="s">
        <v>1834</v>
      </c>
      <c r="D2" s="1337" t="s">
        <v>1835</v>
      </c>
      <c r="F2" s="1335" t="s">
        <v>1482</v>
      </c>
      <c r="G2" s="1338" t="s">
        <v>1836</v>
      </c>
      <c r="H2" s="1336" t="s">
        <v>1834</v>
      </c>
      <c r="I2" s="1337" t="s">
        <v>1835</v>
      </c>
    </row>
    <row r="3" spans="1:9" ht="35.25" customHeight="1" x14ac:dyDescent="0.25">
      <c r="A3" s="1332" t="s">
        <v>898</v>
      </c>
      <c r="B3" s="1330">
        <v>1</v>
      </c>
      <c r="C3" s="1330">
        <v>12</v>
      </c>
      <c r="D3" s="1333">
        <v>24</v>
      </c>
      <c r="F3" s="1332" t="s">
        <v>1587</v>
      </c>
      <c r="G3" s="1330">
        <v>1201</v>
      </c>
      <c r="H3" s="1330">
        <v>3</v>
      </c>
      <c r="I3" s="1333">
        <v>16</v>
      </c>
    </row>
    <row r="4" spans="1:9" x14ac:dyDescent="0.25">
      <c r="A4" s="1332" t="s">
        <v>898</v>
      </c>
      <c r="B4" s="1330">
        <v>2</v>
      </c>
      <c r="C4" s="1330">
        <v>26</v>
      </c>
      <c r="D4" s="1333">
        <v>38</v>
      </c>
      <c r="F4" s="1332" t="s">
        <v>1587</v>
      </c>
      <c r="G4" s="1330">
        <v>1202</v>
      </c>
      <c r="H4" s="1330">
        <v>17</v>
      </c>
      <c r="I4" s="1333">
        <v>30</v>
      </c>
    </row>
    <row r="5" spans="1:9" x14ac:dyDescent="0.25">
      <c r="A5" s="1339" t="s">
        <v>898</v>
      </c>
      <c r="B5" s="1255">
        <v>3</v>
      </c>
      <c r="C5" s="1255">
        <v>40</v>
      </c>
      <c r="D5" s="1333">
        <v>52</v>
      </c>
      <c r="F5" s="1332" t="s">
        <v>1602</v>
      </c>
      <c r="G5" s="1330">
        <v>1401</v>
      </c>
      <c r="H5" s="1330">
        <v>31</v>
      </c>
      <c r="I5" s="1333">
        <v>44</v>
      </c>
    </row>
    <row r="6" spans="1:9" x14ac:dyDescent="0.25">
      <c r="A6" s="1339" t="s">
        <v>217</v>
      </c>
      <c r="B6" s="1255">
        <v>1</v>
      </c>
      <c r="C6" s="1255">
        <v>54</v>
      </c>
      <c r="D6" s="1333">
        <v>66</v>
      </c>
      <c r="F6" s="1332" t="s">
        <v>1602</v>
      </c>
      <c r="G6" s="1330">
        <v>1402</v>
      </c>
      <c r="H6" s="1330">
        <v>45</v>
      </c>
      <c r="I6" s="1333">
        <v>58</v>
      </c>
    </row>
    <row r="7" spans="1:9" x14ac:dyDescent="0.25">
      <c r="A7" s="1339" t="s">
        <v>217</v>
      </c>
      <c r="B7" s="1255">
        <v>2</v>
      </c>
      <c r="C7" s="1255">
        <v>68</v>
      </c>
      <c r="D7" s="1333">
        <v>80</v>
      </c>
      <c r="F7" s="1332" t="s">
        <v>1615</v>
      </c>
      <c r="G7" s="1330">
        <v>1501</v>
      </c>
      <c r="H7" s="1330">
        <v>59</v>
      </c>
      <c r="I7" s="1333">
        <v>74</v>
      </c>
    </row>
    <row r="8" spans="1:9" x14ac:dyDescent="0.25">
      <c r="A8" s="1339" t="s">
        <v>530</v>
      </c>
      <c r="B8" s="1255">
        <v>1</v>
      </c>
      <c r="C8" s="1255">
        <v>82</v>
      </c>
      <c r="D8" s="1333">
        <v>94</v>
      </c>
      <c r="F8" s="1332" t="s">
        <v>1615</v>
      </c>
      <c r="G8" s="1330">
        <v>1502</v>
      </c>
      <c r="H8" s="1330">
        <v>75</v>
      </c>
      <c r="I8" s="1333">
        <v>90</v>
      </c>
    </row>
    <row r="9" spans="1:9" x14ac:dyDescent="0.25">
      <c r="A9" s="1339" t="s">
        <v>530</v>
      </c>
      <c r="B9" s="1255">
        <v>2</v>
      </c>
      <c r="C9" s="1255">
        <v>96</v>
      </c>
      <c r="D9" s="1333">
        <v>108</v>
      </c>
      <c r="F9" s="1332" t="s">
        <v>1624</v>
      </c>
      <c r="G9" s="1330">
        <v>5501</v>
      </c>
      <c r="H9" s="1330">
        <v>91</v>
      </c>
      <c r="I9" s="1333">
        <v>104</v>
      </c>
    </row>
    <row r="10" spans="1:9" x14ac:dyDescent="0.25">
      <c r="A10" s="1339" t="s">
        <v>1177</v>
      </c>
      <c r="B10" s="1255">
        <v>1</v>
      </c>
      <c r="C10" s="1255">
        <v>110</v>
      </c>
      <c r="D10" s="1333">
        <v>116</v>
      </c>
      <c r="F10" s="1332" t="s">
        <v>1624</v>
      </c>
      <c r="G10" s="1330">
        <v>5502</v>
      </c>
      <c r="H10" s="1330">
        <v>105</v>
      </c>
      <c r="I10" s="1333">
        <v>118</v>
      </c>
    </row>
    <row r="11" spans="1:9" x14ac:dyDescent="0.25">
      <c r="A11" s="1339" t="s">
        <v>1177</v>
      </c>
      <c r="B11" s="1255">
        <v>2</v>
      </c>
      <c r="C11" s="1255">
        <v>118</v>
      </c>
      <c r="D11" s="1333">
        <v>124</v>
      </c>
      <c r="F11" s="1332" t="s">
        <v>1625</v>
      </c>
      <c r="G11" s="1330">
        <v>2801</v>
      </c>
      <c r="H11" s="1330">
        <v>119</v>
      </c>
      <c r="I11" s="1333">
        <v>134</v>
      </c>
    </row>
    <row r="12" spans="1:9" x14ac:dyDescent="0.25">
      <c r="A12" s="1339" t="s">
        <v>1177</v>
      </c>
      <c r="B12" s="1255">
        <v>3</v>
      </c>
      <c r="C12" s="1255">
        <v>126</v>
      </c>
      <c r="D12" s="1333">
        <v>132</v>
      </c>
      <c r="F12" s="1332" t="s">
        <v>1625</v>
      </c>
      <c r="G12" s="1330">
        <v>2802</v>
      </c>
      <c r="H12" s="1330">
        <v>135</v>
      </c>
      <c r="I12" s="1333">
        <v>150</v>
      </c>
    </row>
    <row r="13" spans="1:9" x14ac:dyDescent="0.25">
      <c r="A13" s="1339" t="s">
        <v>1177</v>
      </c>
      <c r="B13" s="1255">
        <v>4</v>
      </c>
      <c r="C13" s="1255">
        <v>134</v>
      </c>
      <c r="D13" s="1333">
        <v>140</v>
      </c>
      <c r="F13" s="1332" t="s">
        <v>1632</v>
      </c>
      <c r="G13" s="1330">
        <v>3401</v>
      </c>
      <c r="H13" s="1330">
        <v>151</v>
      </c>
      <c r="I13" s="1333">
        <v>164</v>
      </c>
    </row>
    <row r="14" spans="1:9" x14ac:dyDescent="0.25">
      <c r="A14" s="1339" t="s">
        <v>1177</v>
      </c>
      <c r="B14" s="1255">
        <v>5</v>
      </c>
      <c r="C14" s="1255">
        <v>142</v>
      </c>
      <c r="D14" s="1333">
        <v>148</v>
      </c>
      <c r="F14" s="1332" t="s">
        <v>1632</v>
      </c>
      <c r="G14" s="1330">
        <v>3402</v>
      </c>
      <c r="H14" s="1330">
        <v>165</v>
      </c>
      <c r="I14" s="1333">
        <v>178</v>
      </c>
    </row>
    <row r="15" spans="1:9" x14ac:dyDescent="0.25">
      <c r="A15" s="1339" t="s">
        <v>724</v>
      </c>
      <c r="B15" s="1255">
        <v>1</v>
      </c>
      <c r="C15" s="1255">
        <v>150</v>
      </c>
      <c r="D15" s="1333">
        <v>156</v>
      </c>
      <c r="F15" s="1332" t="s">
        <v>1636</v>
      </c>
      <c r="G15" s="1330">
        <v>3501</v>
      </c>
      <c r="H15" s="1330">
        <v>179</v>
      </c>
      <c r="I15" s="1333">
        <v>192</v>
      </c>
    </row>
    <row r="16" spans="1:9" x14ac:dyDescent="0.25">
      <c r="A16" s="1339" t="s">
        <v>1158</v>
      </c>
      <c r="B16" s="1255">
        <v>1</v>
      </c>
      <c r="C16" s="1255">
        <v>158</v>
      </c>
      <c r="D16" s="1333">
        <v>164</v>
      </c>
      <c r="F16" s="1332" t="s">
        <v>1636</v>
      </c>
      <c r="G16" s="1330">
        <v>3502</v>
      </c>
      <c r="H16" s="1330">
        <v>193</v>
      </c>
      <c r="I16" s="1333">
        <v>206</v>
      </c>
    </row>
    <row r="17" spans="1:9" x14ac:dyDescent="0.25">
      <c r="A17" s="1339" t="s">
        <v>1158</v>
      </c>
      <c r="B17" s="1255">
        <v>2</v>
      </c>
      <c r="C17" s="1255">
        <v>166</v>
      </c>
      <c r="D17" s="1333">
        <v>172</v>
      </c>
      <c r="F17" s="1332" t="s">
        <v>1639</v>
      </c>
      <c r="G17" s="1330">
        <v>3601</v>
      </c>
      <c r="H17" s="1330">
        <v>207</v>
      </c>
      <c r="I17" s="1333">
        <v>222</v>
      </c>
    </row>
    <row r="18" spans="1:9" x14ac:dyDescent="0.25">
      <c r="A18" s="1339" t="s">
        <v>1057</v>
      </c>
      <c r="B18" s="1255">
        <v>1</v>
      </c>
      <c r="C18" s="1255">
        <v>174</v>
      </c>
      <c r="D18" s="1333">
        <v>180</v>
      </c>
      <c r="F18" s="1332" t="s">
        <v>1639</v>
      </c>
      <c r="G18" s="1330">
        <v>3602</v>
      </c>
      <c r="H18" s="1330">
        <v>223</v>
      </c>
      <c r="I18" s="1333">
        <v>238</v>
      </c>
    </row>
    <row r="19" spans="1:9" x14ac:dyDescent="0.25">
      <c r="A19" s="1339" t="s">
        <v>1575</v>
      </c>
      <c r="B19" s="1255">
        <v>1</v>
      </c>
      <c r="C19" s="1255">
        <v>182</v>
      </c>
      <c r="D19" s="1333">
        <v>191</v>
      </c>
      <c r="F19" s="1332" t="s">
        <v>1641</v>
      </c>
      <c r="G19" s="1330">
        <v>1301</v>
      </c>
      <c r="H19" s="1330">
        <v>239</v>
      </c>
      <c r="I19" s="1333">
        <v>252</v>
      </c>
    </row>
    <row r="20" spans="1:9" x14ac:dyDescent="0.25">
      <c r="A20" s="1339" t="s">
        <v>1168</v>
      </c>
      <c r="B20" s="1255">
        <v>1</v>
      </c>
      <c r="C20" s="1255">
        <v>193</v>
      </c>
      <c r="D20" s="1333">
        <v>203</v>
      </c>
      <c r="F20" s="1332" t="s">
        <v>1641</v>
      </c>
      <c r="G20" s="1330">
        <v>1302</v>
      </c>
      <c r="H20" s="1330">
        <v>253</v>
      </c>
      <c r="I20" s="1333">
        <v>266</v>
      </c>
    </row>
    <row r="21" spans="1:9" x14ac:dyDescent="0.25">
      <c r="A21" s="1339" t="s">
        <v>1168</v>
      </c>
      <c r="B21" s="1255">
        <v>2</v>
      </c>
      <c r="C21" s="1255">
        <v>205</v>
      </c>
      <c r="D21" s="1333">
        <v>215</v>
      </c>
      <c r="F21" s="1332" t="s">
        <v>1641</v>
      </c>
      <c r="G21" s="1330">
        <v>1303</v>
      </c>
      <c r="H21" s="1330">
        <v>267</v>
      </c>
      <c r="I21" s="1333">
        <v>280</v>
      </c>
    </row>
    <row r="22" spans="1:9" ht="15.75" thickBot="1" x14ac:dyDescent="0.3">
      <c r="A22" s="1340" t="s">
        <v>1585</v>
      </c>
      <c r="B22" s="1341">
        <v>1</v>
      </c>
      <c r="C22" s="1341">
        <v>217</v>
      </c>
      <c r="D22" s="1004">
        <v>223</v>
      </c>
      <c r="F22" s="1332" t="s">
        <v>1641</v>
      </c>
      <c r="G22" s="1330">
        <v>1304</v>
      </c>
      <c r="H22" s="1330">
        <v>281</v>
      </c>
      <c r="I22" s="1333">
        <v>294</v>
      </c>
    </row>
    <row r="23" spans="1:9" x14ac:dyDescent="0.25">
      <c r="F23" s="1332" t="s">
        <v>1641</v>
      </c>
      <c r="G23" s="1330">
        <v>1305</v>
      </c>
      <c r="H23" s="1330">
        <v>295</v>
      </c>
      <c r="I23" s="1333">
        <v>308</v>
      </c>
    </row>
    <row r="24" spans="1:9" x14ac:dyDescent="0.25">
      <c r="F24" s="1332" t="s">
        <v>1642</v>
      </c>
      <c r="G24" s="1330">
        <v>4001</v>
      </c>
      <c r="H24" s="1330">
        <v>309</v>
      </c>
      <c r="I24" s="1333">
        <v>322</v>
      </c>
    </row>
    <row r="25" spans="1:9" x14ac:dyDescent="0.25">
      <c r="F25" s="1332" t="s">
        <v>1702</v>
      </c>
      <c r="G25" s="1330">
        <v>4601</v>
      </c>
      <c r="H25" s="1330">
        <v>323</v>
      </c>
      <c r="I25" s="1333">
        <v>336</v>
      </c>
    </row>
    <row r="26" spans="1:9" x14ac:dyDescent="0.25">
      <c r="F26" s="1332" t="s">
        <v>1702</v>
      </c>
      <c r="G26" s="1330">
        <v>4602</v>
      </c>
      <c r="H26" s="1330">
        <v>337</v>
      </c>
      <c r="I26" s="1333">
        <v>350</v>
      </c>
    </row>
    <row r="27" spans="1:9" x14ac:dyDescent="0.25">
      <c r="F27" s="1332" t="s">
        <v>1837</v>
      </c>
      <c r="G27" s="1330">
        <v>4901</v>
      </c>
      <c r="H27" s="1330">
        <v>351</v>
      </c>
      <c r="I27" s="1333">
        <v>364</v>
      </c>
    </row>
    <row r="28" spans="1:9" x14ac:dyDescent="0.25">
      <c r="F28" s="1332" t="s">
        <v>1712</v>
      </c>
      <c r="G28" s="1330">
        <v>5001</v>
      </c>
      <c r="H28" s="1330">
        <v>365</v>
      </c>
      <c r="I28" s="1333">
        <v>378</v>
      </c>
    </row>
    <row r="29" spans="1:9" x14ac:dyDescent="0.25">
      <c r="F29" s="1332" t="s">
        <v>1210</v>
      </c>
      <c r="G29" s="1330">
        <v>801</v>
      </c>
      <c r="H29" s="1330">
        <v>379</v>
      </c>
      <c r="I29" s="1333">
        <v>392</v>
      </c>
    </row>
    <row r="30" spans="1:9" x14ac:dyDescent="0.25">
      <c r="F30" s="1332" t="s">
        <v>1716</v>
      </c>
      <c r="G30" s="1330">
        <v>901</v>
      </c>
      <c r="H30" s="1330">
        <v>393</v>
      </c>
      <c r="I30" s="1333">
        <v>406</v>
      </c>
    </row>
    <row r="31" spans="1:9" x14ac:dyDescent="0.25">
      <c r="F31" s="1332" t="s">
        <v>1718</v>
      </c>
      <c r="G31" s="1330">
        <v>501</v>
      </c>
      <c r="H31" s="1330">
        <v>407</v>
      </c>
      <c r="I31" s="1333">
        <v>420</v>
      </c>
    </row>
    <row r="32" spans="1:9" x14ac:dyDescent="0.25">
      <c r="F32" s="1332" t="s">
        <v>1718</v>
      </c>
      <c r="G32" s="1330">
        <v>502</v>
      </c>
      <c r="H32" s="1330">
        <v>421</v>
      </c>
      <c r="I32" s="1333">
        <v>434</v>
      </c>
    </row>
    <row r="33" spans="6:9" x14ac:dyDescent="0.25">
      <c r="F33" s="1332" t="s">
        <v>1721</v>
      </c>
      <c r="G33" s="1330">
        <v>5601</v>
      </c>
      <c r="H33" s="1330">
        <v>435</v>
      </c>
      <c r="I33" s="1333">
        <v>448</v>
      </c>
    </row>
    <row r="34" spans="6:9" x14ac:dyDescent="0.25">
      <c r="F34" s="1332" t="s">
        <v>1721</v>
      </c>
      <c r="G34" s="1330">
        <v>5602</v>
      </c>
      <c r="H34" s="1330">
        <v>449</v>
      </c>
      <c r="I34" s="1333">
        <v>462</v>
      </c>
    </row>
    <row r="35" spans="6:9" x14ac:dyDescent="0.25">
      <c r="F35" s="1332" t="s">
        <v>1724</v>
      </c>
      <c r="G35" s="1330">
        <v>601</v>
      </c>
      <c r="H35" s="1330">
        <v>463</v>
      </c>
      <c r="I35" s="1333">
        <v>476</v>
      </c>
    </row>
    <row r="36" spans="6:9" x14ac:dyDescent="0.25">
      <c r="F36" s="1332" t="s">
        <v>1724</v>
      </c>
      <c r="G36" s="1330">
        <v>602</v>
      </c>
      <c r="H36" s="1330">
        <v>477</v>
      </c>
      <c r="I36" s="1333">
        <v>490</v>
      </c>
    </row>
    <row r="37" spans="6:9" ht="15.75" thickBot="1" x14ac:dyDescent="0.3">
      <c r="F37" s="32" t="s">
        <v>1733</v>
      </c>
      <c r="G37" s="1331">
        <v>1001</v>
      </c>
      <c r="H37" s="1331">
        <v>491</v>
      </c>
      <c r="I37" s="1004">
        <v>502</v>
      </c>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730" bestFit="1" customWidth="1"/>
    <col min="2" max="2" width="31.42578125" style="730" bestFit="1" customWidth="1"/>
    <col min="3" max="16384" width="9.140625" style="730"/>
  </cols>
  <sheetData>
    <row r="1" spans="1:4" x14ac:dyDescent="0.25">
      <c r="A1" s="728" t="s">
        <v>1067</v>
      </c>
      <c r="B1" s="728" t="s">
        <v>1066</v>
      </c>
      <c r="C1" s="730" t="s">
        <v>1062</v>
      </c>
      <c r="D1" s="730" t="s">
        <v>1063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866" bestFit="1" customWidth="1"/>
    <col min="2" max="2" width="31.85546875" style="866" bestFit="1" customWidth="1"/>
    <col min="3" max="3" width="31.7109375" style="866" bestFit="1" customWidth="1"/>
    <col min="4" max="4" width="29.140625" style="866" bestFit="1" customWidth="1"/>
    <col min="5" max="5" width="16" style="866" bestFit="1" customWidth="1"/>
    <col min="6" max="7" width="53.28515625" style="866" bestFit="1" customWidth="1"/>
    <col min="8" max="8" width="42.42578125" style="866" bestFit="1" customWidth="1"/>
    <col min="9" max="9" width="10" style="866" bestFit="1" customWidth="1"/>
    <col min="10" max="10" width="6.7109375" style="866" bestFit="1" customWidth="1"/>
    <col min="11" max="11" width="14.7109375" style="866" bestFit="1" customWidth="1"/>
    <col min="12" max="12" width="15.85546875" style="866" bestFit="1" customWidth="1"/>
    <col min="13" max="13" width="18.85546875" style="866" bestFit="1" customWidth="1"/>
    <col min="14" max="14" width="24.42578125" style="866" bestFit="1" customWidth="1"/>
    <col min="15" max="15" width="10" style="866" bestFit="1" customWidth="1"/>
    <col min="16" max="16" width="27" style="866" bestFit="1" customWidth="1"/>
    <col min="17" max="17" width="29.140625" style="866" bestFit="1" customWidth="1"/>
    <col min="18" max="18" width="17" style="866" bestFit="1" customWidth="1"/>
    <col min="19" max="19" width="24.5703125" style="866" bestFit="1" customWidth="1"/>
    <col min="20" max="20" width="36.28515625" style="866" bestFit="1" customWidth="1"/>
    <col min="21" max="21" width="37.42578125" style="866" bestFit="1" customWidth="1"/>
    <col min="22" max="22" width="9" style="866" bestFit="1" customWidth="1"/>
    <col min="23" max="23" width="24.140625" style="866" bestFit="1" customWidth="1"/>
    <col min="24" max="24" width="6.28515625" style="866" bestFit="1" customWidth="1"/>
    <col min="25" max="25" width="28.5703125" style="866" bestFit="1" customWidth="1"/>
    <col min="26" max="26" width="23.85546875" style="866" bestFit="1" customWidth="1"/>
    <col min="27" max="27" width="16.42578125" style="866" bestFit="1" customWidth="1"/>
    <col min="28" max="28" width="10.5703125" style="866" bestFit="1" customWidth="1"/>
    <col min="29" max="29" width="27" style="866" bestFit="1" customWidth="1"/>
    <col min="30" max="30" width="36.7109375" style="866" customWidth="1"/>
    <col min="31" max="16384" width="9.140625" style="866"/>
  </cols>
  <sheetData>
    <row r="1" spans="1:30" x14ac:dyDescent="0.25">
      <c r="A1" s="728" t="s">
        <v>1067</v>
      </c>
      <c r="B1" s="728" t="s">
        <v>1066</v>
      </c>
      <c r="C1" s="728" t="s">
        <v>1086</v>
      </c>
      <c r="D1" s="728" t="s">
        <v>1087</v>
      </c>
      <c r="E1" s="728" t="s">
        <v>1088</v>
      </c>
      <c r="F1" s="728" t="s">
        <v>1089</v>
      </c>
      <c r="G1" s="728" t="s">
        <v>1090</v>
      </c>
      <c r="H1" s="728" t="s">
        <v>1091</v>
      </c>
      <c r="I1" s="728" t="s">
        <v>1085</v>
      </c>
      <c r="J1" s="728" t="s">
        <v>1092</v>
      </c>
      <c r="K1" s="728" t="s">
        <v>1093</v>
      </c>
      <c r="L1" s="728" t="s">
        <v>1094</v>
      </c>
      <c r="M1" s="728" t="s">
        <v>1095</v>
      </c>
      <c r="N1" s="728" t="s">
        <v>1096</v>
      </c>
      <c r="O1" s="728" t="s">
        <v>1097</v>
      </c>
      <c r="P1" s="728" t="s">
        <v>1098</v>
      </c>
      <c r="Q1" s="728" t="s">
        <v>1099</v>
      </c>
      <c r="R1" s="728" t="s">
        <v>1100</v>
      </c>
      <c r="S1" s="728" t="s">
        <v>1101</v>
      </c>
      <c r="T1" s="728" t="s">
        <v>1102</v>
      </c>
      <c r="U1" s="728" t="s">
        <v>1103</v>
      </c>
      <c r="V1" s="728" t="s">
        <v>399</v>
      </c>
      <c r="W1" s="728" t="s">
        <v>1083</v>
      </c>
      <c r="X1" s="728" t="s">
        <v>1104</v>
      </c>
      <c r="Y1" s="728" t="s">
        <v>1105</v>
      </c>
      <c r="Z1" s="728" t="s">
        <v>1106</v>
      </c>
      <c r="AA1" s="728" t="s">
        <v>1107</v>
      </c>
      <c r="AB1" s="728" t="s">
        <v>1061</v>
      </c>
      <c r="AC1" s="728" t="s">
        <v>1243</v>
      </c>
      <c r="AD1" s="728" t="s">
        <v>1438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726" bestFit="1" customWidth="1"/>
    <col min="2" max="2" width="10.28515625" style="726" bestFit="1" customWidth="1"/>
    <col min="3" max="3" width="33.42578125" style="726" bestFit="1" customWidth="1"/>
    <col min="4" max="4" width="32.28515625" style="726" bestFit="1" customWidth="1"/>
    <col min="5" max="5" width="36.85546875" style="726" bestFit="1" customWidth="1"/>
    <col min="6" max="6" width="14.5703125" style="726" bestFit="1" customWidth="1"/>
    <col min="7" max="7" width="17.5703125" style="726" customWidth="1"/>
    <col min="8" max="8" width="19.7109375" style="726" bestFit="1" customWidth="1"/>
    <col min="9" max="9" width="17.85546875" style="726" bestFit="1" customWidth="1"/>
    <col min="10" max="10" width="18.140625" style="726" bestFit="1" customWidth="1"/>
    <col min="11" max="11" width="21.85546875" style="726" bestFit="1" customWidth="1"/>
    <col min="12" max="12" width="19.7109375" style="726" bestFit="1" customWidth="1"/>
    <col min="13" max="16384" width="9.140625" style="726"/>
  </cols>
  <sheetData>
    <row r="1" spans="1:12" x14ac:dyDescent="0.25">
      <c r="A1" s="728" t="s">
        <v>1066</v>
      </c>
      <c r="B1" s="728" t="s">
        <v>1067</v>
      </c>
      <c r="C1" s="728" t="s">
        <v>1124</v>
      </c>
      <c r="D1" s="728" t="s">
        <v>1125</v>
      </c>
      <c r="E1" s="728" t="s">
        <v>1126</v>
      </c>
      <c r="F1" s="728" t="s">
        <v>1127</v>
      </c>
      <c r="G1" s="728" t="s">
        <v>1392</v>
      </c>
      <c r="H1" s="728" t="s">
        <v>1393</v>
      </c>
      <c r="I1" s="728" t="s">
        <v>1394</v>
      </c>
      <c r="J1" s="728" t="s">
        <v>1395</v>
      </c>
      <c r="K1" s="728" t="s">
        <v>1396</v>
      </c>
      <c r="L1" s="728" t="s">
        <v>1397</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726" bestFit="1" customWidth="1"/>
    <col min="2" max="2" width="31.85546875" style="726" bestFit="1" customWidth="1"/>
    <col min="3" max="3" width="30" style="726" bestFit="1" customWidth="1"/>
    <col min="4" max="4" width="19.85546875" style="726" bestFit="1" customWidth="1"/>
    <col min="5" max="5" width="4.140625" style="726" bestFit="1" customWidth="1"/>
    <col min="6" max="6" width="9.5703125" style="726" bestFit="1" customWidth="1"/>
    <col min="7" max="16384" width="9.140625" style="726"/>
  </cols>
  <sheetData>
    <row r="1" spans="1:6" x14ac:dyDescent="0.25">
      <c r="A1" s="728" t="s">
        <v>1067</v>
      </c>
      <c r="B1" s="728" t="s">
        <v>1066</v>
      </c>
      <c r="C1" s="728" t="s">
        <v>1082</v>
      </c>
      <c r="D1" s="728" t="s">
        <v>1083</v>
      </c>
      <c r="E1" s="728" t="s">
        <v>1084</v>
      </c>
      <c r="F1" s="728" t="s">
        <v>1085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726" bestFit="1" customWidth="1"/>
    <col min="2" max="2" width="40.28515625" style="726" bestFit="1" customWidth="1"/>
    <col min="3" max="3" width="15.140625" style="726" bestFit="1" customWidth="1"/>
    <col min="4" max="4" width="8.85546875" style="726" bestFit="1" customWidth="1"/>
    <col min="5" max="5" width="29.140625" style="726" bestFit="1" customWidth="1"/>
    <col min="6" max="6" width="18.85546875" style="726" bestFit="1" customWidth="1"/>
    <col min="7" max="7" width="18" style="726" bestFit="1" customWidth="1"/>
    <col min="8" max="8" width="31" style="726" bestFit="1" customWidth="1"/>
    <col min="9" max="9" width="32.5703125" style="726" bestFit="1" customWidth="1"/>
    <col min="10" max="10" width="27.140625" style="726" bestFit="1" customWidth="1"/>
    <col min="11" max="11" width="29.7109375" style="726" bestFit="1" customWidth="1"/>
    <col min="12" max="12" width="20.140625" style="726" bestFit="1" customWidth="1"/>
    <col min="13" max="13" width="20.5703125" style="726" bestFit="1" customWidth="1"/>
    <col min="14" max="15" width="22.140625" style="726" bestFit="1" customWidth="1"/>
    <col min="16" max="16384" width="9.140625" style="726"/>
  </cols>
  <sheetData>
    <row r="1" spans="1:15" x14ac:dyDescent="0.25">
      <c r="A1" s="728" t="s">
        <v>1061</v>
      </c>
      <c r="B1" s="728" t="s">
        <v>244</v>
      </c>
      <c r="C1" s="728" t="s">
        <v>1108</v>
      </c>
      <c r="D1" s="728" t="s">
        <v>1062</v>
      </c>
      <c r="E1" s="728" t="s">
        <v>1063</v>
      </c>
      <c r="F1" s="728" t="s">
        <v>1064</v>
      </c>
      <c r="G1" s="728" t="s">
        <v>1065</v>
      </c>
      <c r="H1" s="728" t="s">
        <v>1109</v>
      </c>
      <c r="I1" s="728" t="s">
        <v>1110</v>
      </c>
      <c r="J1" s="728" t="s">
        <v>1111</v>
      </c>
      <c r="K1" s="728" t="s">
        <v>1112</v>
      </c>
      <c r="L1" s="728" t="s">
        <v>1113</v>
      </c>
      <c r="M1" s="728" t="s">
        <v>1114</v>
      </c>
      <c r="N1" s="728" t="s">
        <v>1115</v>
      </c>
      <c r="O1" s="728" t="s">
        <v>1115</v>
      </c>
    </row>
    <row r="2" spans="1:15" x14ac:dyDescent="0.25">
      <c r="A2" s="858"/>
      <c r="B2" s="858"/>
      <c r="C2" s="858"/>
      <c r="D2" s="858"/>
      <c r="E2" s="858"/>
      <c r="F2" s="858"/>
      <c r="G2" s="858"/>
      <c r="H2" s="858"/>
      <c r="I2" s="858"/>
      <c r="J2" s="858"/>
      <c r="K2" s="858"/>
      <c r="L2" s="858"/>
      <c r="M2" s="858"/>
      <c r="N2" s="858"/>
      <c r="O2" s="858"/>
    </row>
    <row r="3" spans="1:15" x14ac:dyDescent="0.25">
      <c r="A3" s="858"/>
      <c r="B3" s="858"/>
      <c r="C3" s="858"/>
      <c r="D3" s="858"/>
      <c r="E3" s="858"/>
      <c r="F3" s="858"/>
      <c r="G3" s="858"/>
      <c r="H3" s="858"/>
      <c r="I3" s="858"/>
      <c r="J3" s="858"/>
      <c r="K3" s="858"/>
      <c r="L3" s="858"/>
      <c r="M3" s="858"/>
      <c r="N3" s="858"/>
      <c r="O3" s="858"/>
    </row>
    <row r="4" spans="1:15" x14ac:dyDescent="0.25">
      <c r="A4" s="858"/>
      <c r="B4" s="858"/>
      <c r="C4" s="858"/>
      <c r="D4" s="858"/>
      <c r="E4" s="858"/>
      <c r="F4" s="858"/>
      <c r="G4" s="858"/>
      <c r="H4" s="858"/>
      <c r="I4" s="858"/>
      <c r="J4" s="858"/>
      <c r="K4" s="858"/>
      <c r="L4" s="858"/>
      <c r="M4" s="858"/>
      <c r="N4" s="858"/>
      <c r="O4" s="858"/>
    </row>
    <row r="5" spans="1:15" x14ac:dyDescent="0.25">
      <c r="A5" s="858"/>
      <c r="B5" s="858"/>
      <c r="C5" s="858"/>
      <c r="D5" s="858"/>
      <c r="E5" s="858"/>
      <c r="F5" s="858"/>
      <c r="G5" s="858"/>
      <c r="H5" s="858"/>
      <c r="I5" s="858"/>
      <c r="J5" s="858"/>
      <c r="K5" s="858"/>
      <c r="L5" s="858"/>
      <c r="M5" s="858"/>
      <c r="N5" s="858"/>
      <c r="O5" s="858"/>
    </row>
    <row r="6" spans="1:15" x14ac:dyDescent="0.25">
      <c r="A6" s="858"/>
      <c r="B6" s="858"/>
      <c r="C6" s="858"/>
      <c r="D6" s="858"/>
      <c r="E6" s="858"/>
      <c r="F6" s="858"/>
      <c r="G6" s="858"/>
      <c r="H6" s="858"/>
      <c r="I6" s="858"/>
      <c r="J6" s="858"/>
      <c r="K6" s="858"/>
      <c r="L6" s="858"/>
      <c r="M6" s="858"/>
      <c r="N6" s="858"/>
      <c r="O6" s="858"/>
    </row>
    <row r="7" spans="1:15" x14ac:dyDescent="0.25">
      <c r="A7" s="858"/>
      <c r="B7" s="858"/>
      <c r="C7" s="858"/>
      <c r="D7" s="858"/>
      <c r="E7" s="858"/>
      <c r="F7" s="858"/>
      <c r="G7" s="858"/>
      <c r="H7" s="858"/>
      <c r="I7" s="858"/>
      <c r="J7" s="858"/>
      <c r="K7" s="858"/>
      <c r="L7" s="858"/>
      <c r="M7" s="858"/>
      <c r="N7" s="858"/>
      <c r="O7" s="858"/>
    </row>
    <row r="8" spans="1:15" x14ac:dyDescent="0.25">
      <c r="A8" s="858"/>
      <c r="B8" s="858"/>
      <c r="C8" s="858"/>
      <c r="D8" s="858"/>
      <c r="E8" s="858"/>
      <c r="F8" s="858"/>
      <c r="G8" s="858"/>
      <c r="H8" s="858"/>
      <c r="I8" s="858"/>
      <c r="J8" s="858"/>
      <c r="K8" s="858"/>
      <c r="L8" s="858"/>
      <c r="M8" s="858"/>
      <c r="N8" s="858"/>
      <c r="O8" s="858"/>
    </row>
    <row r="9" spans="1:15" x14ac:dyDescent="0.25">
      <c r="A9" s="858"/>
      <c r="B9" s="858"/>
      <c r="C9" s="858"/>
      <c r="D9" s="858"/>
      <c r="E9" s="858"/>
      <c r="F9" s="858"/>
      <c r="G9" s="858"/>
      <c r="H9" s="858"/>
      <c r="I9" s="858"/>
      <c r="J9" s="858"/>
      <c r="K9" s="858"/>
      <c r="L9" s="858"/>
      <c r="M9" s="858"/>
      <c r="N9" s="858"/>
      <c r="O9" s="858"/>
    </row>
    <row r="10" spans="1:15" x14ac:dyDescent="0.25">
      <c r="A10" s="858"/>
      <c r="B10" s="858"/>
      <c r="C10" s="858"/>
      <c r="D10" s="858"/>
      <c r="E10" s="858"/>
      <c r="F10" s="858"/>
      <c r="G10" s="858"/>
      <c r="H10" s="858"/>
      <c r="I10" s="858"/>
      <c r="J10" s="858"/>
      <c r="K10" s="858"/>
      <c r="L10" s="858"/>
      <c r="M10" s="858"/>
      <c r="N10" s="858"/>
      <c r="O10" s="858"/>
    </row>
    <row r="11" spans="1:15" x14ac:dyDescent="0.25">
      <c r="A11" s="858"/>
      <c r="B11" s="858"/>
      <c r="C11" s="858"/>
      <c r="D11" s="858"/>
      <c r="E11" s="858"/>
      <c r="F11" s="858"/>
      <c r="G11" s="858"/>
      <c r="H11" s="858"/>
      <c r="I11" s="858"/>
      <c r="J11" s="858"/>
      <c r="K11" s="858"/>
      <c r="L11" s="858"/>
      <c r="M11" s="858"/>
      <c r="N11" s="858"/>
      <c r="O11" s="858"/>
    </row>
    <row r="12" spans="1:15" x14ac:dyDescent="0.25">
      <c r="A12" s="858"/>
      <c r="B12" s="858"/>
      <c r="C12" s="858"/>
      <c r="D12" s="858"/>
      <c r="E12" s="858"/>
      <c r="F12" s="858"/>
      <c r="G12" s="858"/>
      <c r="H12" s="858"/>
      <c r="I12" s="858"/>
      <c r="J12" s="858"/>
      <c r="K12" s="858"/>
      <c r="L12" s="858"/>
      <c r="M12" s="858"/>
      <c r="N12" s="858"/>
      <c r="O12" s="858"/>
    </row>
    <row r="13" spans="1:15" x14ac:dyDescent="0.25">
      <c r="A13" s="858"/>
      <c r="B13" s="858"/>
      <c r="C13" s="858"/>
      <c r="D13" s="858"/>
      <c r="E13" s="858"/>
      <c r="F13" s="858"/>
      <c r="G13" s="858"/>
      <c r="H13" s="858"/>
      <c r="I13" s="858"/>
      <c r="J13" s="858"/>
      <c r="K13" s="858"/>
      <c r="L13" s="858"/>
      <c r="M13" s="858"/>
      <c r="N13" s="858"/>
      <c r="O13" s="858"/>
    </row>
    <row r="14" spans="1:15" x14ac:dyDescent="0.25">
      <c r="A14" s="858"/>
      <c r="B14" s="858"/>
      <c r="C14" s="858"/>
      <c r="D14" s="858"/>
      <c r="E14" s="858"/>
      <c r="F14" s="858"/>
      <c r="G14" s="858"/>
      <c r="H14" s="858"/>
      <c r="I14" s="858"/>
      <c r="J14" s="858"/>
      <c r="K14" s="858"/>
      <c r="L14" s="858"/>
      <c r="M14" s="858"/>
      <c r="N14" s="858"/>
      <c r="O14" s="858"/>
    </row>
    <row r="15" spans="1:15" x14ac:dyDescent="0.25">
      <c r="A15" s="858"/>
      <c r="B15" s="858"/>
      <c r="C15" s="858"/>
      <c r="D15" s="858"/>
      <c r="E15" s="858"/>
      <c r="F15" s="858"/>
      <c r="G15" s="858"/>
      <c r="H15" s="858"/>
      <c r="I15" s="858"/>
      <c r="J15" s="858"/>
      <c r="K15" s="858"/>
      <c r="L15" s="858"/>
      <c r="M15" s="858"/>
      <c r="N15" s="858"/>
      <c r="O15" s="858"/>
    </row>
    <row r="16" spans="1:15" x14ac:dyDescent="0.25">
      <c r="A16" s="858"/>
      <c r="B16" s="858"/>
      <c r="C16" s="858"/>
      <c r="D16" s="858"/>
      <c r="E16" s="858"/>
      <c r="F16" s="858"/>
      <c r="G16" s="858"/>
      <c r="H16" s="858"/>
      <c r="I16" s="858"/>
      <c r="J16" s="858"/>
      <c r="K16" s="858"/>
      <c r="L16" s="858"/>
      <c r="M16" s="858"/>
      <c r="N16" s="858"/>
      <c r="O16" s="858"/>
    </row>
    <row r="17" spans="1:15" x14ac:dyDescent="0.25">
      <c r="A17" s="858"/>
      <c r="B17" s="858"/>
      <c r="C17" s="858"/>
      <c r="D17" s="858"/>
      <c r="E17" s="858"/>
      <c r="F17" s="858"/>
      <c r="G17" s="858"/>
      <c r="H17" s="858"/>
      <c r="I17" s="858"/>
      <c r="J17" s="858"/>
      <c r="K17" s="858"/>
      <c r="L17" s="858"/>
      <c r="M17" s="858"/>
      <c r="N17" s="858"/>
      <c r="O17" s="858"/>
    </row>
    <row r="18" spans="1:15" x14ac:dyDescent="0.25">
      <c r="A18" s="858"/>
      <c r="B18" s="858"/>
      <c r="C18" s="858"/>
      <c r="D18" s="858"/>
      <c r="E18" s="858"/>
      <c r="F18" s="858"/>
      <c r="G18" s="858"/>
      <c r="H18" s="858"/>
      <c r="I18" s="858"/>
      <c r="J18" s="858"/>
      <c r="K18" s="858"/>
      <c r="L18" s="858"/>
      <c r="M18" s="858"/>
      <c r="N18" s="858"/>
      <c r="O18" s="858"/>
    </row>
    <row r="19" spans="1:15" x14ac:dyDescent="0.25">
      <c r="A19" s="858"/>
      <c r="B19" s="858"/>
      <c r="C19" s="858"/>
      <c r="D19" s="858"/>
      <c r="E19" s="858"/>
      <c r="F19" s="858"/>
      <c r="G19" s="858"/>
      <c r="H19" s="858"/>
      <c r="I19" s="858"/>
      <c r="J19" s="858"/>
      <c r="K19" s="858"/>
      <c r="L19" s="858"/>
      <c r="M19" s="858"/>
      <c r="N19" s="858"/>
      <c r="O19" s="858"/>
    </row>
    <row r="20" spans="1:15" x14ac:dyDescent="0.25">
      <c r="A20" s="858"/>
      <c r="B20" s="858"/>
      <c r="C20" s="858"/>
      <c r="D20" s="858"/>
      <c r="E20" s="858"/>
      <c r="F20" s="858"/>
      <c r="G20" s="858"/>
      <c r="H20" s="858"/>
      <c r="I20" s="858"/>
      <c r="J20" s="858"/>
      <c r="K20" s="858"/>
      <c r="L20" s="858"/>
      <c r="M20" s="858"/>
      <c r="N20" s="858"/>
      <c r="O20" s="858"/>
    </row>
    <row r="21" spans="1:15" x14ac:dyDescent="0.25">
      <c r="A21" s="858"/>
      <c r="B21" s="858"/>
      <c r="C21" s="858"/>
      <c r="D21" s="858"/>
      <c r="E21" s="858"/>
      <c r="F21" s="858"/>
      <c r="G21" s="858"/>
      <c r="H21" s="858"/>
      <c r="I21" s="858"/>
      <c r="J21" s="858"/>
      <c r="K21" s="858"/>
      <c r="L21" s="858"/>
      <c r="M21" s="858"/>
      <c r="N21" s="858"/>
      <c r="O21" s="858"/>
    </row>
    <row r="22" spans="1:15" x14ac:dyDescent="0.25">
      <c r="A22" s="858"/>
      <c r="B22" s="858"/>
      <c r="C22" s="858"/>
      <c r="D22" s="858"/>
      <c r="E22" s="858"/>
      <c r="F22" s="858"/>
      <c r="G22" s="858"/>
      <c r="H22" s="858"/>
      <c r="I22" s="858"/>
      <c r="J22" s="858"/>
      <c r="K22" s="858"/>
      <c r="L22" s="858"/>
      <c r="M22" s="858"/>
      <c r="N22" s="858"/>
      <c r="O22" s="858"/>
    </row>
    <row r="23" spans="1:15" x14ac:dyDescent="0.25">
      <c r="A23" s="858"/>
      <c r="B23" s="858"/>
      <c r="C23" s="858"/>
      <c r="D23" s="858"/>
      <c r="E23" s="858"/>
      <c r="F23" s="858"/>
      <c r="G23" s="858"/>
      <c r="H23" s="858"/>
      <c r="I23" s="858"/>
      <c r="J23" s="858"/>
      <c r="K23" s="858"/>
      <c r="L23" s="858"/>
      <c r="M23" s="858"/>
      <c r="N23" s="858"/>
      <c r="O23" s="858"/>
    </row>
    <row r="24" spans="1:15" x14ac:dyDescent="0.25">
      <c r="A24" s="858"/>
      <c r="B24" s="858"/>
      <c r="C24" s="858"/>
      <c r="D24" s="858"/>
      <c r="E24" s="858"/>
      <c r="F24" s="858"/>
      <c r="G24" s="858"/>
      <c r="H24" s="858"/>
      <c r="I24" s="858"/>
      <c r="J24" s="858"/>
      <c r="K24" s="858"/>
      <c r="L24" s="858"/>
      <c r="M24" s="858"/>
      <c r="N24" s="858"/>
      <c r="O24" s="858"/>
    </row>
    <row r="25" spans="1:15" x14ac:dyDescent="0.25">
      <c r="A25" s="858"/>
      <c r="B25" s="858"/>
      <c r="C25" s="858"/>
      <c r="D25" s="858"/>
      <c r="E25" s="858"/>
      <c r="F25" s="858"/>
      <c r="G25" s="858"/>
      <c r="H25" s="858"/>
      <c r="I25" s="858"/>
      <c r="J25" s="858"/>
      <c r="K25" s="858"/>
      <c r="L25" s="858"/>
      <c r="M25" s="858"/>
      <c r="N25" s="858"/>
      <c r="O25" s="858"/>
    </row>
    <row r="26" spans="1:15" x14ac:dyDescent="0.25">
      <c r="A26" s="858"/>
      <c r="B26" s="858"/>
      <c r="C26" s="858"/>
      <c r="D26" s="858"/>
      <c r="E26" s="858"/>
      <c r="F26" s="858"/>
      <c r="G26" s="858"/>
      <c r="H26" s="858"/>
      <c r="I26" s="858"/>
      <c r="J26" s="858"/>
      <c r="K26" s="858"/>
      <c r="L26" s="858"/>
      <c r="M26" s="858"/>
      <c r="N26" s="858"/>
      <c r="O26" s="858"/>
    </row>
    <row r="27" spans="1:15" x14ac:dyDescent="0.25">
      <c r="A27" s="858"/>
      <c r="B27" s="858"/>
      <c r="C27" s="858"/>
      <c r="D27" s="858"/>
      <c r="E27" s="858"/>
      <c r="F27" s="858"/>
      <c r="G27" s="858"/>
      <c r="H27" s="858"/>
      <c r="I27" s="858"/>
      <c r="J27" s="858"/>
      <c r="K27" s="858"/>
      <c r="L27" s="858"/>
      <c r="M27" s="858"/>
      <c r="N27" s="858"/>
      <c r="O27" s="858"/>
    </row>
    <row r="28" spans="1:15" x14ac:dyDescent="0.25">
      <c r="A28" s="858"/>
      <c r="B28" s="858"/>
      <c r="C28" s="858"/>
      <c r="D28" s="858"/>
      <c r="E28" s="858"/>
      <c r="F28" s="858"/>
      <c r="G28" s="858"/>
      <c r="H28" s="858"/>
      <c r="I28" s="858"/>
      <c r="J28" s="858"/>
      <c r="K28" s="858"/>
      <c r="L28" s="858"/>
      <c r="M28" s="858"/>
      <c r="N28" s="858"/>
      <c r="O28" s="858"/>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726" bestFit="1" customWidth="1"/>
    <col min="2" max="2" width="10.5703125" style="726" bestFit="1" customWidth="1"/>
    <col min="3" max="3" width="8.85546875" style="726" bestFit="1" customWidth="1"/>
    <col min="4" max="4" width="9.140625" style="726"/>
    <col min="5" max="5" width="29.7109375" style="726" bestFit="1" customWidth="1"/>
    <col min="6" max="6" width="16.42578125" style="726" bestFit="1" customWidth="1"/>
    <col min="7" max="7" width="27.140625" style="726" bestFit="1" customWidth="1"/>
    <col min="8" max="8" width="35" style="726" bestFit="1" customWidth="1"/>
    <col min="9" max="9" width="38.42578125" style="726" bestFit="1" customWidth="1"/>
    <col min="10" max="10" width="33.85546875" style="726" bestFit="1" customWidth="1"/>
    <col min="11" max="11" width="26.140625" style="726" bestFit="1" customWidth="1"/>
    <col min="12" max="12" width="17.42578125" style="726" bestFit="1" customWidth="1"/>
    <col min="13" max="13" width="12" style="726" bestFit="1" customWidth="1"/>
    <col min="14" max="16384" width="9.140625" style="726"/>
  </cols>
  <sheetData>
    <row r="1" spans="1:13" x14ac:dyDescent="0.25">
      <c r="A1" s="728" t="s">
        <v>1064</v>
      </c>
      <c r="B1" s="728" t="s">
        <v>1061</v>
      </c>
      <c r="C1" s="728" t="s">
        <v>1062</v>
      </c>
      <c r="D1" s="728" t="s">
        <v>1068</v>
      </c>
      <c r="E1" s="728" t="s">
        <v>1112</v>
      </c>
      <c r="F1" s="728" t="s">
        <v>1116</v>
      </c>
      <c r="G1" s="728" t="s">
        <v>1111</v>
      </c>
      <c r="H1" s="728" t="s">
        <v>1128</v>
      </c>
      <c r="I1" s="728" t="s">
        <v>1129</v>
      </c>
      <c r="J1" s="728" t="s">
        <v>1130</v>
      </c>
      <c r="K1" s="728" t="s">
        <v>1069</v>
      </c>
      <c r="L1" s="728" t="s">
        <v>1070</v>
      </c>
      <c r="M1" s="728" t="s">
        <v>1071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726" bestFit="1" customWidth="1"/>
    <col min="2" max="2" width="12.85546875" style="726" bestFit="1" customWidth="1"/>
    <col min="3" max="3" width="10.5703125" style="726" bestFit="1" customWidth="1"/>
    <col min="4" max="4" width="21.5703125" style="726" bestFit="1" customWidth="1"/>
    <col min="5" max="5" width="12.7109375" style="726" bestFit="1" customWidth="1"/>
    <col min="6" max="6" width="25.7109375" style="726" bestFit="1" customWidth="1"/>
    <col min="7" max="16384" width="9.140625" style="726"/>
  </cols>
  <sheetData>
    <row r="1" spans="1:6" x14ac:dyDescent="0.25">
      <c r="A1" s="728" t="s">
        <v>244</v>
      </c>
      <c r="B1" s="728" t="s">
        <v>1122</v>
      </c>
      <c r="C1" s="728" t="s">
        <v>1061</v>
      </c>
      <c r="D1" s="728" t="s">
        <v>1118</v>
      </c>
      <c r="E1" s="728" t="s">
        <v>1119</v>
      </c>
      <c r="F1" s="728"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726" bestFit="1" customWidth="1"/>
    <col min="2" max="2" width="12.85546875" style="726" bestFit="1" customWidth="1"/>
    <col min="3" max="3" width="10.5703125" style="726" bestFit="1" customWidth="1"/>
    <col min="4" max="4" width="21.5703125" style="726" bestFit="1" customWidth="1"/>
    <col min="5" max="5" width="12.7109375" style="726" bestFit="1" customWidth="1"/>
    <col min="6" max="6" width="25.7109375" style="726" bestFit="1" customWidth="1"/>
    <col min="7" max="16384" width="9.140625" style="726"/>
  </cols>
  <sheetData>
    <row r="1" spans="1:6" x14ac:dyDescent="0.25">
      <c r="A1" s="728" t="s">
        <v>244</v>
      </c>
      <c r="B1" s="728" t="s">
        <v>1121</v>
      </c>
      <c r="C1" s="728" t="s">
        <v>1061</v>
      </c>
      <c r="D1" s="728" t="s">
        <v>1118</v>
      </c>
      <c r="E1" s="728" t="s">
        <v>1119</v>
      </c>
      <c r="F1" s="728"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726" bestFit="1" customWidth="1"/>
    <col min="2" max="2" width="12.85546875" style="726" bestFit="1" customWidth="1"/>
    <col min="3" max="3" width="10.5703125" style="726" bestFit="1" customWidth="1"/>
    <col min="4" max="4" width="21.5703125" style="726" bestFit="1" customWidth="1"/>
    <col min="5" max="5" width="12.7109375" style="726" bestFit="1" customWidth="1"/>
    <col min="6" max="6" width="25.7109375" style="726" bestFit="1" customWidth="1"/>
    <col min="7" max="16384" width="9.140625" style="726"/>
  </cols>
  <sheetData>
    <row r="1" spans="1:6" x14ac:dyDescent="0.25">
      <c r="A1" s="728" t="s">
        <v>244</v>
      </c>
      <c r="B1" s="728" t="s">
        <v>1117</v>
      </c>
      <c r="C1" s="728" t="s">
        <v>1061</v>
      </c>
      <c r="D1" s="728" t="s">
        <v>1118</v>
      </c>
      <c r="E1" s="728" t="s">
        <v>1119</v>
      </c>
      <c r="F1" s="728"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254</v>
      </c>
      <c r="C1" s="2" t="s">
        <v>963</v>
      </c>
      <c r="D1" s="2" t="s">
        <v>216</v>
      </c>
      <c r="E1" s="2"/>
      <c r="F1" s="2" t="s">
        <v>215</v>
      </c>
      <c r="G1" s="2"/>
      <c r="H1" s="2" t="s">
        <v>202</v>
      </c>
    </row>
    <row r="2" spans="1:14" x14ac:dyDescent="0.25">
      <c r="A2" t="s">
        <v>269</v>
      </c>
      <c r="B2" t="s">
        <v>99</v>
      </c>
      <c r="C2" s="2" t="s">
        <v>212</v>
      </c>
      <c r="D2" s="24">
        <v>0.03</v>
      </c>
      <c r="E2" s="24">
        <v>0.08</v>
      </c>
      <c r="F2" s="24">
        <v>0.09</v>
      </c>
      <c r="G2" s="24">
        <v>0.11</v>
      </c>
      <c r="H2" s="24">
        <v>0.16</v>
      </c>
      <c r="J2" s="24"/>
      <c r="K2" s="24"/>
      <c r="L2" s="24"/>
      <c r="M2" s="24"/>
      <c r="N2" s="24"/>
    </row>
    <row r="3" spans="1:14" x14ac:dyDescent="0.25">
      <c r="A3" t="s">
        <v>270</v>
      </c>
      <c r="B3" t="s">
        <v>99</v>
      </c>
      <c r="C3" s="2" t="s">
        <v>213</v>
      </c>
      <c r="D3" s="24">
        <v>0.04</v>
      </c>
      <c r="E3" s="24">
        <v>0.08</v>
      </c>
      <c r="F3" s="24">
        <v>0.09</v>
      </c>
      <c r="G3" s="24">
        <v>0.11</v>
      </c>
      <c r="H3" s="24">
        <v>0.16</v>
      </c>
      <c r="J3" s="24"/>
      <c r="K3" s="24"/>
      <c r="L3" s="24"/>
      <c r="M3" s="24"/>
      <c r="N3" s="24"/>
    </row>
    <row r="4" spans="1:14" x14ac:dyDescent="0.25">
      <c r="A4" t="s">
        <v>271</v>
      </c>
      <c r="B4" t="s">
        <v>99</v>
      </c>
      <c r="C4" s="2" t="s">
        <v>214</v>
      </c>
      <c r="D4" s="24">
        <v>0.03</v>
      </c>
      <c r="E4" s="24">
        <v>7.0000000000000007E-2</v>
      </c>
      <c r="F4" s="24">
        <v>0.09</v>
      </c>
      <c r="G4" s="24">
        <v>0.1</v>
      </c>
      <c r="H4" s="24">
        <v>0.16</v>
      </c>
      <c r="J4" s="24"/>
      <c r="K4" s="24"/>
      <c r="L4" s="24"/>
      <c r="M4" s="24"/>
      <c r="N4" s="24"/>
    </row>
    <row r="5" spans="1:14" x14ac:dyDescent="0.25">
      <c r="A5" t="s">
        <v>272</v>
      </c>
      <c r="B5" t="s">
        <v>99</v>
      </c>
      <c r="C5" s="2" t="s">
        <v>267</v>
      </c>
      <c r="D5" s="24">
        <v>0.01</v>
      </c>
      <c r="E5" s="24">
        <v>7.0000000000000007E-2</v>
      </c>
      <c r="F5" s="24">
        <v>0.08</v>
      </c>
      <c r="G5" s="24">
        <v>0.11</v>
      </c>
      <c r="H5" s="24">
        <v>0.15</v>
      </c>
      <c r="J5" s="24"/>
      <c r="K5" s="24"/>
      <c r="L5" s="24"/>
      <c r="M5" s="24"/>
      <c r="N5" s="24"/>
    </row>
    <row r="6" spans="1:14" x14ac:dyDescent="0.25">
      <c r="A6" t="s">
        <v>273</v>
      </c>
      <c r="B6" t="s">
        <v>99</v>
      </c>
      <c r="C6" s="2" t="s">
        <v>268</v>
      </c>
      <c r="D6" s="24">
        <v>0.02</v>
      </c>
      <c r="E6" s="24">
        <v>0.06</v>
      </c>
      <c r="F6" s="24">
        <v>0.08</v>
      </c>
      <c r="G6" s="24">
        <v>0.09</v>
      </c>
      <c r="H6" s="24">
        <v>0.14000000000000001</v>
      </c>
      <c r="J6" s="24"/>
      <c r="K6" s="24"/>
      <c r="L6" s="24"/>
      <c r="M6" s="24"/>
      <c r="N6" s="24"/>
    </row>
    <row r="7" spans="1:14" x14ac:dyDescent="0.25">
      <c r="A7" t="s">
        <v>509</v>
      </c>
      <c r="B7" t="s">
        <v>507</v>
      </c>
      <c r="C7" s="2" t="s">
        <v>212</v>
      </c>
      <c r="D7" s="24">
        <v>0</v>
      </c>
      <c r="E7" s="24">
        <v>0.04</v>
      </c>
      <c r="F7" s="24">
        <v>7.0000000000000007E-2</v>
      </c>
      <c r="G7" s="24">
        <v>0.09</v>
      </c>
      <c r="H7" s="24">
        <v>0.16</v>
      </c>
      <c r="J7" s="24"/>
      <c r="K7" s="24"/>
      <c r="L7" s="24"/>
      <c r="M7" s="24"/>
      <c r="N7" s="24"/>
    </row>
    <row r="8" spans="1:14" x14ac:dyDescent="0.25">
      <c r="A8" t="s">
        <v>510</v>
      </c>
      <c r="B8" t="s">
        <v>507</v>
      </c>
      <c r="C8" s="2" t="s">
        <v>213</v>
      </c>
      <c r="D8" s="24">
        <v>0</v>
      </c>
      <c r="E8" s="24">
        <v>0.04</v>
      </c>
      <c r="F8" s="24">
        <v>0.06</v>
      </c>
      <c r="G8" s="24">
        <v>0.08</v>
      </c>
      <c r="H8" s="24">
        <v>0.15</v>
      </c>
      <c r="J8" s="24"/>
      <c r="K8" s="24"/>
      <c r="L8" s="24"/>
      <c r="M8" s="24"/>
      <c r="N8" s="24"/>
    </row>
    <row r="9" spans="1:14" x14ac:dyDescent="0.25">
      <c r="A9" t="s">
        <v>511</v>
      </c>
      <c r="B9" t="s">
        <v>507</v>
      </c>
      <c r="C9" s="2" t="s">
        <v>214</v>
      </c>
      <c r="D9" s="24">
        <v>0</v>
      </c>
      <c r="E9" s="24">
        <v>0.04</v>
      </c>
      <c r="F9" s="24">
        <v>0.06</v>
      </c>
      <c r="G9" s="24">
        <v>0.08</v>
      </c>
      <c r="H9" s="24">
        <v>0.14000000000000001</v>
      </c>
      <c r="J9" s="24"/>
      <c r="K9" s="24"/>
      <c r="L9" s="24"/>
      <c r="M9" s="24"/>
      <c r="N9" s="24"/>
    </row>
    <row r="10" spans="1:14" x14ac:dyDescent="0.25">
      <c r="A10" t="s">
        <v>512</v>
      </c>
      <c r="B10" t="s">
        <v>507</v>
      </c>
      <c r="C10" s="2" t="s">
        <v>267</v>
      </c>
      <c r="D10" s="24">
        <v>0</v>
      </c>
      <c r="E10" s="24">
        <v>0.04</v>
      </c>
      <c r="F10" s="24">
        <v>0.05</v>
      </c>
      <c r="G10" s="24">
        <v>7.0000000000000007E-2</v>
      </c>
      <c r="H10" s="24">
        <v>0.12</v>
      </c>
      <c r="J10" s="24"/>
      <c r="K10" s="24"/>
      <c r="L10" s="24"/>
      <c r="M10" s="24"/>
      <c r="N10" s="24"/>
    </row>
    <row r="11" spans="1:14" x14ac:dyDescent="0.25">
      <c r="A11" t="s">
        <v>513</v>
      </c>
      <c r="B11" t="s">
        <v>507</v>
      </c>
      <c r="C11" s="2" t="s">
        <v>268</v>
      </c>
      <c r="D11" s="24">
        <v>0</v>
      </c>
      <c r="E11" s="24">
        <v>0.03</v>
      </c>
      <c r="F11" s="24">
        <v>0.04</v>
      </c>
      <c r="G11" s="24">
        <v>0.06</v>
      </c>
      <c r="H11" s="24">
        <v>0.1</v>
      </c>
      <c r="J11" s="24"/>
      <c r="K11" s="24"/>
      <c r="L11" s="24"/>
      <c r="M11" s="24"/>
      <c r="N11" s="24"/>
    </row>
    <row r="12" spans="1:14" x14ac:dyDescent="0.25">
      <c r="A12" t="s">
        <v>514</v>
      </c>
      <c r="B12" t="s">
        <v>508</v>
      </c>
      <c r="C12" s="2" t="s">
        <v>212</v>
      </c>
      <c r="D12" s="24">
        <v>0</v>
      </c>
      <c r="E12" s="24">
        <v>0.05</v>
      </c>
      <c r="F12" s="24">
        <v>0.08</v>
      </c>
      <c r="G12" s="24">
        <v>0.09</v>
      </c>
      <c r="H12" s="24">
        <v>0.14000000000000001</v>
      </c>
      <c r="J12" s="24"/>
      <c r="K12" s="24"/>
      <c r="L12" s="24"/>
      <c r="M12" s="24"/>
      <c r="N12" s="24"/>
    </row>
    <row r="13" spans="1:14" x14ac:dyDescent="0.25">
      <c r="A13" t="s">
        <v>515</v>
      </c>
      <c r="B13" t="s">
        <v>508</v>
      </c>
      <c r="C13" s="2" t="s">
        <v>213</v>
      </c>
      <c r="D13" s="24">
        <v>0</v>
      </c>
      <c r="E13" s="24">
        <v>0.05</v>
      </c>
      <c r="F13" s="24">
        <v>7.0000000000000007E-2</v>
      </c>
      <c r="G13" s="24">
        <v>0.09</v>
      </c>
      <c r="H13" s="24">
        <v>0.14000000000000001</v>
      </c>
      <c r="J13" s="24"/>
      <c r="K13" s="24"/>
      <c r="L13" s="24"/>
      <c r="M13" s="24"/>
      <c r="N13" s="24"/>
    </row>
    <row r="14" spans="1:14" x14ac:dyDescent="0.25">
      <c r="A14" t="s">
        <v>516</v>
      </c>
      <c r="B14" t="s">
        <v>508</v>
      </c>
      <c r="C14" s="2" t="s">
        <v>214</v>
      </c>
      <c r="D14" s="24">
        <v>0</v>
      </c>
      <c r="E14" s="24">
        <v>0.05</v>
      </c>
      <c r="F14" s="24">
        <v>0.06</v>
      </c>
      <c r="G14" s="24">
        <v>0.08</v>
      </c>
      <c r="H14" s="24">
        <v>0.13</v>
      </c>
      <c r="J14" s="24"/>
      <c r="K14" s="24"/>
      <c r="L14" s="24"/>
      <c r="M14" s="24"/>
      <c r="N14" s="24"/>
    </row>
    <row r="15" spans="1:14" x14ac:dyDescent="0.25">
      <c r="A15" t="s">
        <v>517</v>
      </c>
      <c r="B15" t="s">
        <v>508</v>
      </c>
      <c r="C15" s="2" t="s">
        <v>267</v>
      </c>
      <c r="D15" s="55">
        <v>0</v>
      </c>
      <c r="E15" s="55">
        <v>0.04</v>
      </c>
      <c r="F15" s="55">
        <v>0.05</v>
      </c>
      <c r="G15" s="55">
        <v>7.0000000000000007E-2</v>
      </c>
      <c r="H15" s="55">
        <v>0.11</v>
      </c>
      <c r="J15" s="55"/>
      <c r="K15" s="55"/>
      <c r="L15" s="55"/>
      <c r="M15" s="55"/>
      <c r="N15" s="55"/>
    </row>
    <row r="16" spans="1:14" x14ac:dyDescent="0.25">
      <c r="A16" t="s">
        <v>518</v>
      </c>
      <c r="B16" t="s">
        <v>508</v>
      </c>
      <c r="C16" s="2" t="s">
        <v>268</v>
      </c>
      <c r="D16" s="55">
        <v>0</v>
      </c>
      <c r="E16" s="55">
        <v>0.04</v>
      </c>
      <c r="F16" s="55">
        <v>0.05</v>
      </c>
      <c r="G16" s="55">
        <v>7.0000000000000007E-2</v>
      </c>
      <c r="H16" s="55">
        <v>0.09</v>
      </c>
      <c r="J16" s="55"/>
      <c r="K16" s="55"/>
      <c r="L16" s="55"/>
      <c r="M16" s="55"/>
      <c r="N16" s="55"/>
    </row>
    <row r="17" spans="1:14" x14ac:dyDescent="0.25">
      <c r="A17" t="s">
        <v>274</v>
      </c>
      <c r="B17" t="s">
        <v>102</v>
      </c>
      <c r="C17" s="2" t="s">
        <v>212</v>
      </c>
      <c r="D17" s="24">
        <v>0.03</v>
      </c>
      <c r="E17" s="24">
        <v>0.09</v>
      </c>
      <c r="F17" s="24">
        <v>0.11</v>
      </c>
      <c r="G17" s="24">
        <v>0.13</v>
      </c>
      <c r="H17" s="24">
        <v>0.2</v>
      </c>
      <c r="J17" s="24"/>
      <c r="K17" s="24"/>
      <c r="L17" s="24"/>
      <c r="M17" s="24"/>
      <c r="N17" s="24"/>
    </row>
    <row r="18" spans="1:14" x14ac:dyDescent="0.25">
      <c r="A18" t="s">
        <v>275</v>
      </c>
      <c r="B18" t="s">
        <v>102</v>
      </c>
      <c r="C18" s="2" t="s">
        <v>213</v>
      </c>
      <c r="D18" s="24">
        <v>0.03</v>
      </c>
      <c r="E18" s="24">
        <v>0.08</v>
      </c>
      <c r="F18" s="24">
        <v>0.1</v>
      </c>
      <c r="G18" s="24">
        <v>0.12</v>
      </c>
      <c r="H18" s="24">
        <v>0.19</v>
      </c>
      <c r="J18" s="24"/>
      <c r="K18" s="24"/>
      <c r="L18" s="24"/>
      <c r="M18" s="24"/>
      <c r="N18" s="24"/>
    </row>
    <row r="19" spans="1:14" x14ac:dyDescent="0.25">
      <c r="A19" t="s">
        <v>276</v>
      </c>
      <c r="B19" t="s">
        <v>102</v>
      </c>
      <c r="C19" s="2" t="s">
        <v>214</v>
      </c>
      <c r="D19" s="24">
        <v>0.02</v>
      </c>
      <c r="E19" s="24">
        <v>7.0000000000000007E-2</v>
      </c>
      <c r="F19" s="24">
        <v>0.09</v>
      </c>
      <c r="G19" s="24">
        <v>0.11</v>
      </c>
      <c r="H19" s="24">
        <v>0.18</v>
      </c>
      <c r="J19" s="24"/>
      <c r="K19" s="24"/>
      <c r="L19" s="24"/>
      <c r="M19" s="24"/>
      <c r="N19" s="24"/>
    </row>
    <row r="20" spans="1:14" x14ac:dyDescent="0.25">
      <c r="A20" t="s">
        <v>277</v>
      </c>
      <c r="B20" t="s">
        <v>102</v>
      </c>
      <c r="C20" s="2" t="s">
        <v>267</v>
      </c>
      <c r="D20" s="24">
        <v>0.02</v>
      </c>
      <c r="E20" s="24">
        <v>0.06</v>
      </c>
      <c r="F20" s="24">
        <v>0.08</v>
      </c>
      <c r="G20" s="24">
        <v>0.1</v>
      </c>
      <c r="H20" s="24">
        <v>0.16</v>
      </c>
      <c r="J20" s="24"/>
      <c r="K20" s="24"/>
      <c r="L20" s="24"/>
      <c r="M20" s="24"/>
      <c r="N20" s="24"/>
    </row>
    <row r="21" spans="1:14" x14ac:dyDescent="0.25">
      <c r="A21" t="s">
        <v>278</v>
      </c>
      <c r="B21" t="s">
        <v>102</v>
      </c>
      <c r="C21" s="2" t="s">
        <v>268</v>
      </c>
      <c r="D21" s="24">
        <v>0.02</v>
      </c>
      <c r="E21" s="24">
        <v>0.05</v>
      </c>
      <c r="F21" s="24">
        <v>0.06</v>
      </c>
      <c r="G21" s="24">
        <v>0.09</v>
      </c>
      <c r="H21" s="24">
        <v>0.13</v>
      </c>
      <c r="J21" s="24"/>
      <c r="K21" s="24"/>
      <c r="L21" s="24"/>
      <c r="M21" s="24"/>
      <c r="N21" s="24"/>
    </row>
    <row r="22" spans="1:14" x14ac:dyDescent="0.25">
      <c r="A22" t="s">
        <v>279</v>
      </c>
      <c r="B22" t="s">
        <v>100</v>
      </c>
      <c r="C22" s="2" t="s">
        <v>212</v>
      </c>
      <c r="D22" s="24">
        <v>0.03</v>
      </c>
      <c r="E22" s="24">
        <v>0.09</v>
      </c>
      <c r="F22" s="24">
        <v>0.11</v>
      </c>
      <c r="G22" s="24">
        <v>0.14000000000000001</v>
      </c>
      <c r="H22" s="24">
        <v>0.21</v>
      </c>
      <c r="J22" s="24"/>
      <c r="K22" s="24"/>
      <c r="L22" s="24"/>
      <c r="M22" s="24"/>
      <c r="N22" s="24"/>
    </row>
    <row r="23" spans="1:14" x14ac:dyDescent="0.25">
      <c r="A23" t="s">
        <v>280</v>
      </c>
      <c r="B23" t="s">
        <v>100</v>
      </c>
      <c r="C23" s="2" t="s">
        <v>213</v>
      </c>
      <c r="D23" s="24">
        <v>0.03</v>
      </c>
      <c r="E23" s="24">
        <v>0.08</v>
      </c>
      <c r="F23" s="24">
        <v>0.1</v>
      </c>
      <c r="G23" s="24">
        <v>0.12</v>
      </c>
      <c r="H23" s="24">
        <v>0.17</v>
      </c>
      <c r="J23" s="24"/>
      <c r="K23" s="24"/>
      <c r="L23" s="24"/>
      <c r="M23" s="24"/>
      <c r="N23" s="24"/>
    </row>
    <row r="24" spans="1:14" x14ac:dyDescent="0.25">
      <c r="A24" t="s">
        <v>281</v>
      </c>
      <c r="B24" t="s">
        <v>100</v>
      </c>
      <c r="C24" s="2" t="s">
        <v>214</v>
      </c>
      <c r="D24" s="24">
        <v>0.03</v>
      </c>
      <c r="E24" s="24">
        <v>7.0000000000000007E-2</v>
      </c>
      <c r="F24" s="24">
        <v>0.09</v>
      </c>
      <c r="G24" s="24">
        <v>0.11</v>
      </c>
      <c r="H24" s="24">
        <v>0.16</v>
      </c>
      <c r="J24" s="24"/>
      <c r="K24" s="24"/>
      <c r="L24" s="24"/>
      <c r="M24" s="24"/>
      <c r="N24" s="24"/>
    </row>
    <row r="25" spans="1:14" x14ac:dyDescent="0.25">
      <c r="A25" t="s">
        <v>282</v>
      </c>
      <c r="B25" t="s">
        <v>100</v>
      </c>
      <c r="C25" s="2" t="s">
        <v>267</v>
      </c>
      <c r="D25" s="24">
        <v>0.02</v>
      </c>
      <c r="E25" s="24">
        <v>7.0000000000000007E-2</v>
      </c>
      <c r="F25" s="24">
        <v>0.08</v>
      </c>
      <c r="G25" s="24">
        <v>0.1</v>
      </c>
      <c r="H25" s="24">
        <v>0.15</v>
      </c>
      <c r="J25" s="24"/>
      <c r="K25" s="24"/>
      <c r="L25" s="24"/>
      <c r="M25" s="24"/>
      <c r="N25" s="24"/>
    </row>
    <row r="26" spans="1:14" x14ac:dyDescent="0.25">
      <c r="A26" t="s">
        <v>283</v>
      </c>
      <c r="B26" t="s">
        <v>100</v>
      </c>
      <c r="C26" s="2" t="s">
        <v>268</v>
      </c>
      <c r="D26" s="24">
        <v>0</v>
      </c>
      <c r="E26" s="24">
        <v>0.05</v>
      </c>
      <c r="F26" s="24">
        <v>7.0000000000000007E-2</v>
      </c>
      <c r="G26" s="24">
        <v>0.1</v>
      </c>
      <c r="H26" s="24">
        <v>0.16</v>
      </c>
      <c r="J26" s="24"/>
      <c r="K26" s="24"/>
      <c r="L26" s="24"/>
      <c r="M26" s="24"/>
      <c r="N26" s="24"/>
    </row>
    <row r="27" spans="1:14" x14ac:dyDescent="0.25">
      <c r="A27" t="s">
        <v>284</v>
      </c>
      <c r="B27" t="s">
        <v>104</v>
      </c>
      <c r="C27" s="2" t="s">
        <v>212</v>
      </c>
      <c r="D27" s="24">
        <v>0.04</v>
      </c>
      <c r="E27" s="24">
        <v>0.1</v>
      </c>
      <c r="F27" s="24">
        <v>0.12</v>
      </c>
      <c r="G27" s="24">
        <v>0.14000000000000001</v>
      </c>
      <c r="H27" s="24">
        <v>0.19</v>
      </c>
      <c r="J27" s="24"/>
      <c r="K27" s="24"/>
      <c r="L27" s="24"/>
      <c r="M27" s="24"/>
      <c r="N27" s="24"/>
    </row>
    <row r="28" spans="1:14" x14ac:dyDescent="0.25">
      <c r="A28" t="s">
        <v>285</v>
      </c>
      <c r="B28" t="s">
        <v>104</v>
      </c>
      <c r="C28" s="2" t="s">
        <v>213</v>
      </c>
      <c r="D28" s="24">
        <v>0.04</v>
      </c>
      <c r="E28" s="24">
        <v>0.1</v>
      </c>
      <c r="F28" s="24">
        <v>0.11</v>
      </c>
      <c r="G28" s="24">
        <v>0.14000000000000001</v>
      </c>
      <c r="H28" s="24">
        <v>0.2</v>
      </c>
      <c r="J28" s="24"/>
      <c r="K28" s="24"/>
      <c r="L28" s="24"/>
      <c r="M28" s="24"/>
      <c r="N28" s="24"/>
    </row>
    <row r="29" spans="1:14" x14ac:dyDescent="0.25">
      <c r="A29" t="s">
        <v>286</v>
      </c>
      <c r="B29" t="s">
        <v>104</v>
      </c>
      <c r="C29" s="2" t="s">
        <v>214</v>
      </c>
      <c r="D29" s="24">
        <v>0.05</v>
      </c>
      <c r="E29" s="24">
        <v>0.1</v>
      </c>
      <c r="F29" s="24">
        <v>0.11</v>
      </c>
      <c r="G29" s="24">
        <v>0.13</v>
      </c>
      <c r="H29" s="24">
        <v>0.17</v>
      </c>
      <c r="J29" s="24"/>
      <c r="K29" s="24"/>
      <c r="L29" s="24"/>
      <c r="M29" s="24"/>
      <c r="N29" s="24"/>
    </row>
    <row r="30" spans="1:14" x14ac:dyDescent="0.25">
      <c r="A30" t="s">
        <v>287</v>
      </c>
      <c r="B30" t="s">
        <v>104</v>
      </c>
      <c r="C30" s="2" t="s">
        <v>267</v>
      </c>
      <c r="D30" s="24">
        <v>0.06</v>
      </c>
      <c r="E30" s="24">
        <v>0.09</v>
      </c>
      <c r="F30" s="24">
        <v>0.11</v>
      </c>
      <c r="G30" s="24">
        <v>0.12</v>
      </c>
      <c r="H30" s="24">
        <v>0.16</v>
      </c>
      <c r="J30" s="24"/>
      <c r="K30" s="24"/>
      <c r="L30" s="24"/>
      <c r="M30" s="24"/>
      <c r="N30" s="24"/>
    </row>
    <row r="31" spans="1:14" x14ac:dyDescent="0.25">
      <c r="A31" t="s">
        <v>288</v>
      </c>
      <c r="B31" t="s">
        <v>104</v>
      </c>
      <c r="C31" s="2" t="s">
        <v>268</v>
      </c>
      <c r="D31" s="24">
        <v>7.0000000000000007E-2</v>
      </c>
      <c r="E31" s="24">
        <v>0.1</v>
      </c>
      <c r="F31" s="24">
        <v>0.11</v>
      </c>
      <c r="G31" s="24">
        <v>0.11</v>
      </c>
      <c r="H31" s="24">
        <v>0.14000000000000001</v>
      </c>
      <c r="J31" s="24"/>
      <c r="K31" s="24"/>
      <c r="L31" s="24"/>
      <c r="M31" s="24"/>
      <c r="N31" s="24"/>
    </row>
    <row r="32" spans="1:14" x14ac:dyDescent="0.25">
      <c r="A32" t="s">
        <v>289</v>
      </c>
      <c r="B32" t="s">
        <v>98</v>
      </c>
      <c r="C32" s="2" t="s">
        <v>212</v>
      </c>
      <c r="D32" s="24">
        <v>0.05</v>
      </c>
      <c r="E32" s="24">
        <v>0.08</v>
      </c>
      <c r="F32" s="24">
        <v>0.1</v>
      </c>
      <c r="G32" s="24">
        <v>0.12</v>
      </c>
      <c r="H32" s="24">
        <v>0.18</v>
      </c>
      <c r="J32" s="24"/>
      <c r="K32" s="24"/>
      <c r="L32" s="24"/>
      <c r="M32" s="24"/>
      <c r="N32" s="24"/>
    </row>
    <row r="33" spans="1:14" x14ac:dyDescent="0.25">
      <c r="A33" t="s">
        <v>290</v>
      </c>
      <c r="B33" t="s">
        <v>98</v>
      </c>
      <c r="C33" s="2" t="s">
        <v>213</v>
      </c>
      <c r="D33" s="24">
        <v>0.04</v>
      </c>
      <c r="E33" s="24">
        <v>0.08</v>
      </c>
      <c r="F33" s="24">
        <v>0.1</v>
      </c>
      <c r="G33" s="24">
        <v>0.11</v>
      </c>
      <c r="H33" s="24">
        <v>0.16</v>
      </c>
      <c r="J33" s="24"/>
      <c r="K33" s="24"/>
      <c r="L33" s="24"/>
      <c r="M33" s="24"/>
      <c r="N33" s="24"/>
    </row>
    <row r="34" spans="1:14" x14ac:dyDescent="0.25">
      <c r="A34" t="s">
        <v>291</v>
      </c>
      <c r="B34" t="s">
        <v>98</v>
      </c>
      <c r="C34" s="2" t="s">
        <v>214</v>
      </c>
      <c r="D34" s="24">
        <v>0.04</v>
      </c>
      <c r="E34" s="24">
        <v>0.08</v>
      </c>
      <c r="F34" s="24">
        <v>0.09</v>
      </c>
      <c r="G34" s="24">
        <v>0.11</v>
      </c>
      <c r="H34" s="24">
        <v>0.15</v>
      </c>
      <c r="J34" s="24"/>
      <c r="K34" s="24"/>
      <c r="L34" s="24"/>
      <c r="M34" s="24"/>
      <c r="N34" s="24"/>
    </row>
    <row r="35" spans="1:14" x14ac:dyDescent="0.25">
      <c r="A35" t="s">
        <v>292</v>
      </c>
      <c r="B35" t="s">
        <v>98</v>
      </c>
      <c r="C35" s="2" t="s">
        <v>267</v>
      </c>
      <c r="D35" s="24">
        <v>0.04</v>
      </c>
      <c r="E35" s="24">
        <v>0.08</v>
      </c>
      <c r="F35" s="24">
        <v>0.09</v>
      </c>
      <c r="G35" s="24">
        <v>0.11</v>
      </c>
      <c r="H35" s="24">
        <v>0.16</v>
      </c>
      <c r="J35" s="24"/>
      <c r="K35" s="24"/>
      <c r="L35" s="24"/>
      <c r="M35" s="24"/>
      <c r="N35" s="24"/>
    </row>
    <row r="36" spans="1:14" x14ac:dyDescent="0.25">
      <c r="A36" t="s">
        <v>293</v>
      </c>
      <c r="B36" t="s">
        <v>98</v>
      </c>
      <c r="C36" s="2" t="s">
        <v>268</v>
      </c>
      <c r="D36" s="24">
        <v>0.02</v>
      </c>
      <c r="E36" s="24">
        <v>0.06</v>
      </c>
      <c r="F36" s="24">
        <v>0.08</v>
      </c>
      <c r="G36" s="24">
        <v>0.1</v>
      </c>
      <c r="H36" s="24">
        <v>0.15</v>
      </c>
      <c r="J36" s="24"/>
      <c r="K36" s="24"/>
      <c r="L36" s="24"/>
      <c r="M36" s="24"/>
      <c r="N36" s="24"/>
    </row>
    <row r="37" spans="1:14" x14ac:dyDescent="0.25">
      <c r="A37" t="s">
        <v>294</v>
      </c>
      <c r="B37" t="s">
        <v>95</v>
      </c>
      <c r="C37" s="2" t="s">
        <v>212</v>
      </c>
      <c r="D37" s="24">
        <v>0.02</v>
      </c>
      <c r="E37" s="24">
        <v>0.08</v>
      </c>
      <c r="F37" s="24">
        <v>0.1</v>
      </c>
      <c r="G37" s="24">
        <v>0.13</v>
      </c>
      <c r="H37" s="24">
        <v>0.18</v>
      </c>
      <c r="J37" s="24"/>
      <c r="K37" s="24"/>
      <c r="L37" s="24"/>
      <c r="M37" s="24"/>
      <c r="N37" s="24"/>
    </row>
    <row r="38" spans="1:14" x14ac:dyDescent="0.25">
      <c r="A38" t="s">
        <v>295</v>
      </c>
      <c r="B38" t="s">
        <v>95</v>
      </c>
      <c r="C38" s="2" t="s">
        <v>213</v>
      </c>
      <c r="D38" s="24">
        <v>0.04</v>
      </c>
      <c r="E38" s="24">
        <v>0.08</v>
      </c>
      <c r="F38" s="24">
        <v>0.1</v>
      </c>
      <c r="G38" s="24">
        <v>0.12</v>
      </c>
      <c r="H38" s="24">
        <v>0.18</v>
      </c>
      <c r="J38" s="24"/>
      <c r="K38" s="24"/>
      <c r="L38" s="24"/>
      <c r="M38" s="24"/>
      <c r="N38" s="24"/>
    </row>
    <row r="39" spans="1:14" x14ac:dyDescent="0.25">
      <c r="A39" t="s">
        <v>296</v>
      </c>
      <c r="B39" t="s">
        <v>95</v>
      </c>
      <c r="C39" s="2" t="s">
        <v>214</v>
      </c>
      <c r="D39" s="24">
        <v>0.02</v>
      </c>
      <c r="E39" s="24">
        <v>0.08</v>
      </c>
      <c r="F39" s="24">
        <v>0.09</v>
      </c>
      <c r="G39" s="24">
        <v>0.12</v>
      </c>
      <c r="H39" s="24">
        <v>0.18</v>
      </c>
      <c r="J39" s="24"/>
      <c r="K39" s="24"/>
      <c r="L39" s="24"/>
      <c r="M39" s="24"/>
      <c r="N39" s="24"/>
    </row>
    <row r="40" spans="1:14" x14ac:dyDescent="0.25">
      <c r="A40" t="s">
        <v>297</v>
      </c>
      <c r="B40" t="s">
        <v>95</v>
      </c>
      <c r="C40" s="2" t="s">
        <v>267</v>
      </c>
      <c r="D40" s="24">
        <v>0.01</v>
      </c>
      <c r="E40" s="24">
        <v>7.0000000000000007E-2</v>
      </c>
      <c r="F40" s="24">
        <v>0.09</v>
      </c>
      <c r="G40" s="24">
        <v>0.11</v>
      </c>
      <c r="H40" s="24">
        <v>0.17</v>
      </c>
      <c r="J40" s="24"/>
      <c r="K40" s="24"/>
      <c r="L40" s="24"/>
      <c r="M40" s="24"/>
      <c r="N40" s="24"/>
    </row>
    <row r="41" spans="1:14" x14ac:dyDescent="0.25">
      <c r="A41" t="s">
        <v>298</v>
      </c>
      <c r="B41" t="s">
        <v>95</v>
      </c>
      <c r="C41" s="2" t="s">
        <v>268</v>
      </c>
      <c r="D41" s="24">
        <v>0.03</v>
      </c>
      <c r="E41" s="24">
        <v>7.0000000000000007E-2</v>
      </c>
      <c r="F41" s="24">
        <v>0.09</v>
      </c>
      <c r="G41" s="24">
        <v>0.11</v>
      </c>
      <c r="H41" s="24">
        <v>0.16</v>
      </c>
      <c r="J41" s="24"/>
      <c r="K41" s="24"/>
      <c r="L41" s="24"/>
      <c r="M41" s="24"/>
      <c r="N41" s="24"/>
    </row>
    <row r="42" spans="1:14" x14ac:dyDescent="0.25">
      <c r="A42" t="s">
        <v>299</v>
      </c>
      <c r="B42" t="s">
        <v>96</v>
      </c>
      <c r="C42" s="2" t="s">
        <v>212</v>
      </c>
      <c r="D42" s="24">
        <v>0.04</v>
      </c>
      <c r="E42" s="24">
        <v>0.1</v>
      </c>
      <c r="F42" s="24">
        <v>0.13</v>
      </c>
      <c r="G42" s="24">
        <v>0.16</v>
      </c>
      <c r="H42" s="24">
        <v>0.25</v>
      </c>
      <c r="J42" s="24"/>
      <c r="K42" s="24"/>
      <c r="L42" s="24"/>
      <c r="M42" s="24"/>
      <c r="N42" s="24"/>
    </row>
    <row r="43" spans="1:14" x14ac:dyDescent="0.25">
      <c r="A43" t="s">
        <v>300</v>
      </c>
      <c r="B43" t="s">
        <v>96</v>
      </c>
      <c r="C43" s="2" t="s">
        <v>213</v>
      </c>
      <c r="D43" s="24">
        <v>0.03</v>
      </c>
      <c r="E43" s="24">
        <v>0.11</v>
      </c>
      <c r="F43" s="24">
        <v>0.13</v>
      </c>
      <c r="G43" s="24">
        <v>0.16</v>
      </c>
      <c r="H43" s="24">
        <v>0.23</v>
      </c>
      <c r="J43" s="24"/>
      <c r="K43" s="24"/>
      <c r="L43" s="24"/>
      <c r="M43" s="24"/>
      <c r="N43" s="24"/>
    </row>
    <row r="44" spans="1:14" x14ac:dyDescent="0.25">
      <c r="A44" t="s">
        <v>301</v>
      </c>
      <c r="B44" t="s">
        <v>96</v>
      </c>
      <c r="C44" s="2" t="s">
        <v>214</v>
      </c>
      <c r="D44" s="24">
        <v>0.02</v>
      </c>
      <c r="E44" s="24">
        <v>0.09</v>
      </c>
      <c r="F44" s="24">
        <v>0.11</v>
      </c>
      <c r="G44" s="24">
        <v>0.14000000000000001</v>
      </c>
      <c r="H44" s="24">
        <v>0.2</v>
      </c>
      <c r="J44" s="24"/>
      <c r="K44" s="24"/>
      <c r="L44" s="24"/>
      <c r="M44" s="24"/>
      <c r="N44" s="24"/>
    </row>
    <row r="45" spans="1:14" x14ac:dyDescent="0.25">
      <c r="A45" t="s">
        <v>302</v>
      </c>
      <c r="B45" t="s">
        <v>96</v>
      </c>
      <c r="C45" s="2" t="s">
        <v>267</v>
      </c>
      <c r="D45" s="24">
        <v>0.03</v>
      </c>
      <c r="E45" s="24">
        <v>0.08</v>
      </c>
      <c r="F45" s="24">
        <v>0.11</v>
      </c>
      <c r="G45" s="24">
        <v>0.13</v>
      </c>
      <c r="H45" s="24">
        <v>0.2</v>
      </c>
      <c r="J45" s="24"/>
      <c r="K45" s="24"/>
      <c r="L45" s="24"/>
      <c r="M45" s="24"/>
      <c r="N45" s="24"/>
    </row>
    <row r="46" spans="1:14" x14ac:dyDescent="0.25">
      <c r="A46" t="s">
        <v>303</v>
      </c>
      <c r="B46" t="s">
        <v>96</v>
      </c>
      <c r="C46" s="2" t="s">
        <v>268</v>
      </c>
      <c r="D46" s="24">
        <v>0.03</v>
      </c>
      <c r="E46" s="24">
        <v>0.08</v>
      </c>
      <c r="F46" s="24">
        <v>0.11</v>
      </c>
      <c r="G46" s="24">
        <v>0.12</v>
      </c>
      <c r="H46" s="24">
        <v>0.19</v>
      </c>
      <c r="J46" s="24"/>
      <c r="K46" s="24"/>
      <c r="L46" s="24"/>
      <c r="M46" s="24"/>
      <c r="N46" s="24"/>
    </row>
    <row r="47" spans="1:14" x14ac:dyDescent="0.25">
      <c r="A47" t="s">
        <v>304</v>
      </c>
      <c r="B47" t="s">
        <v>101</v>
      </c>
      <c r="C47" s="2" t="s">
        <v>212</v>
      </c>
      <c r="D47" s="24">
        <v>0.04</v>
      </c>
      <c r="E47" s="24">
        <v>0.09</v>
      </c>
      <c r="F47" s="24">
        <v>0.1</v>
      </c>
      <c r="G47" s="24">
        <v>0.13</v>
      </c>
      <c r="H47" s="24">
        <v>0.18</v>
      </c>
      <c r="J47" s="24"/>
      <c r="K47" s="24"/>
      <c r="L47" s="24"/>
      <c r="M47" s="24"/>
      <c r="N47" s="24"/>
    </row>
    <row r="48" spans="1:14" x14ac:dyDescent="0.25">
      <c r="A48" t="s">
        <v>305</v>
      </c>
      <c r="B48" t="s">
        <v>101</v>
      </c>
      <c r="C48" s="2" t="s">
        <v>213</v>
      </c>
      <c r="D48" s="24">
        <v>0.04</v>
      </c>
      <c r="E48" s="24">
        <v>0.08</v>
      </c>
      <c r="F48" s="24">
        <v>0.1</v>
      </c>
      <c r="G48" s="24">
        <v>0.12</v>
      </c>
      <c r="H48" s="24">
        <v>0.18</v>
      </c>
      <c r="J48" s="24"/>
      <c r="K48" s="24"/>
      <c r="L48" s="24"/>
      <c r="M48" s="24"/>
      <c r="N48" s="24"/>
    </row>
    <row r="49" spans="1:14" x14ac:dyDescent="0.25">
      <c r="A49" t="s">
        <v>306</v>
      </c>
      <c r="B49" t="s">
        <v>101</v>
      </c>
      <c r="C49" s="2" t="s">
        <v>214</v>
      </c>
      <c r="D49" s="24">
        <v>0.04</v>
      </c>
      <c r="E49" s="24">
        <v>0.08</v>
      </c>
      <c r="F49" s="24">
        <v>0.09</v>
      </c>
      <c r="G49" s="24">
        <v>0.11</v>
      </c>
      <c r="H49" s="24">
        <v>0.15</v>
      </c>
      <c r="J49" s="24"/>
      <c r="K49" s="24"/>
      <c r="L49" s="24"/>
      <c r="M49" s="24"/>
      <c r="N49" s="24"/>
    </row>
    <row r="50" spans="1:14" x14ac:dyDescent="0.25">
      <c r="A50" t="s">
        <v>307</v>
      </c>
      <c r="B50" t="s">
        <v>101</v>
      </c>
      <c r="C50" s="2" t="s">
        <v>267</v>
      </c>
      <c r="D50" s="24">
        <v>0.04</v>
      </c>
      <c r="E50" s="24">
        <v>0.08</v>
      </c>
      <c r="F50" s="24">
        <v>0.09</v>
      </c>
      <c r="G50" s="24">
        <v>0.1</v>
      </c>
      <c r="H50" s="24">
        <v>0.15</v>
      </c>
      <c r="J50" s="24"/>
      <c r="K50" s="24"/>
      <c r="L50" s="24"/>
      <c r="M50" s="24"/>
      <c r="N50" s="24"/>
    </row>
    <row r="51" spans="1:14" x14ac:dyDescent="0.25">
      <c r="A51" t="s">
        <v>308</v>
      </c>
      <c r="B51" t="s">
        <v>101</v>
      </c>
      <c r="C51" s="2" t="s">
        <v>268</v>
      </c>
      <c r="D51" s="24">
        <v>0.03</v>
      </c>
      <c r="E51" s="24">
        <v>7.0000000000000007E-2</v>
      </c>
      <c r="F51" s="24">
        <v>0.08</v>
      </c>
      <c r="G51" s="24">
        <v>0.09</v>
      </c>
      <c r="H51" s="24">
        <v>0.13</v>
      </c>
      <c r="J51" s="24"/>
      <c r="K51" s="24"/>
      <c r="L51" s="24"/>
      <c r="M51" s="24"/>
      <c r="N51" s="24"/>
    </row>
    <row r="52" spans="1:14" x14ac:dyDescent="0.25">
      <c r="A52" t="s">
        <v>309</v>
      </c>
      <c r="B52" t="s">
        <v>97</v>
      </c>
      <c r="C52" s="2" t="s">
        <v>212</v>
      </c>
      <c r="D52" s="24">
        <v>0.04</v>
      </c>
      <c r="E52" s="24">
        <v>0.09</v>
      </c>
      <c r="F52" s="24">
        <v>0.1</v>
      </c>
      <c r="G52" s="24">
        <v>0.13</v>
      </c>
      <c r="H52" s="24">
        <v>0.17</v>
      </c>
      <c r="J52" s="24"/>
      <c r="K52" s="24"/>
      <c r="L52" s="24"/>
      <c r="M52" s="24"/>
      <c r="N52" s="24"/>
    </row>
    <row r="53" spans="1:14" x14ac:dyDescent="0.25">
      <c r="A53" t="s">
        <v>310</v>
      </c>
      <c r="B53" t="s">
        <v>97</v>
      </c>
      <c r="C53" s="2" t="s">
        <v>213</v>
      </c>
      <c r="D53" s="24">
        <v>0.05</v>
      </c>
      <c r="E53" s="24">
        <v>0.09</v>
      </c>
      <c r="F53" s="24">
        <v>0.1</v>
      </c>
      <c r="G53" s="24">
        <v>0.12</v>
      </c>
      <c r="H53" s="24">
        <v>0.16</v>
      </c>
      <c r="J53" s="24"/>
      <c r="K53" s="24"/>
      <c r="L53" s="24"/>
      <c r="M53" s="24"/>
      <c r="N53" s="24"/>
    </row>
    <row r="54" spans="1:14" x14ac:dyDescent="0.25">
      <c r="A54" t="s">
        <v>311</v>
      </c>
      <c r="B54" t="s">
        <v>97</v>
      </c>
      <c r="C54" s="2" t="s">
        <v>214</v>
      </c>
      <c r="D54" s="24">
        <v>0.04</v>
      </c>
      <c r="E54" s="24">
        <v>0.08</v>
      </c>
      <c r="F54" s="24">
        <v>0.1</v>
      </c>
      <c r="G54" s="24">
        <v>0.11</v>
      </c>
      <c r="H54" s="24">
        <v>0.16</v>
      </c>
      <c r="J54" s="24"/>
      <c r="K54" s="24"/>
      <c r="L54" s="24"/>
      <c r="M54" s="24"/>
      <c r="N54" s="24"/>
    </row>
    <row r="55" spans="1:14" x14ac:dyDescent="0.25">
      <c r="A55" t="s">
        <v>312</v>
      </c>
      <c r="B55" t="s">
        <v>97</v>
      </c>
      <c r="C55" s="2" t="s">
        <v>267</v>
      </c>
      <c r="D55" s="24">
        <v>0.02</v>
      </c>
      <c r="E55" s="24">
        <v>7.0000000000000007E-2</v>
      </c>
      <c r="F55" s="24">
        <v>0.09</v>
      </c>
      <c r="G55" s="24">
        <v>0.11</v>
      </c>
      <c r="H55" s="24">
        <v>0.16</v>
      </c>
      <c r="J55" s="24"/>
      <c r="K55" s="24"/>
      <c r="L55" s="24"/>
      <c r="M55" s="24"/>
      <c r="N55" s="24"/>
    </row>
    <row r="56" spans="1:14" x14ac:dyDescent="0.25">
      <c r="A56" t="s">
        <v>313</v>
      </c>
      <c r="B56" t="s">
        <v>97</v>
      </c>
      <c r="C56" s="2" t="s">
        <v>268</v>
      </c>
      <c r="D56" s="24">
        <v>0.03</v>
      </c>
      <c r="E56" s="24">
        <v>7.0000000000000007E-2</v>
      </c>
      <c r="F56" s="24">
        <v>0.08</v>
      </c>
      <c r="G56" s="24">
        <v>0.1</v>
      </c>
      <c r="H56" s="24">
        <v>0.15</v>
      </c>
      <c r="J56" s="24"/>
      <c r="K56" s="24"/>
      <c r="L56" s="24"/>
      <c r="M56" s="24"/>
      <c r="N56" s="24"/>
    </row>
    <row r="57" spans="1:14" x14ac:dyDescent="0.25">
      <c r="A57" t="s">
        <v>314</v>
      </c>
      <c r="B57" t="s">
        <v>93</v>
      </c>
      <c r="C57" s="2" t="s">
        <v>212</v>
      </c>
      <c r="D57" s="24">
        <v>0.04</v>
      </c>
      <c r="E57" s="24">
        <v>0.08</v>
      </c>
      <c r="F57" s="24">
        <v>0.1</v>
      </c>
      <c r="G57" s="24">
        <v>0.12</v>
      </c>
      <c r="H57" s="24">
        <v>0.17</v>
      </c>
      <c r="J57" s="24"/>
      <c r="K57" s="24"/>
      <c r="L57" s="24"/>
      <c r="M57" s="24"/>
      <c r="N57" s="24"/>
    </row>
    <row r="58" spans="1:14" x14ac:dyDescent="0.25">
      <c r="A58" t="s">
        <v>315</v>
      </c>
      <c r="B58" t="s">
        <v>93</v>
      </c>
      <c r="C58" s="2" t="s">
        <v>213</v>
      </c>
      <c r="D58" s="24">
        <v>0.04</v>
      </c>
      <c r="E58" s="24">
        <v>0.08</v>
      </c>
      <c r="F58" s="24">
        <v>0.1</v>
      </c>
      <c r="G58" s="24">
        <v>0.11</v>
      </c>
      <c r="H58" s="24">
        <v>0.15</v>
      </c>
      <c r="J58" s="24"/>
      <c r="K58" s="24"/>
      <c r="L58" s="24"/>
      <c r="M58" s="24"/>
      <c r="N58" s="24"/>
    </row>
    <row r="59" spans="1:14" x14ac:dyDescent="0.25">
      <c r="A59" t="s">
        <v>316</v>
      </c>
      <c r="B59" t="s">
        <v>93</v>
      </c>
      <c r="C59" s="2" t="s">
        <v>214</v>
      </c>
      <c r="D59" s="24">
        <v>0.05</v>
      </c>
      <c r="E59" s="24">
        <v>0.08</v>
      </c>
      <c r="F59" s="24">
        <v>0.09</v>
      </c>
      <c r="G59" s="24">
        <v>0.1</v>
      </c>
      <c r="H59" s="24">
        <v>0.14000000000000001</v>
      </c>
      <c r="J59" s="24"/>
      <c r="K59" s="24"/>
      <c r="L59" s="24"/>
      <c r="M59" s="24"/>
      <c r="N59" s="24"/>
    </row>
    <row r="60" spans="1:14" x14ac:dyDescent="0.25">
      <c r="A60" t="s">
        <v>317</v>
      </c>
      <c r="B60" t="s">
        <v>93</v>
      </c>
      <c r="C60" s="2" t="s">
        <v>267</v>
      </c>
      <c r="D60" s="24">
        <v>0.03</v>
      </c>
      <c r="E60" s="24">
        <v>7.0000000000000007E-2</v>
      </c>
      <c r="F60" s="24">
        <v>0.08</v>
      </c>
      <c r="G60" s="24">
        <v>0.1</v>
      </c>
      <c r="H60" s="24">
        <v>0.14000000000000001</v>
      </c>
      <c r="J60" s="24"/>
      <c r="K60" s="24"/>
      <c r="L60" s="24"/>
      <c r="M60" s="24"/>
      <c r="N60" s="24"/>
    </row>
    <row r="61" spans="1:14" x14ac:dyDescent="0.25">
      <c r="A61" t="s">
        <v>318</v>
      </c>
      <c r="B61" t="s">
        <v>93</v>
      </c>
      <c r="C61" s="2" t="s">
        <v>268</v>
      </c>
      <c r="D61" s="24">
        <v>0.02</v>
      </c>
      <c r="E61" s="24">
        <v>0.06</v>
      </c>
      <c r="F61" s="24">
        <v>0.08</v>
      </c>
      <c r="G61" s="24">
        <v>0.09</v>
      </c>
      <c r="H61" s="24">
        <v>0.14000000000000001</v>
      </c>
      <c r="J61" s="24"/>
      <c r="K61" s="24"/>
      <c r="L61" s="24"/>
      <c r="M61" s="24"/>
      <c r="N61" s="24"/>
    </row>
    <row r="62" spans="1:14" x14ac:dyDescent="0.25">
      <c r="A62" t="s">
        <v>319</v>
      </c>
      <c r="B62" t="s">
        <v>105</v>
      </c>
      <c r="C62" s="2" t="s">
        <v>212</v>
      </c>
      <c r="D62" s="24">
        <v>0.03</v>
      </c>
      <c r="E62" s="24">
        <v>7.0000000000000007E-2</v>
      </c>
      <c r="F62" s="24">
        <v>0.08</v>
      </c>
      <c r="G62" s="24">
        <v>0.11</v>
      </c>
      <c r="H62" s="24">
        <v>0.17</v>
      </c>
      <c r="J62" s="24"/>
      <c r="K62" s="24"/>
      <c r="L62" s="24"/>
      <c r="M62" s="24"/>
      <c r="N62" s="24"/>
    </row>
    <row r="63" spans="1:14" x14ac:dyDescent="0.25">
      <c r="A63" t="s">
        <v>320</v>
      </c>
      <c r="B63" t="s">
        <v>105</v>
      </c>
      <c r="C63" s="2" t="s">
        <v>213</v>
      </c>
      <c r="D63" s="24">
        <v>0.03</v>
      </c>
      <c r="E63" s="24">
        <v>0.06</v>
      </c>
      <c r="F63" s="24">
        <v>0.08</v>
      </c>
      <c r="G63" s="24">
        <v>0.1</v>
      </c>
      <c r="H63" s="24">
        <v>0.15</v>
      </c>
      <c r="J63" s="24"/>
      <c r="K63" s="24"/>
      <c r="L63" s="24"/>
      <c r="M63" s="24"/>
      <c r="N63" s="24"/>
    </row>
    <row r="64" spans="1:14" x14ac:dyDescent="0.25">
      <c r="A64" t="s">
        <v>321</v>
      </c>
      <c r="B64" t="s">
        <v>105</v>
      </c>
      <c r="C64" s="2" t="s">
        <v>214</v>
      </c>
      <c r="D64" s="24">
        <v>0.02</v>
      </c>
      <c r="E64" s="24">
        <v>0.06</v>
      </c>
      <c r="F64" s="24">
        <v>0.08</v>
      </c>
      <c r="G64" s="24">
        <v>0.1</v>
      </c>
      <c r="H64" s="24">
        <v>0.16</v>
      </c>
      <c r="J64" s="24"/>
      <c r="K64" s="24"/>
      <c r="L64" s="24"/>
      <c r="M64" s="24"/>
      <c r="N64" s="24"/>
    </row>
    <row r="65" spans="1:14" x14ac:dyDescent="0.25">
      <c r="A65" t="s">
        <v>322</v>
      </c>
      <c r="B65" t="s">
        <v>105</v>
      </c>
      <c r="C65" s="2" t="s">
        <v>267</v>
      </c>
      <c r="D65" s="24">
        <v>0.02</v>
      </c>
      <c r="E65" s="24">
        <v>0.05</v>
      </c>
      <c r="F65" s="24">
        <v>0.09</v>
      </c>
      <c r="G65" s="24">
        <v>0.1</v>
      </c>
      <c r="H65" s="24">
        <v>0.17</v>
      </c>
      <c r="J65" s="24"/>
      <c r="K65" s="24"/>
      <c r="L65" s="24"/>
      <c r="M65" s="24"/>
      <c r="N65" s="24"/>
    </row>
    <row r="66" spans="1:14" x14ac:dyDescent="0.25">
      <c r="A66" t="s">
        <v>323</v>
      </c>
      <c r="B66" t="s">
        <v>105</v>
      </c>
      <c r="C66" s="2" t="s">
        <v>268</v>
      </c>
      <c r="D66" s="24">
        <v>0.01</v>
      </c>
      <c r="E66" s="24">
        <v>0.06</v>
      </c>
      <c r="F66" s="24">
        <v>0.08</v>
      </c>
      <c r="G66" s="24">
        <v>0.1</v>
      </c>
      <c r="H66" s="24">
        <v>0.15</v>
      </c>
      <c r="J66" s="24"/>
      <c r="K66" s="24"/>
      <c r="L66" s="24"/>
      <c r="M66" s="24"/>
      <c r="N66" s="24"/>
    </row>
    <row r="67" spans="1:14" x14ac:dyDescent="0.25">
      <c r="A67" t="s">
        <v>324</v>
      </c>
      <c r="B67" t="s">
        <v>92</v>
      </c>
      <c r="C67" s="2" t="s">
        <v>212</v>
      </c>
      <c r="D67" s="24">
        <v>0.04</v>
      </c>
      <c r="E67" s="24">
        <v>0.08</v>
      </c>
      <c r="F67" s="24">
        <v>0.1</v>
      </c>
      <c r="G67" s="24">
        <v>0.12</v>
      </c>
      <c r="H67" s="24">
        <v>0.17</v>
      </c>
      <c r="J67" s="24"/>
      <c r="K67" s="24"/>
      <c r="L67" s="24"/>
      <c r="M67" s="24"/>
      <c r="N67" s="24"/>
    </row>
    <row r="68" spans="1:14" x14ac:dyDescent="0.25">
      <c r="A68" t="s">
        <v>325</v>
      </c>
      <c r="B68" t="s">
        <v>92</v>
      </c>
      <c r="C68" s="2" t="s">
        <v>213</v>
      </c>
      <c r="D68" s="24">
        <v>0.04</v>
      </c>
      <c r="E68" s="24">
        <v>0.08</v>
      </c>
      <c r="F68" s="24">
        <v>0.09</v>
      </c>
      <c r="G68" s="24">
        <v>0.11</v>
      </c>
      <c r="H68" s="24">
        <v>0.15</v>
      </c>
      <c r="J68" s="24"/>
      <c r="K68" s="24"/>
      <c r="L68" s="24"/>
      <c r="M68" s="24"/>
      <c r="N68" s="24"/>
    </row>
    <row r="69" spans="1:14" x14ac:dyDescent="0.25">
      <c r="A69" t="s">
        <v>326</v>
      </c>
      <c r="B69" t="s">
        <v>92</v>
      </c>
      <c r="C69" s="2" t="s">
        <v>214</v>
      </c>
      <c r="D69" s="24">
        <v>0.03</v>
      </c>
      <c r="E69" s="24">
        <v>7.0000000000000007E-2</v>
      </c>
      <c r="F69" s="24">
        <v>0.09</v>
      </c>
      <c r="G69" s="24">
        <v>0.1</v>
      </c>
      <c r="H69" s="24">
        <v>0.15</v>
      </c>
      <c r="J69" s="24"/>
      <c r="K69" s="24"/>
      <c r="L69" s="24"/>
      <c r="M69" s="24"/>
      <c r="N69" s="24"/>
    </row>
    <row r="70" spans="1:14" x14ac:dyDescent="0.25">
      <c r="A70" t="s">
        <v>327</v>
      </c>
      <c r="B70" t="s">
        <v>92</v>
      </c>
      <c r="C70" s="2" t="s">
        <v>267</v>
      </c>
      <c r="D70" s="24">
        <v>0.03</v>
      </c>
      <c r="E70" s="24">
        <v>0.08</v>
      </c>
      <c r="F70" s="24">
        <v>0.09</v>
      </c>
      <c r="G70" s="24">
        <v>0.1</v>
      </c>
      <c r="H70" s="24">
        <v>0.15</v>
      </c>
      <c r="J70" s="24"/>
      <c r="K70" s="24"/>
      <c r="L70" s="24"/>
      <c r="M70" s="24"/>
      <c r="N70" s="24"/>
    </row>
    <row r="71" spans="1:14" x14ac:dyDescent="0.25">
      <c r="A71" t="s">
        <v>328</v>
      </c>
      <c r="B71" t="s">
        <v>92</v>
      </c>
      <c r="C71" s="2" t="s">
        <v>268</v>
      </c>
      <c r="D71" s="24">
        <v>0.02</v>
      </c>
      <c r="E71" s="24">
        <v>0.06</v>
      </c>
      <c r="F71" s="24">
        <v>0.08</v>
      </c>
      <c r="G71" s="24">
        <v>0.09</v>
      </c>
      <c r="H71" s="24">
        <v>0.14000000000000001</v>
      </c>
      <c r="J71" s="24"/>
      <c r="K71" s="24"/>
      <c r="L71" s="24"/>
      <c r="M71" s="24"/>
      <c r="N71" s="24"/>
    </row>
    <row r="72" spans="1:14" x14ac:dyDescent="0.25">
      <c r="A72" t="s">
        <v>329</v>
      </c>
      <c r="B72" t="s">
        <v>91</v>
      </c>
      <c r="C72" s="2" t="s">
        <v>212</v>
      </c>
      <c r="D72" s="24">
        <v>0.01</v>
      </c>
      <c r="E72" s="24">
        <v>7.0000000000000007E-2</v>
      </c>
      <c r="F72" s="24">
        <v>0.08</v>
      </c>
      <c r="G72" s="24">
        <v>0.11</v>
      </c>
      <c r="H72" s="24">
        <v>0.17</v>
      </c>
      <c r="J72" s="24"/>
      <c r="K72" s="24"/>
      <c r="L72" s="24"/>
      <c r="M72" s="24"/>
      <c r="N72" s="24"/>
    </row>
    <row r="73" spans="1:14" x14ac:dyDescent="0.25">
      <c r="A73" t="s">
        <v>330</v>
      </c>
      <c r="B73" t="s">
        <v>91</v>
      </c>
      <c r="C73" s="2" t="s">
        <v>213</v>
      </c>
      <c r="D73" s="24">
        <v>0.03</v>
      </c>
      <c r="E73" s="24">
        <v>7.0000000000000007E-2</v>
      </c>
      <c r="F73" s="24">
        <v>0.09</v>
      </c>
      <c r="G73" s="24">
        <v>0.11</v>
      </c>
      <c r="H73" s="24">
        <v>0.15</v>
      </c>
      <c r="J73" s="24"/>
      <c r="K73" s="24"/>
      <c r="L73" s="24"/>
      <c r="M73" s="24"/>
      <c r="N73" s="24"/>
    </row>
    <row r="74" spans="1:14" x14ac:dyDescent="0.25">
      <c r="A74" t="s">
        <v>331</v>
      </c>
      <c r="B74" t="s">
        <v>91</v>
      </c>
      <c r="C74" s="2" t="s">
        <v>214</v>
      </c>
      <c r="D74" s="24">
        <v>0.03</v>
      </c>
      <c r="E74" s="24">
        <v>0.06</v>
      </c>
      <c r="F74" s="24">
        <v>0.08</v>
      </c>
      <c r="G74" s="24">
        <v>0.1</v>
      </c>
      <c r="H74" s="24">
        <v>0.15</v>
      </c>
      <c r="J74" s="24"/>
      <c r="K74" s="24"/>
      <c r="L74" s="24"/>
      <c r="M74" s="24"/>
      <c r="N74" s="24"/>
    </row>
    <row r="75" spans="1:14" x14ac:dyDescent="0.25">
      <c r="A75" t="s">
        <v>332</v>
      </c>
      <c r="B75" t="s">
        <v>91</v>
      </c>
      <c r="C75" s="2" t="s">
        <v>267</v>
      </c>
      <c r="D75" s="24">
        <v>0.02</v>
      </c>
      <c r="E75" s="24">
        <v>0.06</v>
      </c>
      <c r="F75" s="24">
        <v>7.0000000000000007E-2</v>
      </c>
      <c r="G75" s="24">
        <v>0.09</v>
      </c>
      <c r="H75" s="24">
        <v>0.14000000000000001</v>
      </c>
      <c r="J75" s="24"/>
      <c r="K75" s="24"/>
      <c r="L75" s="24"/>
      <c r="M75" s="24"/>
      <c r="N75" s="24"/>
    </row>
    <row r="76" spans="1:14" x14ac:dyDescent="0.25">
      <c r="A76" t="s">
        <v>333</v>
      </c>
      <c r="B76" t="s">
        <v>91</v>
      </c>
      <c r="C76" s="2" t="s">
        <v>268</v>
      </c>
      <c r="D76" s="24">
        <v>0.01</v>
      </c>
      <c r="E76" s="24">
        <v>0.04</v>
      </c>
      <c r="F76" s="24">
        <v>0.06</v>
      </c>
      <c r="G76" s="24">
        <v>0.08</v>
      </c>
      <c r="H76" s="24">
        <v>0.13</v>
      </c>
      <c r="J76" s="24"/>
      <c r="K76" s="24"/>
      <c r="L76" s="24"/>
      <c r="M76" s="24"/>
      <c r="N76" s="24"/>
    </row>
    <row r="77" spans="1:14" x14ac:dyDescent="0.25">
      <c r="A77" t="s">
        <v>334</v>
      </c>
      <c r="B77" t="s">
        <v>90</v>
      </c>
      <c r="C77" s="2" t="s">
        <v>212</v>
      </c>
      <c r="D77" s="24">
        <v>0.02</v>
      </c>
      <c r="E77" s="24">
        <v>0.06</v>
      </c>
      <c r="F77" s="24">
        <v>7.0000000000000007E-2</v>
      </c>
      <c r="G77" s="24">
        <v>0.09</v>
      </c>
      <c r="H77" s="24">
        <v>0.13</v>
      </c>
      <c r="J77" s="24"/>
      <c r="K77" s="24"/>
      <c r="L77" s="24"/>
      <c r="M77" s="24"/>
      <c r="N77" s="24"/>
    </row>
    <row r="78" spans="1:14" x14ac:dyDescent="0.25">
      <c r="A78" t="s">
        <v>335</v>
      </c>
      <c r="B78" t="s">
        <v>90</v>
      </c>
      <c r="C78" s="2" t="s">
        <v>213</v>
      </c>
      <c r="D78" s="24">
        <v>0.01</v>
      </c>
      <c r="E78" s="24">
        <v>0.05</v>
      </c>
      <c r="F78" s="24">
        <v>7.0000000000000007E-2</v>
      </c>
      <c r="G78" s="24">
        <v>0.08</v>
      </c>
      <c r="H78" s="24">
        <v>0.13</v>
      </c>
      <c r="J78" s="24"/>
      <c r="K78" s="24"/>
      <c r="L78" s="24"/>
      <c r="M78" s="24"/>
      <c r="N78" s="24"/>
    </row>
    <row r="79" spans="1:14" x14ac:dyDescent="0.25">
      <c r="A79" t="s">
        <v>336</v>
      </c>
      <c r="B79" t="s">
        <v>90</v>
      </c>
      <c r="C79" s="2" t="s">
        <v>214</v>
      </c>
      <c r="D79" s="24">
        <v>0.01</v>
      </c>
      <c r="E79" s="24">
        <v>0.05</v>
      </c>
      <c r="F79" s="24">
        <v>7.0000000000000007E-2</v>
      </c>
      <c r="G79" s="24">
        <v>0.08</v>
      </c>
      <c r="H79" s="24">
        <v>0.12</v>
      </c>
      <c r="J79" s="24"/>
      <c r="K79" s="24"/>
      <c r="L79" s="24"/>
      <c r="M79" s="24"/>
      <c r="N79" s="24"/>
    </row>
    <row r="80" spans="1:14" x14ac:dyDescent="0.25">
      <c r="A80" t="s">
        <v>337</v>
      </c>
      <c r="B80" t="s">
        <v>90</v>
      </c>
      <c r="C80" s="2" t="s">
        <v>267</v>
      </c>
      <c r="D80" s="24">
        <v>0.01</v>
      </c>
      <c r="E80" s="24">
        <v>0.04</v>
      </c>
      <c r="F80" s="24">
        <v>0.06</v>
      </c>
      <c r="G80" s="24">
        <v>7.0000000000000007E-2</v>
      </c>
      <c r="H80" s="24">
        <v>0.11</v>
      </c>
      <c r="J80" s="24"/>
      <c r="K80" s="24"/>
      <c r="L80" s="24"/>
      <c r="M80" s="24"/>
      <c r="N80" s="24"/>
    </row>
    <row r="81" spans="1:14" x14ac:dyDescent="0.25">
      <c r="A81" t="s">
        <v>338</v>
      </c>
      <c r="B81" t="s">
        <v>90</v>
      </c>
      <c r="C81" s="2" t="s">
        <v>268</v>
      </c>
      <c r="D81" s="24">
        <v>0</v>
      </c>
      <c r="E81" s="24">
        <v>0.04</v>
      </c>
      <c r="F81" s="24">
        <v>0.05</v>
      </c>
      <c r="G81" s="24">
        <v>7.0000000000000007E-2</v>
      </c>
      <c r="H81" s="24">
        <v>0.1</v>
      </c>
      <c r="J81" s="24"/>
      <c r="K81" s="24"/>
      <c r="L81" s="24"/>
      <c r="M81" s="24"/>
      <c r="N81" s="24"/>
    </row>
    <row r="82" spans="1:14" x14ac:dyDescent="0.25">
      <c r="A82" t="s">
        <v>339</v>
      </c>
      <c r="B82" t="s">
        <v>89</v>
      </c>
      <c r="C82" s="2" t="s">
        <v>212</v>
      </c>
      <c r="D82" s="24">
        <v>0.02</v>
      </c>
      <c r="E82" s="24">
        <v>7.0000000000000007E-2</v>
      </c>
      <c r="F82" s="24">
        <v>0.09</v>
      </c>
      <c r="G82" s="24">
        <v>0.11</v>
      </c>
      <c r="H82" s="24">
        <v>0.17</v>
      </c>
      <c r="J82" s="24"/>
      <c r="K82" s="24"/>
      <c r="L82" s="24"/>
      <c r="M82" s="24"/>
      <c r="N82" s="24"/>
    </row>
    <row r="83" spans="1:14" x14ac:dyDescent="0.25">
      <c r="A83" t="s">
        <v>340</v>
      </c>
      <c r="B83" t="s">
        <v>89</v>
      </c>
      <c r="C83" s="2" t="s">
        <v>213</v>
      </c>
      <c r="D83" s="24">
        <v>0.03</v>
      </c>
      <c r="E83" s="24">
        <v>7.0000000000000007E-2</v>
      </c>
      <c r="F83" s="24">
        <v>0.09</v>
      </c>
      <c r="G83" s="24">
        <v>0.1</v>
      </c>
      <c r="H83" s="24">
        <v>0.15</v>
      </c>
      <c r="J83" s="24"/>
      <c r="K83" s="24"/>
      <c r="L83" s="24"/>
      <c r="M83" s="24"/>
      <c r="N83" s="24"/>
    </row>
    <row r="84" spans="1:14" x14ac:dyDescent="0.25">
      <c r="A84" t="s">
        <v>341</v>
      </c>
      <c r="B84" t="s">
        <v>89</v>
      </c>
      <c r="C84" s="2" t="s">
        <v>214</v>
      </c>
      <c r="D84" s="24">
        <v>0.03</v>
      </c>
      <c r="E84" s="24">
        <v>0.06</v>
      </c>
      <c r="F84" s="24">
        <v>0.08</v>
      </c>
      <c r="G84" s="24">
        <v>0.1</v>
      </c>
      <c r="H84" s="24">
        <v>0.16</v>
      </c>
      <c r="J84" s="24"/>
      <c r="K84" s="24"/>
      <c r="L84" s="24"/>
      <c r="M84" s="24"/>
      <c r="N84" s="24"/>
    </row>
    <row r="85" spans="1:14" x14ac:dyDescent="0.25">
      <c r="A85" t="s">
        <v>342</v>
      </c>
      <c r="B85" t="s">
        <v>89</v>
      </c>
      <c r="C85" s="2" t="s">
        <v>267</v>
      </c>
      <c r="D85" s="24">
        <v>0.01</v>
      </c>
      <c r="E85" s="24">
        <v>0.06</v>
      </c>
      <c r="F85" s="24">
        <v>0.08</v>
      </c>
      <c r="G85" s="24">
        <v>0.09</v>
      </c>
      <c r="H85" s="24">
        <v>0.14000000000000001</v>
      </c>
      <c r="J85" s="24"/>
      <c r="K85" s="24"/>
      <c r="L85" s="24"/>
      <c r="M85" s="24"/>
      <c r="N85" s="24"/>
    </row>
    <row r="86" spans="1:14" x14ac:dyDescent="0.25">
      <c r="A86" t="s">
        <v>343</v>
      </c>
      <c r="B86" t="s">
        <v>89</v>
      </c>
      <c r="C86" s="2" t="s">
        <v>268</v>
      </c>
      <c r="D86" s="24">
        <v>0.01</v>
      </c>
      <c r="E86" s="24">
        <v>0.05</v>
      </c>
      <c r="F86" s="24">
        <v>7.0000000000000007E-2</v>
      </c>
      <c r="G86" s="24">
        <v>0.09</v>
      </c>
      <c r="H86" s="24">
        <v>0.14000000000000001</v>
      </c>
      <c r="J86" s="24"/>
      <c r="K86" s="24"/>
      <c r="L86" s="24"/>
      <c r="M86" s="24"/>
      <c r="N86" s="24"/>
    </row>
    <row r="87" spans="1:14" x14ac:dyDescent="0.25">
      <c r="A87" t="s">
        <v>344</v>
      </c>
      <c r="B87" t="s">
        <v>94</v>
      </c>
      <c r="C87" s="2" t="s">
        <v>212</v>
      </c>
      <c r="D87" s="24">
        <v>0.01</v>
      </c>
      <c r="E87" s="24">
        <v>0.09</v>
      </c>
      <c r="F87" s="24">
        <v>0.12</v>
      </c>
      <c r="G87" s="24">
        <v>0.15</v>
      </c>
      <c r="H87" s="24">
        <v>0.24</v>
      </c>
      <c r="J87" s="24"/>
      <c r="K87" s="24"/>
      <c r="L87" s="24"/>
      <c r="M87" s="24"/>
      <c r="N87" s="24"/>
    </row>
    <row r="88" spans="1:14" x14ac:dyDescent="0.25">
      <c r="A88" t="s">
        <v>345</v>
      </c>
      <c r="B88" t="s">
        <v>94</v>
      </c>
      <c r="C88" s="2" t="s">
        <v>213</v>
      </c>
      <c r="D88" s="24">
        <v>0.05</v>
      </c>
      <c r="E88" s="24">
        <v>0.11</v>
      </c>
      <c r="F88" s="24">
        <v>0.13</v>
      </c>
      <c r="G88" s="24">
        <v>0.15</v>
      </c>
      <c r="H88" s="24">
        <v>0.21</v>
      </c>
      <c r="J88" s="24"/>
      <c r="K88" s="24"/>
      <c r="L88" s="24"/>
      <c r="M88" s="24"/>
      <c r="N88" s="24"/>
    </row>
    <row r="89" spans="1:14" x14ac:dyDescent="0.25">
      <c r="A89" t="s">
        <v>346</v>
      </c>
      <c r="B89" t="s">
        <v>94</v>
      </c>
      <c r="C89" s="2" t="s">
        <v>214</v>
      </c>
      <c r="D89" s="24">
        <v>0.04</v>
      </c>
      <c r="E89" s="24">
        <v>0.1</v>
      </c>
      <c r="F89" s="24">
        <v>0.12</v>
      </c>
      <c r="G89" s="24">
        <v>0.15</v>
      </c>
      <c r="H89" s="24">
        <v>0.21</v>
      </c>
      <c r="J89" s="24"/>
      <c r="K89" s="24"/>
      <c r="L89" s="24"/>
      <c r="M89" s="24"/>
      <c r="N89" s="24"/>
    </row>
    <row r="90" spans="1:14" x14ac:dyDescent="0.25">
      <c r="A90" t="s">
        <v>347</v>
      </c>
      <c r="B90" t="s">
        <v>94</v>
      </c>
      <c r="C90" s="2" t="s">
        <v>267</v>
      </c>
      <c r="D90" s="24">
        <v>0.05</v>
      </c>
      <c r="E90" s="24">
        <v>0.1</v>
      </c>
      <c r="F90" s="24">
        <v>0.12</v>
      </c>
      <c r="G90" s="24">
        <v>0.14000000000000001</v>
      </c>
      <c r="H90" s="24">
        <v>0.2</v>
      </c>
      <c r="J90" s="24"/>
      <c r="K90" s="24"/>
      <c r="L90" s="24"/>
      <c r="M90" s="24"/>
      <c r="N90" s="24"/>
    </row>
    <row r="91" spans="1:14" x14ac:dyDescent="0.25">
      <c r="A91" t="s">
        <v>348</v>
      </c>
      <c r="B91" t="s">
        <v>94</v>
      </c>
      <c r="C91" s="2" t="s">
        <v>268</v>
      </c>
      <c r="D91" s="24">
        <v>0.02</v>
      </c>
      <c r="E91" s="24">
        <v>7.0000000000000007E-2</v>
      </c>
      <c r="F91" s="24">
        <v>0.08</v>
      </c>
      <c r="G91" s="24">
        <v>0.1</v>
      </c>
      <c r="H91" s="24">
        <v>0.13</v>
      </c>
      <c r="J91" s="24"/>
      <c r="K91" s="24"/>
      <c r="L91" s="24"/>
      <c r="M91" s="24"/>
      <c r="N91" s="24"/>
    </row>
    <row r="92" spans="1:14" x14ac:dyDescent="0.25">
      <c r="A92" t="s">
        <v>349</v>
      </c>
      <c r="B92" t="s">
        <v>86</v>
      </c>
      <c r="C92" s="2" t="s">
        <v>212</v>
      </c>
      <c r="D92" s="24">
        <v>0.05</v>
      </c>
      <c r="E92" s="24">
        <v>0.08</v>
      </c>
      <c r="F92" s="24">
        <v>0.1</v>
      </c>
      <c r="G92" s="24">
        <v>0.12</v>
      </c>
      <c r="H92" s="24">
        <v>0.17</v>
      </c>
      <c r="J92" s="24"/>
      <c r="K92" s="24"/>
      <c r="L92" s="24"/>
      <c r="M92" s="24"/>
      <c r="N92" s="24"/>
    </row>
    <row r="93" spans="1:14" x14ac:dyDescent="0.25">
      <c r="A93" t="s">
        <v>350</v>
      </c>
      <c r="B93" t="s">
        <v>86</v>
      </c>
      <c r="C93" s="2" t="s">
        <v>213</v>
      </c>
      <c r="D93" s="24">
        <v>0.03</v>
      </c>
      <c r="E93" s="24">
        <v>0.08</v>
      </c>
      <c r="F93" s="24">
        <v>0.1</v>
      </c>
      <c r="G93" s="24">
        <v>0.12</v>
      </c>
      <c r="H93" s="24">
        <v>0.17</v>
      </c>
      <c r="J93" s="24"/>
      <c r="K93" s="24"/>
      <c r="L93" s="24"/>
      <c r="M93" s="24"/>
      <c r="N93" s="24"/>
    </row>
    <row r="94" spans="1:14" x14ac:dyDescent="0.25">
      <c r="A94" t="s">
        <v>351</v>
      </c>
      <c r="B94" t="s">
        <v>86</v>
      </c>
      <c r="C94" s="2" t="s">
        <v>214</v>
      </c>
      <c r="D94" s="24">
        <v>0.03</v>
      </c>
      <c r="E94" s="24">
        <v>0.08</v>
      </c>
      <c r="F94" s="24">
        <v>0.1</v>
      </c>
      <c r="G94" s="24">
        <v>0.11</v>
      </c>
      <c r="H94" s="24">
        <v>0.16</v>
      </c>
      <c r="J94" s="24"/>
      <c r="K94" s="24"/>
      <c r="L94" s="24"/>
      <c r="M94" s="24"/>
      <c r="N94" s="24"/>
    </row>
    <row r="95" spans="1:14" x14ac:dyDescent="0.25">
      <c r="A95" t="s">
        <v>352</v>
      </c>
      <c r="B95" t="s">
        <v>86</v>
      </c>
      <c r="C95" s="2" t="s">
        <v>267</v>
      </c>
      <c r="D95" s="24">
        <v>0.02</v>
      </c>
      <c r="E95" s="24">
        <v>0.06</v>
      </c>
      <c r="F95" s="24">
        <v>0.08</v>
      </c>
      <c r="G95" s="24">
        <v>0.11</v>
      </c>
      <c r="H95" s="24">
        <v>0.18</v>
      </c>
      <c r="J95" s="24"/>
      <c r="K95" s="24"/>
      <c r="L95" s="24"/>
      <c r="M95" s="24"/>
      <c r="N95" s="24"/>
    </row>
    <row r="96" spans="1:14" x14ac:dyDescent="0.25">
      <c r="A96" t="s">
        <v>353</v>
      </c>
      <c r="B96" t="s">
        <v>86</v>
      </c>
      <c r="C96" s="2" t="s">
        <v>268</v>
      </c>
      <c r="D96" s="24">
        <v>0.02</v>
      </c>
      <c r="E96" s="24">
        <v>7.0000000000000007E-2</v>
      </c>
      <c r="F96" s="24">
        <v>0.08</v>
      </c>
      <c r="G96" s="24">
        <v>0.1</v>
      </c>
      <c r="H96" s="24">
        <v>0.13</v>
      </c>
      <c r="J96" s="24"/>
      <c r="K96" s="24"/>
      <c r="L96" s="24"/>
      <c r="M96" s="24"/>
      <c r="N96" s="24"/>
    </row>
    <row r="97" spans="1:14" x14ac:dyDescent="0.25">
      <c r="A97" t="s">
        <v>354</v>
      </c>
      <c r="B97" t="s">
        <v>88</v>
      </c>
      <c r="C97" s="2" t="s">
        <v>212</v>
      </c>
      <c r="D97" s="24">
        <v>0.01</v>
      </c>
      <c r="E97" s="24">
        <v>0.06</v>
      </c>
      <c r="F97" s="24">
        <v>0.08</v>
      </c>
      <c r="G97" s="24">
        <v>0.1</v>
      </c>
      <c r="H97" s="24">
        <v>0.15</v>
      </c>
      <c r="J97" s="24"/>
      <c r="K97" s="24"/>
      <c r="L97" s="24"/>
      <c r="M97" s="24"/>
      <c r="N97" s="24"/>
    </row>
    <row r="98" spans="1:14" x14ac:dyDescent="0.25">
      <c r="A98" t="s">
        <v>355</v>
      </c>
      <c r="B98" t="s">
        <v>88</v>
      </c>
      <c r="C98" s="2" t="s">
        <v>213</v>
      </c>
      <c r="D98" s="24">
        <v>0.01</v>
      </c>
      <c r="E98" s="24">
        <v>0.05</v>
      </c>
      <c r="F98" s="24">
        <v>7.0000000000000007E-2</v>
      </c>
      <c r="G98" s="24">
        <v>0.09</v>
      </c>
      <c r="H98" s="24">
        <v>0.14000000000000001</v>
      </c>
      <c r="J98" s="24"/>
      <c r="K98" s="24"/>
      <c r="L98" s="24"/>
      <c r="M98" s="24"/>
      <c r="N98" s="24"/>
    </row>
    <row r="99" spans="1:14" x14ac:dyDescent="0.25">
      <c r="A99" t="s">
        <v>356</v>
      </c>
      <c r="B99" t="s">
        <v>88</v>
      </c>
      <c r="C99" s="2" t="s">
        <v>214</v>
      </c>
      <c r="D99" s="24">
        <v>0.01</v>
      </c>
      <c r="E99" s="24">
        <v>0.05</v>
      </c>
      <c r="F99" s="24">
        <v>7.0000000000000007E-2</v>
      </c>
      <c r="G99" s="24">
        <v>0.08</v>
      </c>
      <c r="H99" s="24">
        <v>0.12</v>
      </c>
      <c r="J99" s="24"/>
      <c r="K99" s="24"/>
      <c r="L99" s="24"/>
      <c r="M99" s="24"/>
      <c r="N99" s="24"/>
    </row>
    <row r="100" spans="1:14" x14ac:dyDescent="0.25">
      <c r="A100" t="s">
        <v>357</v>
      </c>
      <c r="B100" t="s">
        <v>88</v>
      </c>
      <c r="C100" s="2" t="s">
        <v>267</v>
      </c>
      <c r="D100" s="24">
        <v>0.01</v>
      </c>
      <c r="E100" s="24">
        <v>0.05</v>
      </c>
      <c r="F100" s="24">
        <v>0.06</v>
      </c>
      <c r="G100" s="24">
        <v>0.08</v>
      </c>
      <c r="H100" s="24">
        <v>0.13</v>
      </c>
      <c r="J100" s="24"/>
      <c r="K100" s="24"/>
      <c r="L100" s="24"/>
      <c r="M100" s="24"/>
      <c r="N100" s="24"/>
    </row>
    <row r="101" spans="1:14" x14ac:dyDescent="0.25">
      <c r="A101" t="s">
        <v>358</v>
      </c>
      <c r="B101" t="s">
        <v>88</v>
      </c>
      <c r="C101" s="2" t="s">
        <v>268</v>
      </c>
      <c r="D101" s="24">
        <v>0</v>
      </c>
      <c r="E101" s="24">
        <v>0.03</v>
      </c>
      <c r="F101" s="24">
        <v>0.05</v>
      </c>
      <c r="G101" s="24">
        <v>7.0000000000000007E-2</v>
      </c>
      <c r="H101" s="24">
        <v>0.12</v>
      </c>
      <c r="J101" s="24"/>
      <c r="K101" s="24"/>
      <c r="L101" s="24"/>
      <c r="M101" s="24"/>
      <c r="N101" s="24"/>
    </row>
    <row r="102" spans="1:14" x14ac:dyDescent="0.25">
      <c r="A102" t="s">
        <v>359</v>
      </c>
      <c r="B102" t="s">
        <v>87</v>
      </c>
      <c r="C102" s="2" t="s">
        <v>212</v>
      </c>
      <c r="D102" s="24">
        <v>0</v>
      </c>
      <c r="E102" s="24">
        <v>0.06</v>
      </c>
      <c r="F102" s="24">
        <v>0.09</v>
      </c>
      <c r="G102" s="24">
        <v>0.1</v>
      </c>
      <c r="H102" s="24">
        <v>0.16</v>
      </c>
      <c r="J102" s="24"/>
      <c r="K102" s="24"/>
      <c r="L102" s="24"/>
      <c r="M102" s="24"/>
      <c r="N102" s="24"/>
    </row>
    <row r="103" spans="1:14" x14ac:dyDescent="0.25">
      <c r="A103" t="s">
        <v>360</v>
      </c>
      <c r="B103" t="s">
        <v>87</v>
      </c>
      <c r="C103" s="2" t="s">
        <v>213</v>
      </c>
      <c r="D103" s="24">
        <v>0.01</v>
      </c>
      <c r="E103" s="24">
        <v>0.06</v>
      </c>
      <c r="F103" s="24">
        <v>0.08</v>
      </c>
      <c r="G103" s="24">
        <v>0.1</v>
      </c>
      <c r="H103" s="24">
        <v>0.16</v>
      </c>
      <c r="J103" s="24"/>
      <c r="K103" s="24"/>
      <c r="L103" s="24"/>
      <c r="M103" s="24"/>
      <c r="N103" s="24"/>
    </row>
    <row r="104" spans="1:14" x14ac:dyDescent="0.25">
      <c r="A104" t="s">
        <v>361</v>
      </c>
      <c r="B104" t="s">
        <v>87</v>
      </c>
      <c r="C104" s="2" t="s">
        <v>214</v>
      </c>
      <c r="D104" s="24">
        <v>0.01</v>
      </c>
      <c r="E104" s="24">
        <v>0.05</v>
      </c>
      <c r="F104" s="24">
        <v>0.08</v>
      </c>
      <c r="G104" s="24">
        <v>0.1</v>
      </c>
      <c r="H104" s="24">
        <v>0.14000000000000001</v>
      </c>
      <c r="J104" s="24"/>
      <c r="K104" s="24"/>
      <c r="L104" s="24"/>
      <c r="M104" s="24"/>
      <c r="N104" s="24"/>
    </row>
    <row r="105" spans="1:14" x14ac:dyDescent="0.25">
      <c r="A105" t="s">
        <v>362</v>
      </c>
      <c r="B105" t="s">
        <v>87</v>
      </c>
      <c r="C105" s="2" t="s">
        <v>267</v>
      </c>
      <c r="D105" s="24">
        <v>0.01</v>
      </c>
      <c r="E105" s="24">
        <v>0.05</v>
      </c>
      <c r="F105" s="24">
        <v>7.0000000000000007E-2</v>
      </c>
      <c r="G105" s="24">
        <v>0.1</v>
      </c>
      <c r="H105" s="24">
        <v>0.15</v>
      </c>
      <c r="J105" s="24"/>
      <c r="K105" s="24"/>
      <c r="L105" s="24"/>
      <c r="M105" s="24"/>
      <c r="N105" s="24"/>
    </row>
    <row r="106" spans="1:14" x14ac:dyDescent="0.25">
      <c r="A106" t="s">
        <v>363</v>
      </c>
      <c r="B106" t="s">
        <v>87</v>
      </c>
      <c r="C106" s="2" t="s">
        <v>268</v>
      </c>
      <c r="D106" s="24">
        <v>0.01</v>
      </c>
      <c r="E106" s="24">
        <v>0.03</v>
      </c>
      <c r="F106" s="24">
        <v>7.0000000000000007E-2</v>
      </c>
      <c r="G106" s="24">
        <v>0.09</v>
      </c>
      <c r="H106" s="24">
        <v>0.17</v>
      </c>
      <c r="J106" s="24"/>
      <c r="K106" s="24"/>
      <c r="L106" s="24"/>
      <c r="M106" s="24"/>
      <c r="N106" s="24"/>
    </row>
    <row r="107" spans="1:14" x14ac:dyDescent="0.25">
      <c r="A107" t="s">
        <v>364</v>
      </c>
      <c r="B107" t="s">
        <v>255</v>
      </c>
      <c r="C107" s="2" t="s">
        <v>212</v>
      </c>
      <c r="D107" s="24"/>
      <c r="E107" s="24"/>
      <c r="F107" s="24"/>
      <c r="G107" s="24"/>
      <c r="H107" s="24"/>
    </row>
    <row r="108" spans="1:14" x14ac:dyDescent="0.25">
      <c r="A108" t="s">
        <v>365</v>
      </c>
      <c r="B108" t="s">
        <v>255</v>
      </c>
      <c r="C108" s="2" t="s">
        <v>213</v>
      </c>
      <c r="D108" s="24"/>
      <c r="E108" s="24"/>
      <c r="F108" s="24"/>
      <c r="G108" s="24"/>
      <c r="H108" s="24"/>
    </row>
    <row r="109" spans="1:14" x14ac:dyDescent="0.25">
      <c r="A109" t="s">
        <v>366</v>
      </c>
      <c r="B109" t="s">
        <v>255</v>
      </c>
      <c r="C109" s="2" t="s">
        <v>214</v>
      </c>
      <c r="D109" s="24"/>
      <c r="E109" s="24"/>
      <c r="F109" s="24"/>
      <c r="G109" s="24"/>
      <c r="H109" s="24"/>
    </row>
    <row r="110" spans="1:14" x14ac:dyDescent="0.25">
      <c r="A110" t="s">
        <v>367</v>
      </c>
      <c r="B110" t="s">
        <v>255</v>
      </c>
      <c r="C110" s="2" t="s">
        <v>267</v>
      </c>
      <c r="D110" s="24"/>
      <c r="E110" s="24"/>
      <c r="F110" s="24"/>
      <c r="G110" s="24"/>
      <c r="H110" s="24"/>
    </row>
    <row r="111" spans="1:14" x14ac:dyDescent="0.25">
      <c r="A111" t="s">
        <v>368</v>
      </c>
      <c r="B111" t="s">
        <v>255</v>
      </c>
      <c r="C111" s="2" t="s">
        <v>268</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244</v>
      </c>
      <c r="B1" t="s">
        <v>254</v>
      </c>
      <c r="C1" s="2" t="s">
        <v>963</v>
      </c>
      <c r="D1" s="2" t="s">
        <v>216</v>
      </c>
      <c r="E1" s="2"/>
      <c r="F1" s="2" t="s">
        <v>215</v>
      </c>
    </row>
    <row r="2" spans="1:14" x14ac:dyDescent="0.25">
      <c r="A2" t="s">
        <v>269</v>
      </c>
      <c r="B2" t="s">
        <v>99</v>
      </c>
      <c r="C2" s="2" t="s">
        <v>212</v>
      </c>
      <c r="D2" s="24">
        <v>0</v>
      </c>
      <c r="E2" s="24">
        <v>0.1</v>
      </c>
      <c r="F2" s="24">
        <v>0.14000000000000001</v>
      </c>
      <c r="G2" s="24"/>
      <c r="H2" s="24"/>
      <c r="I2" s="24"/>
      <c r="J2" s="24"/>
      <c r="L2" s="24"/>
      <c r="M2" s="24"/>
      <c r="N2" s="24"/>
    </row>
    <row r="3" spans="1:14" x14ac:dyDescent="0.25">
      <c r="A3" t="s">
        <v>270</v>
      </c>
      <c r="B3" t="s">
        <v>99</v>
      </c>
      <c r="C3" s="2" t="s">
        <v>213</v>
      </c>
      <c r="D3" s="24">
        <v>0</v>
      </c>
      <c r="E3" s="24">
        <v>0.08</v>
      </c>
      <c r="F3" s="24">
        <v>0.13</v>
      </c>
      <c r="G3" s="24"/>
      <c r="H3" s="24"/>
      <c r="I3" s="24"/>
      <c r="J3" s="24"/>
      <c r="L3" s="24"/>
      <c r="M3" s="24"/>
      <c r="N3" s="24"/>
    </row>
    <row r="4" spans="1:14" x14ac:dyDescent="0.25">
      <c r="A4" t="s">
        <v>271</v>
      </c>
      <c r="B4" t="s">
        <v>99</v>
      </c>
      <c r="C4" s="2" t="s">
        <v>214</v>
      </c>
      <c r="D4" s="24">
        <v>0</v>
      </c>
      <c r="E4" s="24">
        <v>0.08</v>
      </c>
      <c r="F4" s="24">
        <v>0.11</v>
      </c>
      <c r="G4" s="24"/>
      <c r="H4" s="24"/>
      <c r="I4" s="24"/>
      <c r="J4" s="24"/>
      <c r="L4" s="24"/>
      <c r="M4" s="24"/>
      <c r="N4" s="24"/>
    </row>
    <row r="5" spans="1:14" x14ac:dyDescent="0.25">
      <c r="A5" t="s">
        <v>272</v>
      </c>
      <c r="B5" t="s">
        <v>99</v>
      </c>
      <c r="C5" s="2" t="s">
        <v>267</v>
      </c>
      <c r="D5" s="24">
        <v>0</v>
      </c>
      <c r="E5" s="24">
        <v>7.0000000000000007E-2</v>
      </c>
      <c r="F5" s="24">
        <v>0.1</v>
      </c>
      <c r="G5" s="24"/>
      <c r="H5" s="24"/>
      <c r="I5" s="24"/>
      <c r="J5" s="24"/>
      <c r="L5" s="24"/>
      <c r="M5" s="24"/>
      <c r="N5" s="24"/>
    </row>
    <row r="6" spans="1:14" x14ac:dyDescent="0.25">
      <c r="A6" t="s">
        <v>273</v>
      </c>
      <c r="B6" t="s">
        <v>99</v>
      </c>
      <c r="C6" s="2" t="s">
        <v>268</v>
      </c>
      <c r="D6" s="24">
        <v>0</v>
      </c>
      <c r="E6" s="24">
        <v>0.06</v>
      </c>
      <c r="F6" s="24">
        <v>0.09</v>
      </c>
      <c r="G6" s="24"/>
      <c r="H6" s="24"/>
      <c r="I6" s="24"/>
      <c r="J6" s="24"/>
      <c r="L6" s="24"/>
      <c r="M6" s="24"/>
      <c r="N6" s="24"/>
    </row>
    <row r="7" spans="1:14" x14ac:dyDescent="0.25">
      <c r="A7" t="s">
        <v>1431</v>
      </c>
      <c r="B7" t="s">
        <v>103</v>
      </c>
      <c r="C7" s="2" t="s">
        <v>212</v>
      </c>
      <c r="D7" s="24">
        <v>0</v>
      </c>
      <c r="E7" s="24">
        <v>7.0000000000000007E-2</v>
      </c>
      <c r="F7" s="24">
        <v>0.1</v>
      </c>
      <c r="G7" s="24"/>
      <c r="H7" s="24"/>
      <c r="I7" s="24"/>
      <c r="J7" s="24"/>
      <c r="L7" s="24"/>
      <c r="M7" s="24"/>
      <c r="N7" s="24"/>
    </row>
    <row r="8" spans="1:14" x14ac:dyDescent="0.25">
      <c r="A8" t="s">
        <v>1427</v>
      </c>
      <c r="B8" t="s">
        <v>103</v>
      </c>
      <c r="C8" s="2" t="s">
        <v>213</v>
      </c>
      <c r="D8" s="24">
        <v>0</v>
      </c>
      <c r="E8" s="24">
        <v>7.0000000000000007E-2</v>
      </c>
      <c r="F8" s="24">
        <v>0.09</v>
      </c>
      <c r="G8" s="24"/>
      <c r="H8" s="24"/>
      <c r="I8" s="24"/>
      <c r="J8" s="24"/>
      <c r="L8" s="24"/>
      <c r="M8" s="24"/>
      <c r="N8" s="24"/>
    </row>
    <row r="9" spans="1:14" x14ac:dyDescent="0.25">
      <c r="A9" t="s">
        <v>1428</v>
      </c>
      <c r="B9" t="s">
        <v>103</v>
      </c>
      <c r="C9" s="2" t="s">
        <v>214</v>
      </c>
      <c r="D9" s="24">
        <v>0</v>
      </c>
      <c r="E9" s="24">
        <v>0.06</v>
      </c>
      <c r="F9" s="24">
        <v>0.08</v>
      </c>
      <c r="G9" s="24"/>
      <c r="H9" s="24"/>
      <c r="I9" s="24"/>
      <c r="J9" s="24"/>
      <c r="L9" s="24"/>
      <c r="M9" s="24"/>
      <c r="N9" s="24"/>
    </row>
    <row r="10" spans="1:14" x14ac:dyDescent="0.25">
      <c r="A10" t="s">
        <v>1429</v>
      </c>
      <c r="B10" t="s">
        <v>103</v>
      </c>
      <c r="C10" s="2" t="s">
        <v>267</v>
      </c>
      <c r="D10" s="24">
        <v>0</v>
      </c>
      <c r="E10" s="24">
        <v>0.05</v>
      </c>
      <c r="F10" s="24">
        <v>7.0000000000000007E-2</v>
      </c>
      <c r="G10" s="24"/>
      <c r="H10" s="24"/>
      <c r="I10" s="24"/>
      <c r="J10" s="24"/>
      <c r="L10" s="24"/>
      <c r="M10" s="24"/>
      <c r="N10" s="24"/>
    </row>
    <row r="11" spans="1:14" x14ac:dyDescent="0.25">
      <c r="A11" t="s">
        <v>1430</v>
      </c>
      <c r="B11" t="s">
        <v>103</v>
      </c>
      <c r="C11" s="2" t="s">
        <v>268</v>
      </c>
      <c r="D11" s="24">
        <v>0</v>
      </c>
      <c r="E11" s="24">
        <v>0.04</v>
      </c>
      <c r="F11" s="24">
        <v>0.06</v>
      </c>
      <c r="G11" s="24"/>
      <c r="H11" s="24"/>
      <c r="I11" s="24"/>
      <c r="J11" s="24"/>
      <c r="L11" s="24"/>
      <c r="M11" s="24"/>
      <c r="N11" s="24"/>
    </row>
    <row r="12" spans="1:14" x14ac:dyDescent="0.25">
      <c r="A12" t="s">
        <v>1436</v>
      </c>
      <c r="B12" t="s">
        <v>1389</v>
      </c>
      <c r="C12" s="2" t="s">
        <v>212</v>
      </c>
      <c r="D12" s="24">
        <v>0</v>
      </c>
      <c r="E12" s="24">
        <v>7.0000000000000007E-2</v>
      </c>
      <c r="F12" s="24">
        <v>0.09</v>
      </c>
      <c r="G12" s="24"/>
      <c r="H12" s="24"/>
      <c r="I12" s="24"/>
      <c r="J12" s="24"/>
      <c r="L12" s="24"/>
      <c r="M12" s="24"/>
      <c r="N12" s="24"/>
    </row>
    <row r="13" spans="1:14" x14ac:dyDescent="0.25">
      <c r="A13" t="s">
        <v>1432</v>
      </c>
      <c r="B13" t="s">
        <v>1389</v>
      </c>
      <c r="C13" s="2" t="s">
        <v>213</v>
      </c>
      <c r="D13" s="24">
        <v>0</v>
      </c>
      <c r="E13" s="24">
        <v>7.0000000000000007E-2</v>
      </c>
      <c r="F13" s="24">
        <v>0.08</v>
      </c>
      <c r="G13" s="24"/>
      <c r="H13" s="24"/>
      <c r="I13" s="24"/>
      <c r="J13" s="24"/>
      <c r="L13" s="24"/>
      <c r="M13" s="24"/>
      <c r="N13" s="24"/>
    </row>
    <row r="14" spans="1:14" x14ac:dyDescent="0.25">
      <c r="A14" t="s">
        <v>1433</v>
      </c>
      <c r="B14" t="s">
        <v>1389</v>
      </c>
      <c r="C14" s="2" t="s">
        <v>214</v>
      </c>
      <c r="D14" s="24">
        <v>0</v>
      </c>
      <c r="E14" s="24">
        <v>0.06</v>
      </c>
      <c r="F14" s="24">
        <v>7.0000000000000007E-2</v>
      </c>
      <c r="G14" s="24"/>
      <c r="H14" s="24"/>
      <c r="I14" s="24"/>
      <c r="J14" s="24"/>
      <c r="L14" s="24"/>
      <c r="M14" s="24"/>
      <c r="N14" s="24"/>
    </row>
    <row r="15" spans="1:14" x14ac:dyDescent="0.25">
      <c r="A15" t="s">
        <v>1434</v>
      </c>
      <c r="B15" t="s">
        <v>1389</v>
      </c>
      <c r="C15" s="2" t="s">
        <v>267</v>
      </c>
      <c r="D15" s="24">
        <v>0</v>
      </c>
      <c r="E15" s="24">
        <v>0.05</v>
      </c>
      <c r="F15" s="24">
        <v>0.06</v>
      </c>
      <c r="G15" s="24"/>
      <c r="H15" s="24"/>
      <c r="I15" s="24"/>
      <c r="J15" s="24"/>
      <c r="L15" s="24"/>
      <c r="M15" s="24"/>
      <c r="N15" s="24"/>
    </row>
    <row r="16" spans="1:14" x14ac:dyDescent="0.25">
      <c r="A16" t="s">
        <v>1435</v>
      </c>
      <c r="B16" t="s">
        <v>1389</v>
      </c>
      <c r="C16" s="2" t="s">
        <v>268</v>
      </c>
      <c r="D16" s="24">
        <v>0</v>
      </c>
      <c r="E16" s="24">
        <v>0.05</v>
      </c>
      <c r="F16" s="24">
        <v>0.05</v>
      </c>
      <c r="G16" s="24"/>
      <c r="H16" s="24"/>
      <c r="I16" s="24"/>
      <c r="J16" s="24"/>
      <c r="L16" s="24"/>
      <c r="M16" s="24"/>
      <c r="N16" s="24"/>
    </row>
    <row r="17" spans="1:14" x14ac:dyDescent="0.25">
      <c r="A17" t="s">
        <v>274</v>
      </c>
      <c r="B17" t="s">
        <v>102</v>
      </c>
      <c r="C17" s="2" t="s">
        <v>212</v>
      </c>
      <c r="D17" s="24">
        <v>0</v>
      </c>
      <c r="E17" s="24">
        <v>0.13</v>
      </c>
      <c r="F17" s="24">
        <v>0.18</v>
      </c>
      <c r="G17" s="24"/>
      <c r="H17" s="24"/>
      <c r="I17" s="24"/>
      <c r="J17" s="24"/>
      <c r="L17" s="24"/>
      <c r="M17" s="24"/>
      <c r="N17" s="24"/>
    </row>
    <row r="18" spans="1:14" x14ac:dyDescent="0.25">
      <c r="A18" t="s">
        <v>275</v>
      </c>
      <c r="B18" t="s">
        <v>102</v>
      </c>
      <c r="C18" s="2" t="s">
        <v>213</v>
      </c>
      <c r="D18" s="24">
        <v>0</v>
      </c>
      <c r="E18" s="24">
        <v>0.12</v>
      </c>
      <c r="F18" s="24">
        <v>0.17</v>
      </c>
      <c r="G18" s="24"/>
      <c r="H18" s="24"/>
      <c r="I18" s="24"/>
      <c r="J18" s="24"/>
      <c r="L18" s="24"/>
      <c r="M18" s="24"/>
      <c r="N18" s="24"/>
    </row>
    <row r="19" spans="1:14" x14ac:dyDescent="0.25">
      <c r="A19" t="s">
        <v>276</v>
      </c>
      <c r="B19" t="s">
        <v>102</v>
      </c>
      <c r="C19" s="2" t="s">
        <v>214</v>
      </c>
      <c r="D19" s="24">
        <v>0</v>
      </c>
      <c r="E19" s="24">
        <v>0.09</v>
      </c>
      <c r="F19" s="24">
        <v>0.13</v>
      </c>
      <c r="G19" s="24"/>
      <c r="H19" s="24"/>
      <c r="I19" s="24"/>
      <c r="J19" s="24"/>
      <c r="L19" s="24"/>
      <c r="M19" s="24"/>
      <c r="N19" s="24"/>
    </row>
    <row r="20" spans="1:14" x14ac:dyDescent="0.25">
      <c r="A20" t="s">
        <v>277</v>
      </c>
      <c r="B20" t="s">
        <v>102</v>
      </c>
      <c r="C20" s="2" t="s">
        <v>267</v>
      </c>
      <c r="D20" s="24">
        <v>0</v>
      </c>
      <c r="E20" s="24">
        <v>7.0000000000000007E-2</v>
      </c>
      <c r="F20" s="24">
        <v>0.11</v>
      </c>
      <c r="G20" s="24"/>
      <c r="H20" s="24"/>
      <c r="I20" s="24"/>
      <c r="J20" s="24"/>
      <c r="L20" s="24"/>
      <c r="M20" s="24"/>
      <c r="N20" s="24"/>
    </row>
    <row r="21" spans="1:14" x14ac:dyDescent="0.25">
      <c r="A21" t="s">
        <v>278</v>
      </c>
      <c r="B21" t="s">
        <v>102</v>
      </c>
      <c r="C21" s="2" t="s">
        <v>268</v>
      </c>
      <c r="D21" s="24">
        <v>0</v>
      </c>
      <c r="E21" s="24">
        <v>0.06</v>
      </c>
      <c r="F21" s="24">
        <v>0.09</v>
      </c>
      <c r="G21" s="24"/>
      <c r="H21" s="24"/>
      <c r="I21" s="24"/>
      <c r="J21" s="24"/>
      <c r="L21" s="24"/>
      <c r="M21" s="24"/>
      <c r="N21" s="24"/>
    </row>
    <row r="22" spans="1:14" x14ac:dyDescent="0.25">
      <c r="A22" t="s">
        <v>279</v>
      </c>
      <c r="B22" t="s">
        <v>100</v>
      </c>
      <c r="C22" s="2" t="s">
        <v>212</v>
      </c>
      <c r="D22" s="24">
        <v>0</v>
      </c>
      <c r="E22" s="24">
        <v>0.13</v>
      </c>
      <c r="F22" s="24">
        <v>0.18</v>
      </c>
      <c r="G22" s="24"/>
      <c r="H22" s="24"/>
      <c r="I22" s="24"/>
      <c r="J22" s="24"/>
      <c r="L22" s="24"/>
      <c r="M22" s="24"/>
      <c r="N22" s="24"/>
    </row>
    <row r="23" spans="1:14" x14ac:dyDescent="0.25">
      <c r="A23" t="s">
        <v>280</v>
      </c>
      <c r="B23" t="s">
        <v>100</v>
      </c>
      <c r="C23" s="2" t="s">
        <v>213</v>
      </c>
      <c r="D23" s="24">
        <v>0</v>
      </c>
      <c r="E23" s="24">
        <v>0.12</v>
      </c>
      <c r="F23" s="24">
        <v>0.17</v>
      </c>
      <c r="G23" s="24"/>
      <c r="H23" s="24"/>
      <c r="I23" s="24"/>
      <c r="J23" s="24"/>
      <c r="L23" s="24"/>
      <c r="M23" s="24"/>
      <c r="N23" s="24"/>
    </row>
    <row r="24" spans="1:14" x14ac:dyDescent="0.25">
      <c r="A24" t="s">
        <v>281</v>
      </c>
      <c r="B24" t="s">
        <v>100</v>
      </c>
      <c r="C24" s="2" t="s">
        <v>214</v>
      </c>
      <c r="D24" s="24">
        <v>0</v>
      </c>
      <c r="E24" s="24">
        <v>0.1</v>
      </c>
      <c r="F24" s="24">
        <v>0.16</v>
      </c>
      <c r="G24" s="24"/>
      <c r="H24" s="24"/>
      <c r="I24" s="24"/>
      <c r="J24" s="24"/>
      <c r="L24" s="24"/>
      <c r="M24" s="24"/>
      <c r="N24" s="24"/>
    </row>
    <row r="25" spans="1:14" x14ac:dyDescent="0.25">
      <c r="A25" t="s">
        <v>282</v>
      </c>
      <c r="B25" t="s">
        <v>100</v>
      </c>
      <c r="C25" s="2" t="s">
        <v>267</v>
      </c>
      <c r="D25" s="24">
        <v>0</v>
      </c>
      <c r="E25" s="24">
        <v>7.0000000000000007E-2</v>
      </c>
      <c r="F25" s="24">
        <v>0.11</v>
      </c>
      <c r="G25" s="24"/>
      <c r="H25" s="24"/>
      <c r="I25" s="24"/>
      <c r="J25" s="24"/>
      <c r="L25" s="24"/>
      <c r="M25" s="24"/>
      <c r="N25" s="24"/>
    </row>
    <row r="26" spans="1:14" x14ac:dyDescent="0.25">
      <c r="A26" t="s">
        <v>283</v>
      </c>
      <c r="B26" t="s">
        <v>100</v>
      </c>
      <c r="C26" s="2" t="s">
        <v>268</v>
      </c>
      <c r="D26" s="24">
        <v>0</v>
      </c>
      <c r="E26" s="24">
        <v>0.06</v>
      </c>
      <c r="F26" s="24">
        <v>0.08</v>
      </c>
      <c r="G26" s="24"/>
      <c r="H26" s="24"/>
      <c r="I26" s="24"/>
      <c r="J26" s="24"/>
      <c r="L26" s="24"/>
      <c r="M26" s="24"/>
      <c r="N26" s="24"/>
    </row>
    <row r="27" spans="1:14" x14ac:dyDescent="0.25">
      <c r="A27" t="s">
        <v>284</v>
      </c>
      <c r="B27" t="s">
        <v>104</v>
      </c>
      <c r="C27" s="2" t="s">
        <v>212</v>
      </c>
      <c r="D27" s="24">
        <v>0</v>
      </c>
      <c r="E27" s="24">
        <v>0.15</v>
      </c>
      <c r="F27" s="24">
        <v>0.18</v>
      </c>
      <c r="G27" s="24"/>
      <c r="H27" s="24"/>
      <c r="I27" s="24"/>
      <c r="J27" s="24"/>
      <c r="L27" s="24"/>
      <c r="M27" s="24"/>
      <c r="N27" s="24"/>
    </row>
    <row r="28" spans="1:14" x14ac:dyDescent="0.25">
      <c r="A28" t="s">
        <v>285</v>
      </c>
      <c r="B28" t="s">
        <v>104</v>
      </c>
      <c r="C28" s="2" t="s">
        <v>213</v>
      </c>
      <c r="D28" s="24">
        <v>0</v>
      </c>
      <c r="E28" s="24">
        <v>0.13</v>
      </c>
      <c r="F28" s="24">
        <v>0.18</v>
      </c>
      <c r="G28" s="24"/>
      <c r="H28" s="24"/>
      <c r="I28" s="24"/>
      <c r="J28" s="24"/>
      <c r="L28" s="24"/>
      <c r="M28" s="24"/>
      <c r="N28" s="24"/>
    </row>
    <row r="29" spans="1:14" x14ac:dyDescent="0.25">
      <c r="A29" t="s">
        <v>286</v>
      </c>
      <c r="B29" t="s">
        <v>104</v>
      </c>
      <c r="C29" s="2" t="s">
        <v>214</v>
      </c>
      <c r="D29" s="24">
        <v>0</v>
      </c>
      <c r="E29" s="24">
        <v>0.12</v>
      </c>
      <c r="F29" s="24">
        <v>0.16</v>
      </c>
      <c r="G29" s="24"/>
      <c r="H29" s="24"/>
      <c r="I29" s="24"/>
      <c r="J29" s="24"/>
      <c r="L29" s="24"/>
      <c r="M29" s="24"/>
      <c r="N29" s="24"/>
    </row>
    <row r="30" spans="1:14" x14ac:dyDescent="0.25">
      <c r="A30" t="s">
        <v>287</v>
      </c>
      <c r="B30" t="s">
        <v>104</v>
      </c>
      <c r="C30" s="2" t="s">
        <v>267</v>
      </c>
      <c r="D30" s="24">
        <v>0</v>
      </c>
      <c r="E30" s="24">
        <v>0.12</v>
      </c>
      <c r="F30" s="24">
        <v>0.15</v>
      </c>
      <c r="G30" s="24"/>
      <c r="H30" s="24"/>
      <c r="I30" s="24"/>
      <c r="J30" s="24"/>
      <c r="L30" s="24"/>
      <c r="M30" s="24"/>
      <c r="N30" s="24"/>
    </row>
    <row r="31" spans="1:14" x14ac:dyDescent="0.25">
      <c r="A31" t="s">
        <v>288</v>
      </c>
      <c r="B31" t="s">
        <v>104</v>
      </c>
      <c r="C31" s="2" t="s">
        <v>268</v>
      </c>
      <c r="D31" s="24">
        <v>0</v>
      </c>
      <c r="E31" s="24">
        <v>0.11</v>
      </c>
      <c r="F31" s="24">
        <v>0.12</v>
      </c>
      <c r="G31" s="24"/>
      <c r="H31" s="24"/>
      <c r="I31" s="24"/>
      <c r="J31" s="24"/>
      <c r="L31" s="24"/>
      <c r="M31" s="24"/>
      <c r="N31" s="24"/>
    </row>
    <row r="32" spans="1:14" x14ac:dyDescent="0.25">
      <c r="A32" t="s">
        <v>289</v>
      </c>
      <c r="B32" t="s">
        <v>98</v>
      </c>
      <c r="C32" s="2" t="s">
        <v>212</v>
      </c>
      <c r="D32" s="24">
        <v>0</v>
      </c>
      <c r="E32" s="24">
        <v>0.11</v>
      </c>
      <c r="F32" s="24">
        <v>0.17</v>
      </c>
      <c r="G32" s="24"/>
      <c r="H32" s="24"/>
      <c r="I32" s="24"/>
      <c r="J32" s="24"/>
      <c r="L32" s="24"/>
      <c r="M32" s="24"/>
      <c r="N32" s="24"/>
    </row>
    <row r="33" spans="1:14" x14ac:dyDescent="0.25">
      <c r="A33" t="s">
        <v>290</v>
      </c>
      <c r="B33" t="s">
        <v>98</v>
      </c>
      <c r="C33" s="2" t="s">
        <v>213</v>
      </c>
      <c r="D33" s="24">
        <v>0</v>
      </c>
      <c r="E33" s="24">
        <v>0.09</v>
      </c>
      <c r="F33" s="24">
        <v>0.14000000000000001</v>
      </c>
      <c r="G33" s="24"/>
      <c r="H33" s="24"/>
      <c r="I33" s="24"/>
      <c r="J33" s="24"/>
      <c r="L33" s="24"/>
      <c r="M33" s="24"/>
      <c r="N33" s="24"/>
    </row>
    <row r="34" spans="1:14" x14ac:dyDescent="0.25">
      <c r="A34" t="s">
        <v>291</v>
      </c>
      <c r="B34" t="s">
        <v>98</v>
      </c>
      <c r="C34" s="2" t="s">
        <v>214</v>
      </c>
      <c r="D34" s="24">
        <v>0</v>
      </c>
      <c r="E34" s="24">
        <v>0.09</v>
      </c>
      <c r="F34" s="24">
        <v>0.13</v>
      </c>
      <c r="G34" s="24"/>
      <c r="H34" s="24"/>
      <c r="I34" s="24"/>
      <c r="J34" s="24"/>
      <c r="L34" s="24"/>
      <c r="M34" s="24"/>
      <c r="N34" s="24"/>
    </row>
    <row r="35" spans="1:14" x14ac:dyDescent="0.25">
      <c r="A35" t="s">
        <v>292</v>
      </c>
      <c r="B35" t="s">
        <v>98</v>
      </c>
      <c r="C35" s="2" t="s">
        <v>267</v>
      </c>
      <c r="D35" s="24">
        <v>0</v>
      </c>
      <c r="E35" s="24">
        <v>0.08</v>
      </c>
      <c r="F35" s="24">
        <v>0.12</v>
      </c>
      <c r="G35" s="24"/>
      <c r="H35" s="24"/>
      <c r="I35" s="24"/>
      <c r="J35" s="24"/>
      <c r="L35" s="24"/>
      <c r="M35" s="24"/>
      <c r="N35" s="24"/>
    </row>
    <row r="36" spans="1:14" x14ac:dyDescent="0.25">
      <c r="A36" t="s">
        <v>293</v>
      </c>
      <c r="B36" t="s">
        <v>98</v>
      </c>
      <c r="C36" s="2" t="s">
        <v>268</v>
      </c>
      <c r="D36" s="24">
        <v>0</v>
      </c>
      <c r="E36" s="24">
        <v>0.08</v>
      </c>
      <c r="F36" s="24">
        <v>0.11</v>
      </c>
      <c r="G36" s="24"/>
      <c r="H36" s="24"/>
      <c r="I36" s="24"/>
      <c r="J36" s="24"/>
      <c r="L36" s="24"/>
      <c r="M36" s="24"/>
      <c r="N36" s="24"/>
    </row>
    <row r="37" spans="1:14" x14ac:dyDescent="0.25">
      <c r="A37" t="s">
        <v>294</v>
      </c>
      <c r="B37" t="s">
        <v>95</v>
      </c>
      <c r="C37" s="2" t="s">
        <v>212</v>
      </c>
      <c r="D37" s="24">
        <v>0</v>
      </c>
      <c r="E37" s="24">
        <v>7.0000000000000007E-2</v>
      </c>
      <c r="F37" s="24">
        <v>0.12</v>
      </c>
      <c r="G37" s="24"/>
      <c r="H37" s="24"/>
      <c r="I37" s="24"/>
      <c r="J37" s="24"/>
      <c r="L37" s="24"/>
      <c r="M37" s="24"/>
      <c r="N37" s="24"/>
    </row>
    <row r="38" spans="1:14" x14ac:dyDescent="0.25">
      <c r="A38" t="s">
        <v>295</v>
      </c>
      <c r="B38" t="s">
        <v>95</v>
      </c>
      <c r="C38" s="2" t="s">
        <v>213</v>
      </c>
      <c r="D38" s="24">
        <v>0</v>
      </c>
      <c r="E38" s="24">
        <v>0.06</v>
      </c>
      <c r="F38" s="24">
        <v>0.12</v>
      </c>
      <c r="G38" s="24"/>
      <c r="H38" s="24"/>
      <c r="I38" s="24"/>
      <c r="J38" s="24"/>
      <c r="L38" s="24"/>
      <c r="M38" s="24"/>
      <c r="N38" s="24"/>
    </row>
    <row r="39" spans="1:14" x14ac:dyDescent="0.25">
      <c r="A39" t="s">
        <v>296</v>
      </c>
      <c r="B39" t="s">
        <v>95</v>
      </c>
      <c r="C39" s="2" t="s">
        <v>214</v>
      </c>
      <c r="D39" s="24">
        <v>0</v>
      </c>
      <c r="E39" s="24">
        <v>0.06</v>
      </c>
      <c r="F39" s="24">
        <v>0.11</v>
      </c>
      <c r="G39" s="24"/>
      <c r="H39" s="24"/>
      <c r="I39" s="24"/>
      <c r="J39" s="24"/>
      <c r="L39" s="24"/>
      <c r="M39" s="24"/>
      <c r="N39" s="24"/>
    </row>
    <row r="40" spans="1:14" x14ac:dyDescent="0.25">
      <c r="A40" t="s">
        <v>297</v>
      </c>
      <c r="B40" t="s">
        <v>95</v>
      </c>
      <c r="C40" s="2" t="s">
        <v>267</v>
      </c>
      <c r="D40" s="24">
        <v>0</v>
      </c>
      <c r="E40" s="24">
        <v>0.06</v>
      </c>
      <c r="F40" s="24">
        <v>0.11</v>
      </c>
      <c r="G40" s="24"/>
      <c r="H40" s="24"/>
      <c r="I40" s="24"/>
      <c r="J40" s="24"/>
      <c r="L40" s="24"/>
      <c r="M40" s="24"/>
      <c r="N40" s="24"/>
    </row>
    <row r="41" spans="1:14" x14ac:dyDescent="0.25">
      <c r="A41" t="s">
        <v>298</v>
      </c>
      <c r="B41" t="s">
        <v>95</v>
      </c>
      <c r="C41" s="2" t="s">
        <v>268</v>
      </c>
      <c r="D41" s="24">
        <v>0</v>
      </c>
      <c r="E41" s="24">
        <v>0.06</v>
      </c>
      <c r="F41" s="24">
        <v>0.1</v>
      </c>
      <c r="G41" s="24"/>
      <c r="H41" s="24"/>
      <c r="I41" s="24"/>
      <c r="J41" s="24"/>
      <c r="L41" s="24"/>
      <c r="M41" s="24"/>
      <c r="N41" s="24"/>
    </row>
    <row r="42" spans="1:14" x14ac:dyDescent="0.25">
      <c r="A42" t="s">
        <v>299</v>
      </c>
      <c r="B42" t="s">
        <v>96</v>
      </c>
      <c r="C42" s="2" t="s">
        <v>212</v>
      </c>
      <c r="D42" s="24">
        <v>0</v>
      </c>
      <c r="E42" s="24">
        <v>0.13</v>
      </c>
      <c r="F42" s="24">
        <v>0.18</v>
      </c>
      <c r="G42" s="24"/>
      <c r="H42" s="24"/>
      <c r="I42" s="24"/>
      <c r="J42" s="24"/>
      <c r="L42" s="24"/>
      <c r="M42" s="24"/>
      <c r="N42" s="24"/>
    </row>
    <row r="43" spans="1:14" x14ac:dyDescent="0.25">
      <c r="A43" t="s">
        <v>300</v>
      </c>
      <c r="B43" t="s">
        <v>96</v>
      </c>
      <c r="C43" s="2" t="s">
        <v>213</v>
      </c>
      <c r="D43" s="24">
        <v>0</v>
      </c>
      <c r="E43" s="24">
        <v>0.12</v>
      </c>
      <c r="F43" s="24">
        <v>0.17</v>
      </c>
      <c r="G43" s="24"/>
      <c r="H43" s="24"/>
      <c r="I43" s="24"/>
      <c r="J43" s="24"/>
      <c r="L43" s="24"/>
      <c r="M43" s="24"/>
      <c r="N43" s="24"/>
    </row>
    <row r="44" spans="1:14" x14ac:dyDescent="0.25">
      <c r="A44" t="s">
        <v>301</v>
      </c>
      <c r="B44" t="s">
        <v>96</v>
      </c>
      <c r="C44" s="2" t="s">
        <v>214</v>
      </c>
      <c r="D44" s="24">
        <v>0</v>
      </c>
      <c r="E44" s="24">
        <v>0.12</v>
      </c>
      <c r="F44" s="24">
        <v>0.16</v>
      </c>
      <c r="G44" s="24"/>
      <c r="H44" s="24"/>
      <c r="I44" s="24"/>
      <c r="J44" s="24"/>
      <c r="L44" s="24"/>
      <c r="M44" s="24"/>
      <c r="N44" s="24"/>
    </row>
    <row r="45" spans="1:14" x14ac:dyDescent="0.25">
      <c r="A45" t="s">
        <v>302</v>
      </c>
      <c r="B45" t="s">
        <v>96</v>
      </c>
      <c r="C45" s="2" t="s">
        <v>267</v>
      </c>
      <c r="D45" s="24">
        <v>0</v>
      </c>
      <c r="E45" s="24">
        <v>0.11</v>
      </c>
      <c r="F45" s="24">
        <v>0.14000000000000001</v>
      </c>
      <c r="G45" s="24"/>
      <c r="H45" s="24"/>
      <c r="I45" s="24"/>
      <c r="J45" s="24"/>
      <c r="L45" s="24"/>
      <c r="M45" s="24"/>
      <c r="N45" s="24"/>
    </row>
    <row r="46" spans="1:14" x14ac:dyDescent="0.25">
      <c r="A46" t="s">
        <v>303</v>
      </c>
      <c r="B46" t="s">
        <v>96</v>
      </c>
      <c r="C46" s="2" t="s">
        <v>268</v>
      </c>
      <c r="D46" s="24">
        <v>0</v>
      </c>
      <c r="E46" s="24">
        <v>0.09</v>
      </c>
      <c r="F46" s="24">
        <v>0.13</v>
      </c>
      <c r="G46" s="24"/>
      <c r="H46" s="24"/>
      <c r="I46" s="24"/>
      <c r="J46" s="24"/>
      <c r="L46" s="24"/>
      <c r="M46" s="24"/>
      <c r="N46" s="24"/>
    </row>
    <row r="47" spans="1:14" x14ac:dyDescent="0.25">
      <c r="A47" t="s">
        <v>304</v>
      </c>
      <c r="B47" t="s">
        <v>101</v>
      </c>
      <c r="C47" s="2" t="s">
        <v>212</v>
      </c>
      <c r="D47" s="24">
        <v>0</v>
      </c>
      <c r="E47" s="24">
        <v>0.12</v>
      </c>
      <c r="F47" s="24">
        <v>0.18</v>
      </c>
      <c r="G47" s="24"/>
      <c r="H47" s="24"/>
      <c r="I47" s="24"/>
      <c r="J47" s="24"/>
      <c r="L47" s="24"/>
      <c r="M47" s="24"/>
      <c r="N47" s="24"/>
    </row>
    <row r="48" spans="1:14" x14ac:dyDescent="0.25">
      <c r="A48" t="s">
        <v>305</v>
      </c>
      <c r="B48" t="s">
        <v>101</v>
      </c>
      <c r="C48" s="2" t="s">
        <v>213</v>
      </c>
      <c r="D48" s="24">
        <v>0</v>
      </c>
      <c r="E48" s="24">
        <v>0.12</v>
      </c>
      <c r="F48" s="24">
        <v>0.17</v>
      </c>
      <c r="G48" s="24"/>
      <c r="H48" s="24"/>
      <c r="I48" s="24"/>
      <c r="J48" s="24"/>
      <c r="L48" s="24"/>
      <c r="M48" s="24"/>
      <c r="N48" s="24"/>
    </row>
    <row r="49" spans="1:14" x14ac:dyDescent="0.25">
      <c r="A49" t="s">
        <v>306</v>
      </c>
      <c r="B49" t="s">
        <v>101</v>
      </c>
      <c r="C49" s="2" t="s">
        <v>214</v>
      </c>
      <c r="D49" s="24">
        <v>0</v>
      </c>
      <c r="E49" s="24">
        <v>0.1</v>
      </c>
      <c r="F49" s="24">
        <v>0.15</v>
      </c>
      <c r="G49" s="24"/>
      <c r="H49" s="24"/>
      <c r="I49" s="24"/>
      <c r="J49" s="24"/>
      <c r="L49" s="24"/>
      <c r="M49" s="24"/>
      <c r="N49" s="24"/>
    </row>
    <row r="50" spans="1:14" x14ac:dyDescent="0.25">
      <c r="A50" t="s">
        <v>307</v>
      </c>
      <c r="B50" t="s">
        <v>101</v>
      </c>
      <c r="C50" s="2" t="s">
        <v>267</v>
      </c>
      <c r="D50" s="24">
        <v>0</v>
      </c>
      <c r="E50" s="24">
        <v>0.08</v>
      </c>
      <c r="F50" s="24">
        <v>0.12</v>
      </c>
      <c r="G50" s="24"/>
      <c r="H50" s="24"/>
      <c r="I50" s="24"/>
      <c r="J50" s="24"/>
      <c r="L50" s="24"/>
      <c r="M50" s="24"/>
      <c r="N50" s="24"/>
    </row>
    <row r="51" spans="1:14" x14ac:dyDescent="0.25">
      <c r="A51" t="s">
        <v>308</v>
      </c>
      <c r="B51" t="s">
        <v>101</v>
      </c>
      <c r="C51" s="2" t="s">
        <v>268</v>
      </c>
      <c r="D51" s="24">
        <v>0</v>
      </c>
      <c r="E51" s="24">
        <v>0.06</v>
      </c>
      <c r="F51" s="24">
        <v>0.09</v>
      </c>
      <c r="G51" s="24"/>
      <c r="H51" s="24"/>
      <c r="I51" s="24"/>
      <c r="J51" s="24"/>
      <c r="L51" s="24"/>
      <c r="M51" s="24"/>
      <c r="N51" s="24"/>
    </row>
    <row r="52" spans="1:14" x14ac:dyDescent="0.25">
      <c r="A52" t="s">
        <v>309</v>
      </c>
      <c r="B52" t="s">
        <v>97</v>
      </c>
      <c r="C52" s="2" t="s">
        <v>212</v>
      </c>
      <c r="D52" s="24">
        <v>0</v>
      </c>
      <c r="E52" s="24">
        <v>0.13</v>
      </c>
      <c r="F52" s="24">
        <v>0.17</v>
      </c>
      <c r="G52" s="24"/>
      <c r="H52" s="24"/>
      <c r="I52" s="24"/>
      <c r="J52" s="24"/>
      <c r="L52" s="24"/>
      <c r="M52" s="24"/>
      <c r="N52" s="24"/>
    </row>
    <row r="53" spans="1:14" x14ac:dyDescent="0.25">
      <c r="A53" t="s">
        <v>310</v>
      </c>
      <c r="B53" t="s">
        <v>97</v>
      </c>
      <c r="C53" s="2" t="s">
        <v>213</v>
      </c>
      <c r="D53" s="24">
        <v>0</v>
      </c>
      <c r="E53" s="24">
        <v>0.13</v>
      </c>
      <c r="F53" s="24">
        <v>0.17</v>
      </c>
      <c r="G53" s="24"/>
      <c r="H53" s="24"/>
      <c r="I53" s="24"/>
      <c r="J53" s="24"/>
      <c r="L53" s="24"/>
      <c r="M53" s="24"/>
      <c r="N53" s="24"/>
    </row>
    <row r="54" spans="1:14" x14ac:dyDescent="0.25">
      <c r="A54" t="s">
        <v>311</v>
      </c>
      <c r="B54" t="s">
        <v>97</v>
      </c>
      <c r="C54" s="2" t="s">
        <v>214</v>
      </c>
      <c r="D54" s="24">
        <v>0</v>
      </c>
      <c r="E54" s="24">
        <v>0.12</v>
      </c>
      <c r="F54" s="24">
        <v>0.16</v>
      </c>
      <c r="G54" s="24"/>
      <c r="H54" s="24"/>
      <c r="I54" s="24"/>
      <c r="J54" s="24"/>
      <c r="L54" s="24"/>
      <c r="M54" s="24"/>
      <c r="N54" s="24"/>
    </row>
    <row r="55" spans="1:14" x14ac:dyDescent="0.25">
      <c r="A55" t="s">
        <v>312</v>
      </c>
      <c r="B55" t="s">
        <v>97</v>
      </c>
      <c r="C55" s="2" t="s">
        <v>267</v>
      </c>
      <c r="D55" s="24">
        <v>0</v>
      </c>
      <c r="E55" s="24">
        <v>0.11</v>
      </c>
      <c r="F55" s="24">
        <v>0.15</v>
      </c>
      <c r="G55" s="24"/>
      <c r="H55" s="24"/>
      <c r="I55" s="24"/>
      <c r="J55" s="24"/>
      <c r="L55" s="24"/>
      <c r="M55" s="24"/>
      <c r="N55" s="24"/>
    </row>
    <row r="56" spans="1:14" x14ac:dyDescent="0.25">
      <c r="A56" t="s">
        <v>313</v>
      </c>
      <c r="B56" t="s">
        <v>97</v>
      </c>
      <c r="C56" s="2" t="s">
        <v>268</v>
      </c>
      <c r="D56" s="24">
        <v>0</v>
      </c>
      <c r="E56" s="24">
        <v>0.1</v>
      </c>
      <c r="F56" s="24">
        <v>0.13</v>
      </c>
      <c r="G56" s="24"/>
      <c r="H56" s="24"/>
      <c r="I56" s="24"/>
      <c r="J56" s="24"/>
      <c r="L56" s="24"/>
      <c r="M56" s="24"/>
      <c r="N56" s="24"/>
    </row>
    <row r="57" spans="1:14" x14ac:dyDescent="0.25">
      <c r="A57" t="s">
        <v>314</v>
      </c>
      <c r="B57" t="s">
        <v>93</v>
      </c>
      <c r="C57" s="2" t="s">
        <v>212</v>
      </c>
      <c r="D57" s="24">
        <v>0</v>
      </c>
      <c r="E57" s="24">
        <v>0.14000000000000001</v>
      </c>
      <c r="F57" s="24">
        <v>0.18</v>
      </c>
      <c r="G57" s="24"/>
      <c r="H57" s="24"/>
      <c r="I57" s="24"/>
      <c r="J57" s="24"/>
      <c r="L57" s="24"/>
      <c r="M57" s="24"/>
      <c r="N57" s="24"/>
    </row>
    <row r="58" spans="1:14" x14ac:dyDescent="0.25">
      <c r="A58" t="s">
        <v>315</v>
      </c>
      <c r="B58" t="s">
        <v>93</v>
      </c>
      <c r="C58" s="2" t="s">
        <v>213</v>
      </c>
      <c r="D58" s="24">
        <v>0</v>
      </c>
      <c r="E58" s="24">
        <v>0.13</v>
      </c>
      <c r="F58" s="24">
        <v>0.16</v>
      </c>
      <c r="G58" s="24"/>
      <c r="H58" s="24"/>
      <c r="I58" s="24"/>
      <c r="J58" s="24"/>
      <c r="L58" s="24"/>
      <c r="M58" s="24"/>
      <c r="N58" s="24"/>
    </row>
    <row r="59" spans="1:14" x14ac:dyDescent="0.25">
      <c r="A59" t="s">
        <v>316</v>
      </c>
      <c r="B59" t="s">
        <v>93</v>
      </c>
      <c r="C59" s="2" t="s">
        <v>214</v>
      </c>
      <c r="D59" s="24">
        <v>0</v>
      </c>
      <c r="E59" s="24">
        <v>0.12</v>
      </c>
      <c r="F59" s="24">
        <v>0.16</v>
      </c>
      <c r="G59" s="24"/>
      <c r="H59" s="24"/>
      <c r="I59" s="24"/>
      <c r="J59" s="24"/>
      <c r="L59" s="24"/>
      <c r="M59" s="24"/>
      <c r="N59" s="24"/>
    </row>
    <row r="60" spans="1:14" x14ac:dyDescent="0.25">
      <c r="A60" t="s">
        <v>317</v>
      </c>
      <c r="B60" t="s">
        <v>93</v>
      </c>
      <c r="C60" s="2" t="s">
        <v>267</v>
      </c>
      <c r="D60" s="24">
        <v>0</v>
      </c>
      <c r="E60" s="24">
        <v>0.11</v>
      </c>
      <c r="F60" s="24">
        <v>0.15</v>
      </c>
      <c r="G60" s="24"/>
      <c r="H60" s="24"/>
      <c r="I60" s="24"/>
      <c r="J60" s="24"/>
      <c r="L60" s="24"/>
      <c r="M60" s="24"/>
      <c r="N60" s="24"/>
    </row>
    <row r="61" spans="1:14" x14ac:dyDescent="0.25">
      <c r="A61" t="s">
        <v>318</v>
      </c>
      <c r="B61" t="s">
        <v>93</v>
      </c>
      <c r="C61" s="2" t="s">
        <v>268</v>
      </c>
      <c r="D61" s="24">
        <v>0</v>
      </c>
      <c r="E61" s="24">
        <v>0.09</v>
      </c>
      <c r="F61" s="24">
        <v>0.13</v>
      </c>
      <c r="G61" s="24"/>
      <c r="H61" s="24"/>
      <c r="I61" s="24"/>
      <c r="J61" s="24"/>
      <c r="L61" s="24"/>
      <c r="M61" s="24"/>
      <c r="N61" s="24"/>
    </row>
    <row r="62" spans="1:14" x14ac:dyDescent="0.25">
      <c r="A62" t="s">
        <v>319</v>
      </c>
      <c r="B62" t="s">
        <v>105</v>
      </c>
      <c r="C62" s="2" t="s">
        <v>212</v>
      </c>
      <c r="D62" s="24">
        <v>0</v>
      </c>
      <c r="E62" s="24">
        <v>0.13</v>
      </c>
      <c r="F62" s="24">
        <v>0.18</v>
      </c>
      <c r="G62" s="24"/>
      <c r="H62" s="24"/>
      <c r="I62" s="24"/>
      <c r="J62" s="24"/>
      <c r="L62" s="24"/>
      <c r="M62" s="24"/>
      <c r="N62" s="24"/>
    </row>
    <row r="63" spans="1:14" x14ac:dyDescent="0.25">
      <c r="A63" t="s">
        <v>320</v>
      </c>
      <c r="B63" t="s">
        <v>105</v>
      </c>
      <c r="C63" s="2" t="s">
        <v>213</v>
      </c>
      <c r="D63" s="24">
        <v>0</v>
      </c>
      <c r="E63" s="24">
        <v>0.12</v>
      </c>
      <c r="F63" s="24">
        <v>0.17</v>
      </c>
      <c r="G63" s="24"/>
      <c r="H63" s="24"/>
      <c r="I63" s="24"/>
      <c r="J63" s="24"/>
      <c r="L63" s="24"/>
      <c r="M63" s="24"/>
      <c r="N63" s="24"/>
    </row>
    <row r="64" spans="1:14" x14ac:dyDescent="0.25">
      <c r="A64" t="s">
        <v>321</v>
      </c>
      <c r="B64" t="s">
        <v>105</v>
      </c>
      <c r="C64" s="2" t="s">
        <v>214</v>
      </c>
      <c r="D64" s="24">
        <v>0</v>
      </c>
      <c r="E64" s="24">
        <v>0.11</v>
      </c>
      <c r="F64" s="24">
        <v>0.16</v>
      </c>
      <c r="G64" s="24"/>
      <c r="H64" s="24"/>
      <c r="I64" s="24"/>
      <c r="J64" s="24"/>
      <c r="L64" s="24"/>
      <c r="M64" s="24"/>
      <c r="N64" s="24"/>
    </row>
    <row r="65" spans="1:14" x14ac:dyDescent="0.25">
      <c r="A65" t="s">
        <v>322</v>
      </c>
      <c r="B65" t="s">
        <v>105</v>
      </c>
      <c r="C65" s="2" t="s">
        <v>267</v>
      </c>
      <c r="D65" s="24">
        <v>0</v>
      </c>
      <c r="E65" s="24">
        <v>0.1</v>
      </c>
      <c r="F65" s="24">
        <v>0.16</v>
      </c>
      <c r="G65" s="24"/>
      <c r="H65" s="24"/>
      <c r="I65" s="24"/>
      <c r="J65" s="24"/>
      <c r="L65" s="24"/>
      <c r="M65" s="24"/>
      <c r="N65" s="24"/>
    </row>
    <row r="66" spans="1:14" x14ac:dyDescent="0.25">
      <c r="A66" t="s">
        <v>323</v>
      </c>
      <c r="B66" t="s">
        <v>105</v>
      </c>
      <c r="C66" s="2" t="s">
        <v>268</v>
      </c>
      <c r="D66" s="24">
        <v>0</v>
      </c>
      <c r="E66" s="24">
        <v>0.09</v>
      </c>
      <c r="F66" s="24">
        <v>0.14000000000000001</v>
      </c>
      <c r="G66" s="24"/>
      <c r="H66" s="24"/>
      <c r="I66" s="24"/>
      <c r="J66" s="24"/>
      <c r="L66" s="24"/>
      <c r="M66" s="24"/>
      <c r="N66" s="24"/>
    </row>
    <row r="67" spans="1:14" x14ac:dyDescent="0.25">
      <c r="A67" t="s">
        <v>324</v>
      </c>
      <c r="B67" t="s">
        <v>92</v>
      </c>
      <c r="C67" s="2" t="s">
        <v>212</v>
      </c>
      <c r="D67" s="24">
        <v>0</v>
      </c>
      <c r="E67" s="24">
        <v>0.09</v>
      </c>
      <c r="F67" s="24">
        <v>0.13</v>
      </c>
      <c r="G67" s="24"/>
      <c r="H67" s="24"/>
      <c r="I67" s="24"/>
      <c r="J67" s="24"/>
      <c r="L67" s="24"/>
      <c r="M67" s="24"/>
      <c r="N67" s="24"/>
    </row>
    <row r="68" spans="1:14" x14ac:dyDescent="0.25">
      <c r="A68" t="s">
        <v>325</v>
      </c>
      <c r="B68" t="s">
        <v>92</v>
      </c>
      <c r="C68" s="2" t="s">
        <v>213</v>
      </c>
      <c r="D68" s="24">
        <v>0</v>
      </c>
      <c r="E68" s="24">
        <v>7.0000000000000007E-2</v>
      </c>
      <c r="F68" s="24">
        <v>0.12</v>
      </c>
      <c r="G68" s="24"/>
      <c r="H68" s="24"/>
      <c r="I68" s="24"/>
      <c r="J68" s="24"/>
      <c r="L68" s="24"/>
      <c r="M68" s="24"/>
      <c r="N68" s="24"/>
    </row>
    <row r="69" spans="1:14" x14ac:dyDescent="0.25">
      <c r="A69" t="s">
        <v>326</v>
      </c>
      <c r="B69" t="s">
        <v>92</v>
      </c>
      <c r="C69" s="2" t="s">
        <v>214</v>
      </c>
      <c r="D69" s="24">
        <v>0</v>
      </c>
      <c r="E69" s="24">
        <v>7.0000000000000007E-2</v>
      </c>
      <c r="F69" s="24">
        <v>0.11</v>
      </c>
      <c r="G69" s="24"/>
      <c r="H69" s="24"/>
      <c r="I69" s="24"/>
      <c r="J69" s="24"/>
      <c r="L69" s="24"/>
      <c r="M69" s="24"/>
      <c r="N69" s="24"/>
    </row>
    <row r="70" spans="1:14" x14ac:dyDescent="0.25">
      <c r="A70" t="s">
        <v>327</v>
      </c>
      <c r="B70" t="s">
        <v>92</v>
      </c>
      <c r="C70" s="2" t="s">
        <v>267</v>
      </c>
      <c r="D70" s="24">
        <v>0</v>
      </c>
      <c r="E70" s="24">
        <v>0.06</v>
      </c>
      <c r="F70" s="24">
        <v>0.11</v>
      </c>
      <c r="G70" s="24"/>
      <c r="H70" s="24"/>
      <c r="I70" s="24"/>
      <c r="J70" s="24"/>
      <c r="L70" s="24"/>
      <c r="M70" s="24"/>
      <c r="N70" s="24"/>
    </row>
    <row r="71" spans="1:14" x14ac:dyDescent="0.25">
      <c r="A71" t="s">
        <v>328</v>
      </c>
      <c r="B71" t="s">
        <v>92</v>
      </c>
      <c r="C71" s="2" t="s">
        <v>268</v>
      </c>
      <c r="D71" s="24">
        <v>0</v>
      </c>
      <c r="E71" s="24">
        <v>0.06</v>
      </c>
      <c r="F71" s="24">
        <v>0.1</v>
      </c>
      <c r="G71" s="24"/>
      <c r="H71" s="24"/>
      <c r="I71" s="24"/>
      <c r="J71" s="24"/>
      <c r="L71" s="24"/>
      <c r="M71" s="24"/>
      <c r="N71" s="24"/>
    </row>
    <row r="72" spans="1:14" x14ac:dyDescent="0.25">
      <c r="A72" t="s">
        <v>329</v>
      </c>
      <c r="B72" t="s">
        <v>91</v>
      </c>
      <c r="C72" s="2" t="s">
        <v>212</v>
      </c>
      <c r="D72" s="24">
        <v>0</v>
      </c>
      <c r="E72" s="24">
        <v>0.11</v>
      </c>
      <c r="F72" s="24">
        <v>0.16</v>
      </c>
      <c r="G72" s="24"/>
      <c r="H72" s="24"/>
      <c r="I72" s="24"/>
      <c r="J72" s="24"/>
      <c r="L72" s="24"/>
      <c r="M72" s="24"/>
      <c r="N72" s="24"/>
    </row>
    <row r="73" spans="1:14" x14ac:dyDescent="0.25">
      <c r="A73" t="s">
        <v>330</v>
      </c>
      <c r="B73" t="s">
        <v>91</v>
      </c>
      <c r="C73" s="2" t="s">
        <v>213</v>
      </c>
      <c r="D73" s="24">
        <v>0</v>
      </c>
      <c r="E73" s="24">
        <v>0.1</v>
      </c>
      <c r="F73" s="24">
        <v>0.15</v>
      </c>
      <c r="G73" s="24"/>
      <c r="H73" s="24"/>
      <c r="I73" s="24"/>
      <c r="J73" s="24"/>
      <c r="L73" s="24"/>
      <c r="M73" s="24"/>
      <c r="N73" s="24"/>
    </row>
    <row r="74" spans="1:14" x14ac:dyDescent="0.25">
      <c r="A74" t="s">
        <v>331</v>
      </c>
      <c r="B74" t="s">
        <v>91</v>
      </c>
      <c r="C74" s="2" t="s">
        <v>214</v>
      </c>
      <c r="D74" s="24">
        <v>0</v>
      </c>
      <c r="E74" s="24">
        <v>0.09</v>
      </c>
      <c r="F74" s="24">
        <v>0.14000000000000001</v>
      </c>
      <c r="G74" s="24"/>
      <c r="H74" s="24"/>
      <c r="I74" s="24"/>
      <c r="J74" s="24"/>
      <c r="L74" s="24"/>
      <c r="M74" s="24"/>
      <c r="N74" s="24"/>
    </row>
    <row r="75" spans="1:14" x14ac:dyDescent="0.25">
      <c r="A75" t="s">
        <v>332</v>
      </c>
      <c r="B75" t="s">
        <v>91</v>
      </c>
      <c r="C75" s="2" t="s">
        <v>267</v>
      </c>
      <c r="D75" s="24">
        <v>0</v>
      </c>
      <c r="E75" s="24">
        <v>0.09</v>
      </c>
      <c r="F75" s="24">
        <v>0.13</v>
      </c>
      <c r="G75" s="24"/>
      <c r="H75" s="24"/>
      <c r="I75" s="24"/>
      <c r="J75" s="24"/>
      <c r="L75" s="24"/>
      <c r="M75" s="24"/>
      <c r="N75" s="24"/>
    </row>
    <row r="76" spans="1:14" x14ac:dyDescent="0.25">
      <c r="A76" t="s">
        <v>333</v>
      </c>
      <c r="B76" t="s">
        <v>91</v>
      </c>
      <c r="C76" s="2" t="s">
        <v>268</v>
      </c>
      <c r="D76" s="24">
        <v>0</v>
      </c>
      <c r="E76" s="24">
        <v>7.0000000000000007E-2</v>
      </c>
      <c r="F76" s="24">
        <v>0.09</v>
      </c>
      <c r="G76" s="24"/>
      <c r="H76" s="24"/>
      <c r="I76" s="24"/>
      <c r="J76" s="24"/>
      <c r="L76" s="24"/>
      <c r="M76" s="24"/>
      <c r="N76" s="24"/>
    </row>
    <row r="77" spans="1:14" x14ac:dyDescent="0.25">
      <c r="A77" t="s">
        <v>334</v>
      </c>
      <c r="B77" t="s">
        <v>90</v>
      </c>
      <c r="C77" s="2" t="s">
        <v>212</v>
      </c>
      <c r="D77" s="24">
        <v>0</v>
      </c>
      <c r="E77" s="24">
        <v>0.08</v>
      </c>
      <c r="F77" s="24">
        <v>0.11</v>
      </c>
      <c r="G77" s="24"/>
      <c r="H77" s="24"/>
      <c r="I77" s="24"/>
      <c r="J77" s="24"/>
      <c r="L77" s="24"/>
      <c r="M77" s="24"/>
      <c r="N77" s="24"/>
    </row>
    <row r="78" spans="1:14" x14ac:dyDescent="0.25">
      <c r="A78" t="s">
        <v>335</v>
      </c>
      <c r="B78" t="s">
        <v>90</v>
      </c>
      <c r="C78" s="2" t="s">
        <v>213</v>
      </c>
      <c r="D78" s="24">
        <v>0</v>
      </c>
      <c r="E78" s="24">
        <v>7.0000000000000007E-2</v>
      </c>
      <c r="F78" s="24">
        <v>0.11</v>
      </c>
      <c r="G78" s="24"/>
      <c r="H78" s="24"/>
      <c r="I78" s="24"/>
      <c r="J78" s="24"/>
      <c r="L78" s="24"/>
      <c r="M78" s="24"/>
      <c r="N78" s="24"/>
    </row>
    <row r="79" spans="1:14" x14ac:dyDescent="0.25">
      <c r="A79" t="s">
        <v>336</v>
      </c>
      <c r="B79" t="s">
        <v>90</v>
      </c>
      <c r="C79" s="2" t="s">
        <v>214</v>
      </c>
      <c r="D79" s="24">
        <v>0</v>
      </c>
      <c r="E79" s="24">
        <v>7.0000000000000007E-2</v>
      </c>
      <c r="F79" s="24">
        <v>0.09</v>
      </c>
      <c r="G79" s="24"/>
      <c r="H79" s="24"/>
      <c r="I79" s="24"/>
      <c r="J79" s="24"/>
      <c r="L79" s="24"/>
      <c r="M79" s="24"/>
      <c r="N79" s="24"/>
    </row>
    <row r="80" spans="1:14" x14ac:dyDescent="0.25">
      <c r="A80" t="s">
        <v>337</v>
      </c>
      <c r="B80" t="s">
        <v>90</v>
      </c>
      <c r="C80" s="2" t="s">
        <v>267</v>
      </c>
      <c r="D80" s="24">
        <v>0</v>
      </c>
      <c r="E80" s="24">
        <v>0.06</v>
      </c>
      <c r="F80" s="24">
        <v>0.08</v>
      </c>
      <c r="G80" s="24"/>
      <c r="H80" s="24"/>
      <c r="I80" s="24"/>
      <c r="J80" s="24"/>
      <c r="L80" s="24"/>
      <c r="M80" s="24"/>
      <c r="N80" s="24"/>
    </row>
    <row r="81" spans="1:14" x14ac:dyDescent="0.25">
      <c r="A81" t="s">
        <v>338</v>
      </c>
      <c r="B81" t="s">
        <v>90</v>
      </c>
      <c r="C81" s="2" t="s">
        <v>268</v>
      </c>
      <c r="D81" s="24">
        <v>0</v>
      </c>
      <c r="E81" s="24">
        <v>0.04</v>
      </c>
      <c r="F81" s="24">
        <v>0.06</v>
      </c>
      <c r="G81" s="24"/>
      <c r="H81" s="24"/>
      <c r="I81" s="24"/>
      <c r="J81" s="24"/>
      <c r="L81" s="24"/>
      <c r="M81" s="24"/>
      <c r="N81" s="24"/>
    </row>
    <row r="82" spans="1:14" x14ac:dyDescent="0.25">
      <c r="A82" t="s">
        <v>339</v>
      </c>
      <c r="B82" t="s">
        <v>89</v>
      </c>
      <c r="C82" s="2" t="s">
        <v>212</v>
      </c>
      <c r="D82" s="24">
        <v>0</v>
      </c>
      <c r="E82" s="24">
        <v>0.12</v>
      </c>
      <c r="F82" s="24">
        <v>0.17</v>
      </c>
      <c r="G82" s="24"/>
      <c r="H82" s="24"/>
      <c r="I82" s="24"/>
      <c r="J82" s="24"/>
      <c r="L82" s="24"/>
      <c r="M82" s="24"/>
      <c r="N82" s="24"/>
    </row>
    <row r="83" spans="1:14" x14ac:dyDescent="0.25">
      <c r="A83" t="s">
        <v>340</v>
      </c>
      <c r="B83" t="s">
        <v>89</v>
      </c>
      <c r="C83" s="2" t="s">
        <v>213</v>
      </c>
      <c r="D83" s="24">
        <v>0</v>
      </c>
      <c r="E83" s="24">
        <v>0.12</v>
      </c>
      <c r="F83" s="24">
        <v>0.16</v>
      </c>
      <c r="G83" s="24"/>
      <c r="H83" s="24"/>
      <c r="I83" s="24"/>
      <c r="J83" s="24"/>
      <c r="L83" s="24"/>
      <c r="M83" s="24"/>
      <c r="N83" s="24"/>
    </row>
    <row r="84" spans="1:14" x14ac:dyDescent="0.25">
      <c r="A84" t="s">
        <v>341</v>
      </c>
      <c r="B84" t="s">
        <v>89</v>
      </c>
      <c r="C84" s="2" t="s">
        <v>214</v>
      </c>
      <c r="D84" s="24">
        <v>0</v>
      </c>
      <c r="E84" s="24">
        <v>0.11</v>
      </c>
      <c r="F84" s="24">
        <v>0.16</v>
      </c>
      <c r="G84" s="24"/>
      <c r="H84" s="24"/>
      <c r="I84" s="24"/>
      <c r="J84" s="24"/>
      <c r="L84" s="24"/>
      <c r="M84" s="24"/>
      <c r="N84" s="24"/>
    </row>
    <row r="85" spans="1:14" x14ac:dyDescent="0.25">
      <c r="A85" t="s">
        <v>342</v>
      </c>
      <c r="B85" t="s">
        <v>89</v>
      </c>
      <c r="C85" s="2" t="s">
        <v>267</v>
      </c>
      <c r="D85" s="24">
        <v>0</v>
      </c>
      <c r="E85" s="24">
        <v>0.11</v>
      </c>
      <c r="F85" s="24">
        <v>0.15</v>
      </c>
      <c r="G85" s="24"/>
      <c r="H85" s="24"/>
      <c r="I85" s="24"/>
      <c r="J85" s="24"/>
      <c r="L85" s="24"/>
      <c r="M85" s="24"/>
      <c r="N85" s="24"/>
    </row>
    <row r="86" spans="1:14" x14ac:dyDescent="0.25">
      <c r="A86" t="s">
        <v>343</v>
      </c>
      <c r="B86" t="s">
        <v>89</v>
      </c>
      <c r="C86" s="2" t="s">
        <v>268</v>
      </c>
      <c r="D86" s="24">
        <v>0</v>
      </c>
      <c r="E86" s="24">
        <v>0.1</v>
      </c>
      <c r="F86" s="24">
        <v>0.14000000000000001</v>
      </c>
      <c r="G86" s="24"/>
      <c r="H86" s="24"/>
      <c r="I86" s="24"/>
      <c r="J86" s="24"/>
      <c r="L86" s="24"/>
      <c r="M86" s="24"/>
      <c r="N86" s="24"/>
    </row>
    <row r="87" spans="1:14" x14ac:dyDescent="0.25">
      <c r="A87" t="s">
        <v>344</v>
      </c>
      <c r="B87" t="s">
        <v>94</v>
      </c>
      <c r="C87" s="2" t="s">
        <v>212</v>
      </c>
      <c r="D87" s="24">
        <v>0</v>
      </c>
      <c r="E87" s="24">
        <v>0.13</v>
      </c>
      <c r="F87" s="24">
        <v>0.16</v>
      </c>
      <c r="G87" s="24"/>
      <c r="H87" s="24"/>
      <c r="I87" s="24"/>
      <c r="J87" s="24"/>
      <c r="L87" s="24"/>
      <c r="M87" s="24"/>
      <c r="N87" s="24"/>
    </row>
    <row r="88" spans="1:14" x14ac:dyDescent="0.25">
      <c r="A88" t="s">
        <v>345</v>
      </c>
      <c r="B88" t="s">
        <v>94</v>
      </c>
      <c r="C88" s="2" t="s">
        <v>213</v>
      </c>
      <c r="D88" s="24">
        <v>0</v>
      </c>
      <c r="E88" s="24">
        <v>0.12</v>
      </c>
      <c r="F88" s="24">
        <v>0.15</v>
      </c>
      <c r="G88" s="24"/>
      <c r="H88" s="24"/>
      <c r="I88" s="24"/>
      <c r="J88" s="24"/>
      <c r="L88" s="24"/>
      <c r="M88" s="24"/>
      <c r="N88" s="24"/>
    </row>
    <row r="89" spans="1:14" x14ac:dyDescent="0.25">
      <c r="A89" t="s">
        <v>346</v>
      </c>
      <c r="B89" t="s">
        <v>94</v>
      </c>
      <c r="C89" s="2" t="s">
        <v>214</v>
      </c>
      <c r="D89" s="24">
        <v>0</v>
      </c>
      <c r="E89" s="24">
        <v>0.11</v>
      </c>
      <c r="F89" s="24">
        <v>0.13</v>
      </c>
      <c r="G89" s="24"/>
      <c r="H89" s="24"/>
      <c r="I89" s="24"/>
      <c r="J89" s="24"/>
      <c r="L89" s="24"/>
      <c r="M89" s="24"/>
      <c r="N89" s="24"/>
    </row>
    <row r="90" spans="1:14" x14ac:dyDescent="0.25">
      <c r="A90" t="s">
        <v>347</v>
      </c>
      <c r="B90" t="s">
        <v>94</v>
      </c>
      <c r="C90" s="2" t="s">
        <v>267</v>
      </c>
      <c r="D90" s="24">
        <v>0</v>
      </c>
      <c r="E90" s="24">
        <v>0.11</v>
      </c>
      <c r="F90" s="24">
        <v>0.13</v>
      </c>
      <c r="G90" s="24"/>
      <c r="H90" s="24"/>
      <c r="I90" s="24"/>
      <c r="J90" s="24"/>
      <c r="L90" s="24"/>
      <c r="M90" s="24"/>
      <c r="N90" s="24"/>
    </row>
    <row r="91" spans="1:14" x14ac:dyDescent="0.25">
      <c r="A91" t="s">
        <v>348</v>
      </c>
      <c r="B91" t="s">
        <v>94</v>
      </c>
      <c r="C91" s="2" t="s">
        <v>268</v>
      </c>
      <c r="D91" s="24">
        <v>0</v>
      </c>
      <c r="E91" s="24">
        <v>0.09</v>
      </c>
      <c r="F91" s="24">
        <v>0.12</v>
      </c>
      <c r="G91" s="24"/>
      <c r="H91" s="24"/>
      <c r="I91" s="24"/>
      <c r="J91" s="24"/>
      <c r="L91" s="24"/>
      <c r="M91" s="24"/>
      <c r="N91" s="24"/>
    </row>
    <row r="92" spans="1:14" x14ac:dyDescent="0.25">
      <c r="A92" t="s">
        <v>349</v>
      </c>
      <c r="B92" t="s">
        <v>86</v>
      </c>
      <c r="C92" s="2" t="s">
        <v>212</v>
      </c>
      <c r="D92" s="24">
        <v>0</v>
      </c>
      <c r="E92" s="24">
        <v>0.12</v>
      </c>
      <c r="F92" s="24">
        <v>0.17</v>
      </c>
      <c r="G92" s="24"/>
      <c r="H92" s="24"/>
      <c r="I92" s="24"/>
      <c r="J92" s="24"/>
      <c r="L92" s="24"/>
      <c r="M92" s="24"/>
      <c r="N92" s="24"/>
    </row>
    <row r="93" spans="1:14" x14ac:dyDescent="0.25">
      <c r="A93" t="s">
        <v>350</v>
      </c>
      <c r="B93" t="s">
        <v>86</v>
      </c>
      <c r="C93" s="2" t="s">
        <v>213</v>
      </c>
      <c r="D93" s="24">
        <v>0</v>
      </c>
      <c r="E93" s="24">
        <v>0.12</v>
      </c>
      <c r="F93" s="24">
        <v>0.16</v>
      </c>
      <c r="G93" s="24"/>
      <c r="H93" s="24"/>
      <c r="I93" s="24"/>
      <c r="J93" s="24"/>
      <c r="L93" s="24"/>
      <c r="M93" s="24"/>
      <c r="N93" s="24"/>
    </row>
    <row r="94" spans="1:14" x14ac:dyDescent="0.25">
      <c r="A94" t="s">
        <v>351</v>
      </c>
      <c r="B94" t="s">
        <v>86</v>
      </c>
      <c r="C94" s="2" t="s">
        <v>214</v>
      </c>
      <c r="D94" s="24">
        <v>0</v>
      </c>
      <c r="E94" s="24">
        <v>0.11</v>
      </c>
      <c r="F94" s="24">
        <v>0.16</v>
      </c>
      <c r="G94" s="24"/>
      <c r="H94" s="24"/>
      <c r="I94" s="24"/>
      <c r="J94" s="24"/>
      <c r="L94" s="24"/>
      <c r="M94" s="24"/>
      <c r="N94" s="24"/>
    </row>
    <row r="95" spans="1:14" x14ac:dyDescent="0.25">
      <c r="A95" t="s">
        <v>352</v>
      </c>
      <c r="B95" t="s">
        <v>86</v>
      </c>
      <c r="C95" s="2" t="s">
        <v>267</v>
      </c>
      <c r="D95" s="24">
        <v>0</v>
      </c>
      <c r="E95" s="24">
        <v>0.1</v>
      </c>
      <c r="F95" s="24">
        <v>0.15</v>
      </c>
      <c r="G95" s="24"/>
      <c r="H95" s="24"/>
      <c r="I95" s="24"/>
      <c r="J95" s="24"/>
      <c r="L95" s="24"/>
      <c r="M95" s="24"/>
      <c r="N95" s="24"/>
    </row>
    <row r="96" spans="1:14" x14ac:dyDescent="0.25">
      <c r="A96" t="s">
        <v>353</v>
      </c>
      <c r="B96" t="s">
        <v>86</v>
      </c>
      <c r="C96" s="2" t="s">
        <v>268</v>
      </c>
      <c r="D96" s="24">
        <v>0</v>
      </c>
      <c r="E96" s="24">
        <v>0.08</v>
      </c>
      <c r="F96" s="24">
        <v>0.13</v>
      </c>
      <c r="G96" s="24"/>
      <c r="H96" s="24"/>
      <c r="I96" s="24"/>
      <c r="J96" s="24"/>
      <c r="L96" s="24"/>
      <c r="M96" s="24"/>
      <c r="N96" s="24"/>
    </row>
    <row r="97" spans="1:14" x14ac:dyDescent="0.25">
      <c r="A97" t="s">
        <v>354</v>
      </c>
      <c r="B97" t="s">
        <v>88</v>
      </c>
      <c r="C97" s="2" t="s">
        <v>212</v>
      </c>
      <c r="D97" s="24">
        <v>0</v>
      </c>
      <c r="E97" s="24">
        <v>0.09</v>
      </c>
      <c r="F97" s="24">
        <v>0.13</v>
      </c>
      <c r="G97" s="24"/>
      <c r="H97" s="24"/>
      <c r="I97" s="24"/>
      <c r="J97" s="24"/>
      <c r="L97" s="24"/>
      <c r="M97" s="24"/>
      <c r="N97" s="24"/>
    </row>
    <row r="98" spans="1:14" x14ac:dyDescent="0.25">
      <c r="A98" t="s">
        <v>355</v>
      </c>
      <c r="B98" t="s">
        <v>88</v>
      </c>
      <c r="C98" s="2" t="s">
        <v>213</v>
      </c>
      <c r="D98" s="24">
        <v>0</v>
      </c>
      <c r="E98" s="24">
        <v>0.08</v>
      </c>
      <c r="F98" s="24">
        <v>0.11</v>
      </c>
      <c r="G98" s="24"/>
      <c r="H98" s="24"/>
      <c r="I98" s="24"/>
      <c r="J98" s="24"/>
      <c r="L98" s="24"/>
      <c r="M98" s="24"/>
      <c r="N98" s="24"/>
    </row>
    <row r="99" spans="1:14" x14ac:dyDescent="0.25">
      <c r="A99" t="s">
        <v>356</v>
      </c>
      <c r="B99" t="s">
        <v>88</v>
      </c>
      <c r="C99" s="2" t="s">
        <v>214</v>
      </c>
      <c r="D99" s="24">
        <v>0</v>
      </c>
      <c r="E99" s="24">
        <v>0.08</v>
      </c>
      <c r="F99" s="24">
        <v>0.11</v>
      </c>
      <c r="G99" s="24"/>
      <c r="H99" s="24"/>
      <c r="I99" s="24"/>
      <c r="J99" s="24"/>
      <c r="L99" s="24"/>
      <c r="M99" s="24"/>
      <c r="N99" s="24"/>
    </row>
    <row r="100" spans="1:14" x14ac:dyDescent="0.25">
      <c r="A100" t="s">
        <v>357</v>
      </c>
      <c r="B100" t="s">
        <v>88</v>
      </c>
      <c r="C100" s="2" t="s">
        <v>267</v>
      </c>
      <c r="D100" s="24">
        <v>0</v>
      </c>
      <c r="E100" s="24">
        <v>7.0000000000000007E-2</v>
      </c>
      <c r="F100" s="24">
        <v>0.09</v>
      </c>
      <c r="G100" s="24"/>
      <c r="H100" s="24"/>
      <c r="I100" s="24"/>
      <c r="J100" s="24"/>
      <c r="L100" s="24"/>
      <c r="M100" s="24"/>
      <c r="N100" s="24"/>
    </row>
    <row r="101" spans="1:14" x14ac:dyDescent="0.25">
      <c r="A101" t="s">
        <v>358</v>
      </c>
      <c r="B101" t="s">
        <v>88</v>
      </c>
      <c r="C101" s="2" t="s">
        <v>268</v>
      </c>
      <c r="D101" s="24">
        <v>0</v>
      </c>
      <c r="E101" s="24">
        <v>0.05</v>
      </c>
      <c r="F101" s="24">
        <v>7.0000000000000007E-2</v>
      </c>
      <c r="G101" s="24"/>
      <c r="H101" s="24"/>
      <c r="I101" s="24"/>
      <c r="J101" s="24"/>
      <c r="L101" s="24"/>
      <c r="M101" s="24"/>
      <c r="N101" s="24"/>
    </row>
    <row r="102" spans="1:14" x14ac:dyDescent="0.25">
      <c r="A102" t="s">
        <v>359</v>
      </c>
      <c r="B102" t="s">
        <v>87</v>
      </c>
      <c r="C102" s="2" t="s">
        <v>212</v>
      </c>
      <c r="D102" s="24">
        <v>0</v>
      </c>
      <c r="E102" s="24">
        <v>0.1</v>
      </c>
      <c r="F102" s="24">
        <v>0.11</v>
      </c>
      <c r="G102" s="24"/>
      <c r="H102" s="24"/>
      <c r="I102" s="24"/>
      <c r="J102" s="24"/>
      <c r="L102" s="24"/>
      <c r="M102" s="24"/>
      <c r="N102" s="24"/>
    </row>
    <row r="103" spans="1:14" x14ac:dyDescent="0.25">
      <c r="A103" t="s">
        <v>360</v>
      </c>
      <c r="B103" t="s">
        <v>87</v>
      </c>
      <c r="C103" s="2" t="s">
        <v>213</v>
      </c>
      <c r="D103" s="24">
        <v>0</v>
      </c>
      <c r="E103" s="24">
        <v>0.09</v>
      </c>
      <c r="F103" s="24">
        <v>0.11</v>
      </c>
      <c r="G103" s="24"/>
      <c r="H103" s="24"/>
      <c r="I103" s="24"/>
      <c r="J103" s="24"/>
      <c r="L103" s="24"/>
      <c r="M103" s="24"/>
      <c r="N103" s="24"/>
    </row>
    <row r="104" spans="1:14" x14ac:dyDescent="0.25">
      <c r="A104" t="s">
        <v>361</v>
      </c>
      <c r="B104" t="s">
        <v>87</v>
      </c>
      <c r="C104" s="2" t="s">
        <v>214</v>
      </c>
      <c r="D104" s="24">
        <v>0</v>
      </c>
      <c r="E104" s="24">
        <v>0.08</v>
      </c>
      <c r="F104" s="24">
        <v>0.1</v>
      </c>
      <c r="G104" s="24"/>
      <c r="H104" s="24"/>
      <c r="I104" s="24"/>
      <c r="J104" s="24"/>
      <c r="L104" s="24"/>
      <c r="M104" s="24"/>
      <c r="N104" s="24"/>
    </row>
    <row r="105" spans="1:14" x14ac:dyDescent="0.25">
      <c r="A105" t="s">
        <v>362</v>
      </c>
      <c r="B105" t="s">
        <v>87</v>
      </c>
      <c r="C105" s="2" t="s">
        <v>267</v>
      </c>
      <c r="D105" s="24">
        <v>0</v>
      </c>
      <c r="E105" s="24">
        <v>7.0000000000000007E-2</v>
      </c>
      <c r="F105" s="24">
        <v>0.09</v>
      </c>
      <c r="G105" s="24"/>
      <c r="H105" s="24"/>
      <c r="I105" s="24"/>
      <c r="J105" s="24"/>
      <c r="L105" s="24"/>
      <c r="M105" s="24"/>
      <c r="N105" s="24"/>
    </row>
    <row r="106" spans="1:14" x14ac:dyDescent="0.25">
      <c r="A106" t="s">
        <v>363</v>
      </c>
      <c r="B106" t="s">
        <v>87</v>
      </c>
      <c r="C106" s="2" t="s">
        <v>268</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453</v>
      </c>
      <c r="B1" t="s">
        <v>123</v>
      </c>
      <c r="C1" t="s">
        <v>124</v>
      </c>
      <c r="D1" t="s">
        <v>458</v>
      </c>
      <c r="E1" s="3" t="s">
        <v>455</v>
      </c>
      <c r="F1" s="3" t="e">
        <f>IF(#REF!="NEW CUSTOMER","Select Drops/Wk","")</f>
        <v>#REF!</v>
      </c>
      <c r="G1" s="14" t="s">
        <v>203</v>
      </c>
      <c r="H1" s="14" t="str">
        <f>""</f>
        <v/>
      </c>
      <c r="I1" s="14" t="s">
        <v>203</v>
      </c>
      <c r="J1" s="14" t="str">
        <f>""</f>
        <v/>
      </c>
      <c r="K1" s="14" t="str">
        <f>""</f>
        <v/>
      </c>
      <c r="L1" t="s">
        <v>201</v>
      </c>
      <c r="M1" s="14" t="s">
        <v>211</v>
      </c>
      <c r="N1" s="14" t="s">
        <v>964</v>
      </c>
      <c r="O1" s="14" t="s">
        <v>529</v>
      </c>
      <c r="P1" t="s">
        <v>240</v>
      </c>
      <c r="Q1" t="s">
        <v>232</v>
      </c>
      <c r="R1" t="s">
        <v>459</v>
      </c>
      <c r="S1" t="s">
        <v>250</v>
      </c>
      <c r="T1" t="s">
        <v>251</v>
      </c>
      <c r="U1" t="s">
        <v>252</v>
      </c>
      <c r="V1" t="s">
        <v>253</v>
      </c>
      <c r="W1" t="s">
        <v>251</v>
      </c>
      <c r="X1" t="s">
        <v>252</v>
      </c>
      <c r="Z1" t="s">
        <v>454</v>
      </c>
      <c r="AA1" t="s">
        <v>457</v>
      </c>
      <c r="AB1" t="s">
        <v>456</v>
      </c>
      <c r="AD1" t="s">
        <v>499</v>
      </c>
      <c r="AE1" t="s">
        <v>500</v>
      </c>
      <c r="AF1" t="s">
        <v>519</v>
      </c>
      <c r="AH1" s="2"/>
      <c r="AI1" t="s">
        <v>1045</v>
      </c>
      <c r="AJ1" t="s">
        <v>1135</v>
      </c>
      <c r="AK1" t="s">
        <v>1283</v>
      </c>
    </row>
    <row r="2" spans="1:37" x14ac:dyDescent="0.25">
      <c r="A2" t="s">
        <v>432</v>
      </c>
      <c r="B2" t="s">
        <v>106</v>
      </c>
      <c r="C2" t="s">
        <v>1</v>
      </c>
      <c r="E2" t="s">
        <v>58</v>
      </c>
      <c r="F2" s="3">
        <v>1</v>
      </c>
      <c r="G2" s="14" t="s">
        <v>130</v>
      </c>
      <c r="H2" s="14" t="s">
        <v>219</v>
      </c>
      <c r="I2" s="14" t="s">
        <v>506</v>
      </c>
      <c r="J2" s="14">
        <v>0.01</v>
      </c>
      <c r="K2" s="14">
        <v>1.4999999999999999E-2</v>
      </c>
      <c r="L2" t="s">
        <v>206</v>
      </c>
      <c r="M2">
        <v>2</v>
      </c>
      <c r="N2" t="s">
        <v>999</v>
      </c>
      <c r="O2" s="2" t="s">
        <v>531</v>
      </c>
      <c r="P2" t="s">
        <v>233</v>
      </c>
      <c r="Q2">
        <v>0</v>
      </c>
      <c r="R2" t="s">
        <v>246</v>
      </c>
      <c r="S2" s="18">
        <v>4.3999999999999997E-2</v>
      </c>
      <c r="T2" s="18">
        <v>6.6000000000000003E-2</v>
      </c>
      <c r="U2" s="18">
        <v>0.14799999999999999</v>
      </c>
      <c r="V2" s="19">
        <v>0</v>
      </c>
      <c r="W2" s="19">
        <v>6.2E-4</v>
      </c>
      <c r="X2" s="19">
        <v>1.4030000000000001E-2</v>
      </c>
      <c r="Z2" t="s">
        <v>370</v>
      </c>
      <c r="AA2" s="26">
        <v>1</v>
      </c>
      <c r="AB2" s="862" t="s">
        <v>374</v>
      </c>
      <c r="AC2" t="s">
        <v>465</v>
      </c>
      <c r="AD2" t="s">
        <v>482</v>
      </c>
      <c r="AE2" t="s">
        <v>482</v>
      </c>
      <c r="AF2" s="39">
        <v>0.08</v>
      </c>
      <c r="AG2" t="s">
        <v>241</v>
      </c>
      <c r="AH2" s="2" t="s">
        <v>992</v>
      </c>
      <c r="AI2" t="s">
        <v>485</v>
      </c>
      <c r="AJ2" t="s">
        <v>653</v>
      </c>
      <c r="AK2" t="s">
        <v>1284</v>
      </c>
    </row>
    <row r="3" spans="1:37" x14ac:dyDescent="0.25">
      <c r="A3" t="s">
        <v>421</v>
      </c>
      <c r="B3" t="s">
        <v>23</v>
      </c>
      <c r="C3" t="s">
        <v>112</v>
      </c>
      <c r="D3" t="s">
        <v>14</v>
      </c>
      <c r="E3" t="s">
        <v>22</v>
      </c>
      <c r="F3" s="3">
        <v>2</v>
      </c>
      <c r="G3" s="14" t="s">
        <v>470</v>
      </c>
      <c r="H3" s="14" t="s">
        <v>470</v>
      </c>
      <c r="I3" s="14" t="s">
        <v>474</v>
      </c>
      <c r="J3" s="14">
        <v>0.01</v>
      </c>
      <c r="K3" s="14">
        <v>1.4999999999999999E-2</v>
      </c>
      <c r="L3" t="s">
        <v>207</v>
      </c>
      <c r="M3">
        <v>3</v>
      </c>
      <c r="P3" t="s">
        <v>234</v>
      </c>
      <c r="Q3">
        <v>4</v>
      </c>
      <c r="R3" t="s">
        <v>247</v>
      </c>
      <c r="S3" s="18">
        <v>7.9000000000000001E-2</v>
      </c>
      <c r="T3" s="18">
        <v>9.6000000000000002E-2</v>
      </c>
      <c r="U3" s="18">
        <v>0.161</v>
      </c>
      <c r="V3" s="19">
        <v>0</v>
      </c>
      <c r="W3" s="19">
        <v>2.3000000000000001E-4</v>
      </c>
      <c r="X3" s="19">
        <v>1.2120000000000001E-2</v>
      </c>
      <c r="Z3" t="s">
        <v>371</v>
      </c>
      <c r="AA3" s="26">
        <v>2</v>
      </c>
      <c r="AB3" s="863" t="s">
        <v>991</v>
      </c>
      <c r="AC3" t="s">
        <v>462</v>
      </c>
      <c r="AD3" t="s">
        <v>497</v>
      </c>
      <c r="AE3" t="s">
        <v>498</v>
      </c>
      <c r="AF3" s="58">
        <v>0.09</v>
      </c>
      <c r="AI3" t="s">
        <v>484</v>
      </c>
      <c r="AJ3" t="s">
        <v>651</v>
      </c>
      <c r="AK3" t="s">
        <v>1285</v>
      </c>
    </row>
    <row r="4" spans="1:37" x14ac:dyDescent="0.25">
      <c r="A4" t="s">
        <v>446</v>
      </c>
      <c r="B4" t="s">
        <v>13</v>
      </c>
      <c r="C4" t="s">
        <v>113</v>
      </c>
      <c r="D4" t="s">
        <v>62</v>
      </c>
      <c r="E4" t="s">
        <v>32</v>
      </c>
      <c r="F4" s="3">
        <v>3</v>
      </c>
      <c r="G4" s="14" t="s">
        <v>472</v>
      </c>
      <c r="H4" s="14" t="s">
        <v>470</v>
      </c>
      <c r="I4" s="14"/>
      <c r="J4" s="14"/>
      <c r="K4" s="14"/>
      <c r="M4">
        <v>4</v>
      </c>
      <c r="P4" t="s">
        <v>235</v>
      </c>
      <c r="Q4">
        <v>5</v>
      </c>
      <c r="R4" t="s">
        <v>248</v>
      </c>
      <c r="S4" s="18">
        <v>8.8999999999999996E-2</v>
      </c>
      <c r="T4" s="18">
        <v>0.106</v>
      </c>
      <c r="U4" s="18">
        <v>0.17299999999999999</v>
      </c>
      <c r="V4" s="19">
        <v>0</v>
      </c>
      <c r="W4" s="19">
        <v>0</v>
      </c>
      <c r="X4" s="19">
        <v>1.15E-2</v>
      </c>
      <c r="Z4" t="s">
        <v>372</v>
      </c>
      <c r="AA4" s="26">
        <v>3</v>
      </c>
      <c r="AB4" s="862" t="s">
        <v>1170</v>
      </c>
      <c r="AF4" s="58">
        <v>0.1</v>
      </c>
      <c r="AI4" t="s">
        <v>1240</v>
      </c>
      <c r="AK4" t="s">
        <v>1286</v>
      </c>
    </row>
    <row r="5" spans="1:37" x14ac:dyDescent="0.25">
      <c r="A5" t="s">
        <v>401</v>
      </c>
      <c r="B5" t="s">
        <v>3</v>
      </c>
      <c r="C5" t="s">
        <v>111</v>
      </c>
      <c r="D5" t="s">
        <v>74</v>
      </c>
      <c r="E5" t="s">
        <v>65</v>
      </c>
      <c r="F5" s="3">
        <v>4</v>
      </c>
      <c r="G5" s="14" t="s">
        <v>471</v>
      </c>
      <c r="H5" s="14" t="s">
        <v>470</v>
      </c>
      <c r="J5" s="14"/>
      <c r="K5" s="14"/>
      <c r="M5">
        <v>5</v>
      </c>
      <c r="P5" t="s">
        <v>236</v>
      </c>
      <c r="Q5">
        <v>6</v>
      </c>
      <c r="R5" t="s">
        <v>249</v>
      </c>
      <c r="S5" s="18">
        <v>9.2999999999999999E-2</v>
      </c>
      <c r="T5" s="18">
        <v>0.115</v>
      </c>
      <c r="U5" s="18">
        <v>0.191</v>
      </c>
      <c r="V5" s="19">
        <v>0</v>
      </c>
      <c r="W5" s="19">
        <v>0</v>
      </c>
      <c r="X5" s="19">
        <v>4.8500000000000001E-3</v>
      </c>
      <c r="Z5" t="s">
        <v>373</v>
      </c>
      <c r="AA5" s="26">
        <v>4</v>
      </c>
      <c r="AB5" s="862" t="s">
        <v>1241</v>
      </c>
      <c r="AF5" s="58">
        <v>0.11</v>
      </c>
      <c r="AK5" t="s">
        <v>1287</v>
      </c>
    </row>
    <row r="6" spans="1:37" x14ac:dyDescent="0.25">
      <c r="A6" t="s">
        <v>425</v>
      </c>
      <c r="B6" t="s">
        <v>8</v>
      </c>
      <c r="C6" t="s">
        <v>115</v>
      </c>
      <c r="D6" t="s">
        <v>34</v>
      </c>
      <c r="E6" t="s">
        <v>37</v>
      </c>
      <c r="F6" s="3">
        <v>5</v>
      </c>
      <c r="G6" s="14" t="s">
        <v>473</v>
      </c>
      <c r="H6" s="14" t="s">
        <v>470</v>
      </c>
      <c r="I6" s="14">
        <v>5</v>
      </c>
      <c r="J6" s="14"/>
      <c r="K6" s="14"/>
      <c r="P6" t="s">
        <v>237</v>
      </c>
      <c r="Q6">
        <v>7</v>
      </c>
      <c r="AA6" s="26">
        <v>5</v>
      </c>
      <c r="AB6" s="862" t="s">
        <v>1242</v>
      </c>
      <c r="AF6" s="58">
        <v>0.12</v>
      </c>
      <c r="AK6" t="s">
        <v>1288</v>
      </c>
    </row>
    <row r="7" spans="1:37" x14ac:dyDescent="0.25">
      <c r="A7" t="s">
        <v>416</v>
      </c>
      <c r="B7" t="s">
        <v>18</v>
      </c>
      <c r="D7" t="s">
        <v>0</v>
      </c>
      <c r="E7"/>
      <c r="G7" s="14" t="s">
        <v>132</v>
      </c>
      <c r="H7" s="14"/>
      <c r="I7" s="14">
        <v>6</v>
      </c>
      <c r="J7" s="14"/>
      <c r="K7" s="14"/>
      <c r="P7" t="s">
        <v>238</v>
      </c>
      <c r="Q7">
        <v>8</v>
      </c>
      <c r="AA7" s="26">
        <v>6</v>
      </c>
      <c r="AB7" s="865"/>
    </row>
    <row r="8" spans="1:37" x14ac:dyDescent="0.25">
      <c r="A8" t="s">
        <v>419</v>
      </c>
      <c r="D8" t="s">
        <v>69</v>
      </c>
      <c r="E8"/>
      <c r="G8" s="14"/>
      <c r="H8" s="14"/>
      <c r="I8" s="14">
        <v>7</v>
      </c>
      <c r="J8" s="14"/>
      <c r="K8" s="14"/>
      <c r="P8" t="s">
        <v>239</v>
      </c>
      <c r="Q8">
        <v>9</v>
      </c>
      <c r="AA8" s="26">
        <v>7</v>
      </c>
    </row>
    <row r="9" spans="1:37" x14ac:dyDescent="0.25">
      <c r="A9" t="s">
        <v>412</v>
      </c>
      <c r="D9" t="s">
        <v>4</v>
      </c>
      <c r="E9"/>
      <c r="I9" s="14">
        <v>8</v>
      </c>
      <c r="J9" s="14"/>
      <c r="K9" s="14"/>
      <c r="AA9" s="26">
        <v>8</v>
      </c>
    </row>
    <row r="10" spans="1:37" x14ac:dyDescent="0.25">
      <c r="A10" t="s">
        <v>451</v>
      </c>
      <c r="D10" t="s">
        <v>35</v>
      </c>
      <c r="E10"/>
      <c r="I10" s="14">
        <v>8</v>
      </c>
      <c r="J10" s="14"/>
      <c r="K10" s="14"/>
      <c r="AA10" s="26">
        <v>9</v>
      </c>
    </row>
    <row r="11" spans="1:37" x14ac:dyDescent="0.25">
      <c r="A11" t="s">
        <v>423</v>
      </c>
      <c r="D11" t="s">
        <v>6</v>
      </c>
      <c r="E11"/>
      <c r="I11" s="14">
        <v>9</v>
      </c>
      <c r="J11" s="42" t="s">
        <v>477</v>
      </c>
      <c r="K11" s="44">
        <f>'EB_CM (Back)'!$B$7</f>
        <v>0</v>
      </c>
      <c r="L11" s="42" t="s">
        <v>475</v>
      </c>
      <c r="M11" s="1" t="s">
        <v>476</v>
      </c>
      <c r="AA11" s="26">
        <v>10</v>
      </c>
    </row>
    <row r="12" spans="1:37" x14ac:dyDescent="0.25">
      <c r="A12" t="s">
        <v>436</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450</v>
      </c>
      <c r="C13" t="s">
        <v>114</v>
      </c>
      <c r="D13" t="s">
        <v>45</v>
      </c>
      <c r="E13"/>
      <c r="G13" s="14"/>
      <c r="H13" s="14"/>
      <c r="I13" s="14"/>
      <c r="J13" s="14"/>
      <c r="L13" s="42">
        <v>0.55000000000000004</v>
      </c>
      <c r="M13" s="45">
        <v>1.4999999999999999E-2</v>
      </c>
    </row>
    <row r="14" spans="1:37" x14ac:dyDescent="0.25">
      <c r="A14" t="s">
        <v>405</v>
      </c>
      <c r="C14" t="s">
        <v>116</v>
      </c>
      <c r="D14" t="s">
        <v>48</v>
      </c>
      <c r="E14" t="s">
        <v>42</v>
      </c>
      <c r="G14" s="14"/>
      <c r="H14" s="14"/>
      <c r="I14" s="14"/>
      <c r="J14" s="14" t="s">
        <v>486</v>
      </c>
      <c r="L14" s="42">
        <v>0.5</v>
      </c>
      <c r="M14" s="45">
        <v>1.2500000000000001E-2</v>
      </c>
    </row>
    <row r="15" spans="1:37" x14ac:dyDescent="0.25">
      <c r="A15" t="s">
        <v>447</v>
      </c>
      <c r="C15" t="s">
        <v>118</v>
      </c>
      <c r="D15" t="s">
        <v>60</v>
      </c>
      <c r="E15" t="s">
        <v>29</v>
      </c>
      <c r="G15" s="9"/>
      <c r="H15" s="9"/>
      <c r="I15" s="9"/>
      <c r="J15" s="9"/>
      <c r="L15" s="43">
        <v>0.43009999999999998</v>
      </c>
      <c r="M15" s="45">
        <v>0.01</v>
      </c>
    </row>
    <row r="16" spans="1:37" x14ac:dyDescent="0.25">
      <c r="A16" t="s">
        <v>411</v>
      </c>
      <c r="C16" t="s">
        <v>117</v>
      </c>
      <c r="D16" t="s">
        <v>20</v>
      </c>
      <c r="E16" t="s">
        <v>64</v>
      </c>
      <c r="G16" s="9"/>
      <c r="H16" s="9"/>
      <c r="I16" s="9"/>
      <c r="J16" s="9"/>
      <c r="L16" s="43">
        <v>0.30010000000000003</v>
      </c>
      <c r="M16" s="45">
        <v>5.0000000000000001E-3</v>
      </c>
    </row>
    <row r="17" spans="1:13" x14ac:dyDescent="0.25">
      <c r="A17" t="s">
        <v>414</v>
      </c>
      <c r="D17" t="s">
        <v>36</v>
      </c>
      <c r="E17" t="s">
        <v>19</v>
      </c>
      <c r="G17" s="9"/>
      <c r="H17" s="9"/>
      <c r="I17" s="9"/>
      <c r="J17" s="9"/>
      <c r="L17" s="43">
        <v>0.1</v>
      </c>
      <c r="M17" s="45">
        <v>2.5000000000000001E-3</v>
      </c>
    </row>
    <row r="18" spans="1:13" x14ac:dyDescent="0.25">
      <c r="A18" t="s">
        <v>404</v>
      </c>
      <c r="D18" t="s">
        <v>71</v>
      </c>
      <c r="E18" t="s">
        <v>121</v>
      </c>
      <c r="G18" s="9"/>
      <c r="H18" s="9"/>
      <c r="I18" s="9"/>
      <c r="J18" s="9"/>
      <c r="K18" s="9"/>
    </row>
    <row r="19" spans="1:13" x14ac:dyDescent="0.25">
      <c r="A19" t="s">
        <v>443</v>
      </c>
      <c r="D19" t="s">
        <v>11</v>
      </c>
      <c r="E19" t="s">
        <v>58</v>
      </c>
      <c r="G19" s="9"/>
      <c r="H19" s="9"/>
      <c r="I19" s="9"/>
      <c r="J19" s="43" t="s">
        <v>217</v>
      </c>
      <c r="K19" s="43" t="e">
        <f>#REF!/(#REF!*52)</f>
        <v>#REF!</v>
      </c>
      <c r="L19" s="1" t="s">
        <v>478</v>
      </c>
      <c r="M19" s="1" t="s">
        <v>479</v>
      </c>
    </row>
    <row r="20" spans="1:13" x14ac:dyDescent="0.25">
      <c r="A20" t="s">
        <v>427</v>
      </c>
      <c r="D20" t="s">
        <v>9</v>
      </c>
      <c r="E20" t="s">
        <v>22</v>
      </c>
      <c r="G20" s="9"/>
      <c r="H20" s="9"/>
      <c r="I20" s="9"/>
      <c r="J20" s="43"/>
      <c r="K20" s="43" t="e">
        <f>IF($K$19&lt;$L$24,$M$24,IF($K$19&lt;$L$23,$M$23,IF($K$19&lt;$L$22,$M$22,IF($K$19&lt;$L$21,$M$21,$M$20))))</f>
        <v>#REF!</v>
      </c>
      <c r="L20" s="1"/>
      <c r="M20" s="45">
        <v>1.4999999999999999E-2</v>
      </c>
    </row>
    <row r="21" spans="1:13" x14ac:dyDescent="0.25">
      <c r="A21" t="s">
        <v>439</v>
      </c>
      <c r="D21" t="s">
        <v>38</v>
      </c>
      <c r="E21" t="s">
        <v>43</v>
      </c>
      <c r="G21" s="9"/>
      <c r="H21" s="9"/>
      <c r="I21" s="9"/>
      <c r="J21" s="9"/>
      <c r="K21" s="9"/>
      <c r="L21" s="1">
        <v>3133.9311044776123</v>
      </c>
      <c r="M21" s="45">
        <v>0.01</v>
      </c>
    </row>
    <row r="22" spans="1:13" x14ac:dyDescent="0.25">
      <c r="A22" t="s">
        <v>409</v>
      </c>
      <c r="D22" t="s">
        <v>261</v>
      </c>
      <c r="E22" t="s">
        <v>10</v>
      </c>
      <c r="L22" s="1">
        <v>2118.2275862069</v>
      </c>
      <c r="M22" s="45">
        <v>7.4999999999999997E-3</v>
      </c>
    </row>
    <row r="23" spans="1:13" x14ac:dyDescent="0.25">
      <c r="A23" t="s">
        <v>429</v>
      </c>
      <c r="D23" t="s">
        <v>257</v>
      </c>
      <c r="E23" t="s">
        <v>55</v>
      </c>
      <c r="L23" s="1">
        <v>1484.5700242718401</v>
      </c>
      <c r="M23" s="45">
        <v>5.0000000000000001E-3</v>
      </c>
    </row>
    <row r="24" spans="1:13" x14ac:dyDescent="0.25">
      <c r="A24" t="s">
        <v>420</v>
      </c>
      <c r="D24" t="s">
        <v>258</v>
      </c>
      <c r="E24" t="s">
        <v>26</v>
      </c>
      <c r="L24" s="1">
        <v>968.90328358209001</v>
      </c>
      <c r="M24" s="45">
        <v>0</v>
      </c>
    </row>
    <row r="25" spans="1:13" ht="18.75" x14ac:dyDescent="0.3">
      <c r="A25" t="s">
        <v>445</v>
      </c>
      <c r="D25" t="s">
        <v>259</v>
      </c>
      <c r="E25" t="s">
        <v>50</v>
      </c>
      <c r="G25" s="11"/>
      <c r="H25" s="11"/>
      <c r="I25" s="11"/>
      <c r="J25" s="11"/>
      <c r="K25" s="11"/>
    </row>
    <row r="26" spans="1:13" x14ac:dyDescent="0.25">
      <c r="A26" t="s">
        <v>434</v>
      </c>
      <c r="D26" t="s">
        <v>260</v>
      </c>
      <c r="E26" t="s">
        <v>67</v>
      </c>
    </row>
    <row r="27" spans="1:13" x14ac:dyDescent="0.25">
      <c r="A27" t="s">
        <v>400</v>
      </c>
      <c r="D27" t="s">
        <v>262</v>
      </c>
      <c r="E27" t="s">
        <v>32</v>
      </c>
    </row>
    <row r="28" spans="1:13" x14ac:dyDescent="0.25">
      <c r="A28" t="s">
        <v>403</v>
      </c>
      <c r="D28" t="s">
        <v>263</v>
      </c>
      <c r="E28" t="s">
        <v>80</v>
      </c>
    </row>
    <row r="29" spans="1:13" x14ac:dyDescent="0.25">
      <c r="A29" t="s">
        <v>448</v>
      </c>
      <c r="D29" t="s">
        <v>264</v>
      </c>
      <c r="E29" t="s">
        <v>46</v>
      </c>
    </row>
    <row r="30" spans="1:13" x14ac:dyDescent="0.25">
      <c r="A30" t="s">
        <v>433</v>
      </c>
      <c r="D30" t="s">
        <v>265</v>
      </c>
      <c r="E30" t="s">
        <v>77</v>
      </c>
    </row>
    <row r="31" spans="1:13" x14ac:dyDescent="0.25">
      <c r="A31" t="s">
        <v>438</v>
      </c>
      <c r="E31" t="s">
        <v>65</v>
      </c>
    </row>
    <row r="32" spans="1:13" x14ac:dyDescent="0.25">
      <c r="A32" t="s">
        <v>428</v>
      </c>
      <c r="E32" t="s">
        <v>37</v>
      </c>
    </row>
    <row r="33" spans="1:5" x14ac:dyDescent="0.25">
      <c r="A33" t="s">
        <v>422</v>
      </c>
      <c r="D33" t="s">
        <v>261</v>
      </c>
      <c r="E33" t="s">
        <v>2</v>
      </c>
    </row>
    <row r="34" spans="1:5" x14ac:dyDescent="0.25">
      <c r="A34" t="s">
        <v>441</v>
      </c>
      <c r="D34" t="s">
        <v>257</v>
      </c>
      <c r="E34" t="s">
        <v>52</v>
      </c>
    </row>
    <row r="35" spans="1:5" x14ac:dyDescent="0.25">
      <c r="A35" t="s">
        <v>408</v>
      </c>
      <c r="D35" t="s">
        <v>258</v>
      </c>
      <c r="E35" t="s">
        <v>76</v>
      </c>
    </row>
    <row r="36" spans="1:5" x14ac:dyDescent="0.25">
      <c r="A36" t="s">
        <v>430</v>
      </c>
      <c r="D36" t="s">
        <v>259</v>
      </c>
      <c r="E36" t="s">
        <v>63</v>
      </c>
    </row>
    <row r="37" spans="1:5" x14ac:dyDescent="0.25">
      <c r="A37" t="s">
        <v>426</v>
      </c>
      <c r="D37" t="s">
        <v>260</v>
      </c>
      <c r="E37" t="s">
        <v>68</v>
      </c>
    </row>
    <row r="38" spans="1:5" x14ac:dyDescent="0.25">
      <c r="A38" t="s">
        <v>442</v>
      </c>
      <c r="D38" t="s">
        <v>262</v>
      </c>
      <c r="E38" t="s">
        <v>21</v>
      </c>
    </row>
    <row r="39" spans="1:5" x14ac:dyDescent="0.25">
      <c r="A39" t="s">
        <v>431</v>
      </c>
      <c r="D39" t="s">
        <v>263</v>
      </c>
      <c r="E39" t="s">
        <v>51</v>
      </c>
    </row>
    <row r="40" spans="1:5" x14ac:dyDescent="0.25">
      <c r="A40" t="s">
        <v>406</v>
      </c>
      <c r="D40" t="s">
        <v>264</v>
      </c>
      <c r="E40" t="s">
        <v>41</v>
      </c>
    </row>
    <row r="41" spans="1:5" x14ac:dyDescent="0.25">
      <c r="A41" t="s">
        <v>407</v>
      </c>
      <c r="D41" t="s">
        <v>265</v>
      </c>
      <c r="E41" t="s">
        <v>28</v>
      </c>
    </row>
    <row r="42" spans="1:5" x14ac:dyDescent="0.25">
      <c r="A42" t="s">
        <v>418</v>
      </c>
      <c r="E42" t="s">
        <v>39</v>
      </c>
    </row>
    <row r="43" spans="1:5" x14ac:dyDescent="0.25">
      <c r="A43" t="s">
        <v>437</v>
      </c>
      <c r="E43" t="s">
        <v>49</v>
      </c>
    </row>
    <row r="44" spans="1:5" x14ac:dyDescent="0.25">
      <c r="A44" t="s">
        <v>417</v>
      </c>
      <c r="E44" t="s">
        <v>243</v>
      </c>
    </row>
    <row r="45" spans="1:5" x14ac:dyDescent="0.25">
      <c r="A45" t="s">
        <v>413</v>
      </c>
      <c r="E45" t="s">
        <v>66</v>
      </c>
    </row>
    <row r="46" spans="1:5" x14ac:dyDescent="0.25">
      <c r="A46" t="s">
        <v>402</v>
      </c>
      <c r="E46" t="s">
        <v>70</v>
      </c>
    </row>
    <row r="47" spans="1:5" x14ac:dyDescent="0.25">
      <c r="A47" t="s">
        <v>452</v>
      </c>
      <c r="E47" t="s">
        <v>24</v>
      </c>
    </row>
    <row r="48" spans="1:5" x14ac:dyDescent="0.25">
      <c r="A48" t="s">
        <v>440</v>
      </c>
      <c r="E48" t="s">
        <v>72</v>
      </c>
    </row>
    <row r="49" spans="1:5" x14ac:dyDescent="0.25">
      <c r="A49" t="s">
        <v>444</v>
      </c>
      <c r="E49" t="s">
        <v>27</v>
      </c>
    </row>
    <row r="50" spans="1:5" x14ac:dyDescent="0.25">
      <c r="A50" t="s">
        <v>424</v>
      </c>
      <c r="E50" t="s">
        <v>59</v>
      </c>
    </row>
    <row r="51" spans="1:5" x14ac:dyDescent="0.25">
      <c r="A51" t="s">
        <v>415</v>
      </c>
      <c r="E51" t="s">
        <v>54</v>
      </c>
    </row>
    <row r="52" spans="1:5" x14ac:dyDescent="0.25">
      <c r="A52" t="s">
        <v>410</v>
      </c>
      <c r="E52" t="s">
        <v>122</v>
      </c>
    </row>
    <row r="53" spans="1:5" x14ac:dyDescent="0.25">
      <c r="A53" t="s">
        <v>435</v>
      </c>
      <c r="E53" t="s">
        <v>7</v>
      </c>
    </row>
    <row r="54" spans="1:5" x14ac:dyDescent="0.25">
      <c r="A54" t="s">
        <v>449</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376</v>
      </c>
      <c r="B1" s="29" t="s">
        <v>85</v>
      </c>
      <c r="C1" s="28" t="s">
        <v>193</v>
      </c>
      <c r="D1" s="28" t="s">
        <v>84</v>
      </c>
      <c r="E1" s="28" t="s">
        <v>377</v>
      </c>
      <c r="F1" s="28" t="s">
        <v>376</v>
      </c>
      <c r="G1" s="29" t="s">
        <v>85</v>
      </c>
    </row>
    <row r="2" spans="1:7" x14ac:dyDescent="0.25">
      <c r="A2" s="1349" t="s">
        <v>137</v>
      </c>
      <c r="B2" s="1352" t="s">
        <v>13</v>
      </c>
      <c r="C2" s="30" t="s">
        <v>381</v>
      </c>
      <c r="D2" s="30" t="s">
        <v>12</v>
      </c>
      <c r="E2" s="1349">
        <v>2140</v>
      </c>
      <c r="F2" s="1349" t="s">
        <v>137</v>
      </c>
      <c r="G2" s="1352" t="s">
        <v>13</v>
      </c>
    </row>
    <row r="3" spans="1:7" x14ac:dyDescent="0.25">
      <c r="A3" s="1345" t="s">
        <v>138</v>
      </c>
      <c r="B3" s="1348" t="s">
        <v>18</v>
      </c>
      <c r="C3" s="1346" t="s">
        <v>1199</v>
      </c>
      <c r="D3" s="1346" t="s">
        <v>56</v>
      </c>
      <c r="E3" s="1345">
        <v>1933</v>
      </c>
      <c r="F3" s="1345" t="s">
        <v>138</v>
      </c>
      <c r="G3" s="1348" t="s">
        <v>18</v>
      </c>
    </row>
    <row r="4" spans="1:7" x14ac:dyDescent="0.25">
      <c r="A4" s="1345" t="s">
        <v>189</v>
      </c>
      <c r="B4" s="1348" t="s">
        <v>13</v>
      </c>
      <c r="C4" s="1346" t="s">
        <v>378</v>
      </c>
      <c r="D4" s="1346" t="s">
        <v>33</v>
      </c>
      <c r="E4" s="1345">
        <v>2110</v>
      </c>
      <c r="F4" s="1345" t="s">
        <v>189</v>
      </c>
      <c r="G4" s="1348" t="s">
        <v>13</v>
      </c>
    </row>
    <row r="5" spans="1:7" x14ac:dyDescent="0.25">
      <c r="A5" s="1345" t="s">
        <v>1184</v>
      </c>
      <c r="B5" s="1348" t="s">
        <v>18</v>
      </c>
      <c r="C5" s="1346" t="s">
        <v>1185</v>
      </c>
      <c r="D5" s="1346" t="s">
        <v>1185</v>
      </c>
      <c r="E5" s="1345">
        <v>4190</v>
      </c>
      <c r="F5" s="1345" t="s">
        <v>1184</v>
      </c>
      <c r="G5" s="1348" t="s">
        <v>18</v>
      </c>
    </row>
    <row r="6" spans="1:7" x14ac:dyDescent="0.25">
      <c r="A6" s="1345" t="s">
        <v>160</v>
      </c>
      <c r="B6" s="1348" t="s">
        <v>8</v>
      </c>
      <c r="C6" s="1346" t="s">
        <v>383</v>
      </c>
      <c r="D6" s="1346" t="s">
        <v>5</v>
      </c>
      <c r="E6" s="1345">
        <v>2220</v>
      </c>
      <c r="F6" s="1345" t="s">
        <v>160</v>
      </c>
      <c r="G6" s="1348" t="s">
        <v>8</v>
      </c>
    </row>
    <row r="7" spans="1:7" x14ac:dyDescent="0.25">
      <c r="A7" s="1345" t="s">
        <v>144</v>
      </c>
      <c r="B7" s="1348" t="s">
        <v>1426</v>
      </c>
      <c r="C7" s="1346" t="s">
        <v>384</v>
      </c>
      <c r="D7" s="1346" t="s">
        <v>42</v>
      </c>
      <c r="E7" s="1345">
        <v>3023</v>
      </c>
      <c r="F7" s="1345" t="s">
        <v>144</v>
      </c>
      <c r="G7" s="1348" t="s">
        <v>1426</v>
      </c>
    </row>
    <row r="8" spans="1:7" x14ac:dyDescent="0.25">
      <c r="A8" s="1345" t="s">
        <v>1186</v>
      </c>
      <c r="B8" s="1348" t="s">
        <v>18</v>
      </c>
      <c r="C8" s="1346" t="s">
        <v>392</v>
      </c>
      <c r="D8" s="1346" t="s">
        <v>1187</v>
      </c>
      <c r="E8" s="1345">
        <v>3310</v>
      </c>
      <c r="F8" s="1345" t="s">
        <v>1186</v>
      </c>
      <c r="G8" s="1348" t="s">
        <v>18</v>
      </c>
    </row>
    <row r="9" spans="1:7" x14ac:dyDescent="0.25">
      <c r="A9" s="1345" t="s">
        <v>180</v>
      </c>
      <c r="B9" s="1348" t="s">
        <v>1426</v>
      </c>
      <c r="C9" s="1346" t="s">
        <v>1072</v>
      </c>
      <c r="D9" s="1346" t="s">
        <v>894</v>
      </c>
      <c r="E9" s="1345">
        <v>2345</v>
      </c>
      <c r="F9" s="1345" t="s">
        <v>180</v>
      </c>
      <c r="G9" s="1348" t="s">
        <v>1426</v>
      </c>
    </row>
    <row r="10" spans="1:7" x14ac:dyDescent="0.25">
      <c r="A10" s="1345" t="s">
        <v>141</v>
      </c>
      <c r="B10" s="1348" t="s">
        <v>8</v>
      </c>
      <c r="C10" s="1346" t="s">
        <v>390</v>
      </c>
      <c r="D10" s="1346" t="s">
        <v>29</v>
      </c>
      <c r="E10" s="1345">
        <v>3135</v>
      </c>
      <c r="F10" s="1345" t="s">
        <v>141</v>
      </c>
      <c r="G10" s="1348" t="s">
        <v>8</v>
      </c>
    </row>
    <row r="11" spans="1:7" x14ac:dyDescent="0.25">
      <c r="A11" s="1345" t="s">
        <v>186</v>
      </c>
      <c r="B11" s="1348" t="s">
        <v>13</v>
      </c>
      <c r="C11" s="1346" t="s">
        <v>1077</v>
      </c>
      <c r="D11" s="1346" t="s">
        <v>64</v>
      </c>
      <c r="E11" s="1345">
        <v>2148</v>
      </c>
      <c r="F11" s="1345" t="s">
        <v>186</v>
      </c>
      <c r="G11" s="1348" t="s">
        <v>13</v>
      </c>
    </row>
    <row r="12" spans="1:7" x14ac:dyDescent="0.25">
      <c r="A12" s="1345" t="s">
        <v>185</v>
      </c>
      <c r="B12" s="1348" t="s">
        <v>13</v>
      </c>
      <c r="C12" s="1346" t="s">
        <v>381</v>
      </c>
      <c r="D12" s="1346" t="s">
        <v>19</v>
      </c>
      <c r="E12" s="1345">
        <v>2190</v>
      </c>
      <c r="F12" s="1345" t="s">
        <v>185</v>
      </c>
      <c r="G12" s="1348" t="s">
        <v>13</v>
      </c>
    </row>
    <row r="13" spans="1:7" x14ac:dyDescent="0.25">
      <c r="A13" s="1345" t="s">
        <v>162</v>
      </c>
      <c r="B13" s="1348" t="s">
        <v>8</v>
      </c>
      <c r="C13" s="1346" t="s">
        <v>391</v>
      </c>
      <c r="D13" s="1346" t="s">
        <v>121</v>
      </c>
      <c r="E13" s="1345">
        <v>2210</v>
      </c>
      <c r="F13" s="1345" t="s">
        <v>162</v>
      </c>
      <c r="G13" s="1348" t="s">
        <v>8</v>
      </c>
    </row>
    <row r="14" spans="1:7" x14ac:dyDescent="0.25">
      <c r="A14" s="1345" t="s">
        <v>174</v>
      </c>
      <c r="B14" s="1348" t="s">
        <v>1426</v>
      </c>
      <c r="C14" s="1346" t="s">
        <v>194</v>
      </c>
      <c r="D14" s="1346" t="s">
        <v>58</v>
      </c>
      <c r="E14" s="1345">
        <v>2099</v>
      </c>
      <c r="F14" s="1345" t="s">
        <v>174</v>
      </c>
      <c r="G14" s="1348" t="s">
        <v>1426</v>
      </c>
    </row>
    <row r="15" spans="1:7" x14ac:dyDescent="0.25">
      <c r="A15" s="1345" t="s">
        <v>175</v>
      </c>
      <c r="B15" s="1348" t="s">
        <v>13</v>
      </c>
      <c r="C15" s="1346" t="s">
        <v>195</v>
      </c>
      <c r="D15" s="1346" t="s">
        <v>22</v>
      </c>
      <c r="E15" s="1345">
        <v>1103</v>
      </c>
      <c r="F15" s="1345" t="s">
        <v>175</v>
      </c>
      <c r="G15" s="1348" t="s">
        <v>13</v>
      </c>
    </row>
    <row r="16" spans="1:7" x14ac:dyDescent="0.25">
      <c r="A16" s="1345" t="s">
        <v>173</v>
      </c>
      <c r="B16" s="1348" t="s">
        <v>13</v>
      </c>
      <c r="C16" s="1346" t="s">
        <v>196</v>
      </c>
      <c r="D16" s="1346" t="s">
        <v>43</v>
      </c>
      <c r="E16" s="1345">
        <v>1104</v>
      </c>
      <c r="F16" s="1345" t="s">
        <v>173</v>
      </c>
      <c r="G16" s="1348" t="s">
        <v>13</v>
      </c>
    </row>
    <row r="17" spans="1:7" x14ac:dyDescent="0.25">
      <c r="A17" s="1345" t="s">
        <v>163</v>
      </c>
      <c r="B17" s="1348" t="s">
        <v>8</v>
      </c>
      <c r="C17" s="1346" t="s">
        <v>389</v>
      </c>
      <c r="D17" s="1346" t="s">
        <v>10</v>
      </c>
      <c r="E17" s="1345">
        <v>2260</v>
      </c>
      <c r="F17" s="1345" t="s">
        <v>163</v>
      </c>
      <c r="G17" s="1348" t="s">
        <v>8</v>
      </c>
    </row>
    <row r="18" spans="1:7" x14ac:dyDescent="0.25">
      <c r="A18" s="1345" t="s">
        <v>192</v>
      </c>
      <c r="B18" s="1348" t="s">
        <v>13</v>
      </c>
      <c r="C18" s="1346" t="s">
        <v>61</v>
      </c>
      <c r="D18" s="1346" t="s">
        <v>893</v>
      </c>
      <c r="E18" s="1345">
        <v>2020</v>
      </c>
      <c r="F18" s="1345" t="s">
        <v>192</v>
      </c>
      <c r="G18" s="1348" t="s">
        <v>13</v>
      </c>
    </row>
    <row r="19" spans="1:7" x14ac:dyDescent="0.25">
      <c r="A19" s="1345" t="s">
        <v>165</v>
      </c>
      <c r="B19" s="1348" t="s">
        <v>18</v>
      </c>
      <c r="C19" s="1346" t="s">
        <v>395</v>
      </c>
      <c r="D19" s="1346" t="s">
        <v>55</v>
      </c>
      <c r="E19" s="1345">
        <v>4150</v>
      </c>
      <c r="F19" s="1345" t="s">
        <v>165</v>
      </c>
      <c r="G19" s="1348" t="s">
        <v>18</v>
      </c>
    </row>
    <row r="20" spans="1:7" x14ac:dyDescent="0.25">
      <c r="A20" s="1345" t="s">
        <v>146</v>
      </c>
      <c r="B20" s="1348" t="s">
        <v>1426</v>
      </c>
      <c r="C20" s="1346" t="s">
        <v>385</v>
      </c>
      <c r="D20" s="1346" t="s">
        <v>26</v>
      </c>
      <c r="E20" s="1345">
        <v>3150</v>
      </c>
      <c r="F20" s="1345" t="s">
        <v>146</v>
      </c>
      <c r="G20" s="1348" t="s">
        <v>1426</v>
      </c>
    </row>
    <row r="21" spans="1:7" x14ac:dyDescent="0.25">
      <c r="A21" s="1345" t="s">
        <v>1188</v>
      </c>
      <c r="B21" s="1348" t="s">
        <v>1426</v>
      </c>
      <c r="C21" s="1346" t="s">
        <v>394</v>
      </c>
      <c r="D21" s="1346" t="s">
        <v>1189</v>
      </c>
      <c r="E21" s="1345">
        <v>3340</v>
      </c>
      <c r="F21" s="1345" t="s">
        <v>1188</v>
      </c>
      <c r="G21" s="1348" t="s">
        <v>1426</v>
      </c>
    </row>
    <row r="22" spans="1:7" x14ac:dyDescent="0.25">
      <c r="A22" s="1345" t="s">
        <v>147</v>
      </c>
      <c r="B22" s="1348" t="s">
        <v>1426</v>
      </c>
      <c r="C22" s="1346" t="s">
        <v>394</v>
      </c>
      <c r="D22" s="1346" t="s">
        <v>1190</v>
      </c>
      <c r="E22" s="1345">
        <v>3160</v>
      </c>
      <c r="F22" s="1345" t="s">
        <v>147</v>
      </c>
      <c r="G22" s="1348" t="s">
        <v>1426</v>
      </c>
    </row>
    <row r="23" spans="1:7" x14ac:dyDescent="0.25">
      <c r="A23" s="1345" t="s">
        <v>142</v>
      </c>
      <c r="B23" s="1348" t="s">
        <v>13</v>
      </c>
      <c r="C23" s="1346" t="s">
        <v>196</v>
      </c>
      <c r="D23" s="1346" t="s">
        <v>67</v>
      </c>
      <c r="E23" s="1345">
        <v>1106</v>
      </c>
      <c r="F23" s="1345" t="s">
        <v>142</v>
      </c>
      <c r="G23" s="1348" t="s">
        <v>13</v>
      </c>
    </row>
    <row r="24" spans="1:7" x14ac:dyDescent="0.25">
      <c r="A24" s="1345" t="s">
        <v>1200</v>
      </c>
      <c r="B24" s="1348" t="s">
        <v>1839</v>
      </c>
      <c r="C24" s="1346" t="s">
        <v>1201</v>
      </c>
      <c r="D24" s="1346" t="s">
        <v>1202</v>
      </c>
      <c r="E24" s="1345">
        <v>4175</v>
      </c>
      <c r="F24" s="1345" t="s">
        <v>1200</v>
      </c>
      <c r="G24" s="1348" t="s">
        <v>1839</v>
      </c>
    </row>
    <row r="25" spans="1:7" x14ac:dyDescent="0.25">
      <c r="A25" s="1345" t="s">
        <v>156</v>
      </c>
      <c r="B25" s="1348" t="s">
        <v>8</v>
      </c>
      <c r="C25" s="1346" t="s">
        <v>391</v>
      </c>
      <c r="D25" s="1346" t="s">
        <v>32</v>
      </c>
      <c r="E25" s="1345">
        <v>2250</v>
      </c>
      <c r="F25" s="1345" t="s">
        <v>156</v>
      </c>
      <c r="G25" s="1348" t="s">
        <v>8</v>
      </c>
    </row>
    <row r="26" spans="1:7" x14ac:dyDescent="0.25">
      <c r="A26" s="1345" t="s">
        <v>178</v>
      </c>
      <c r="B26" s="1348" t="s">
        <v>1426</v>
      </c>
      <c r="C26" s="1346" t="s">
        <v>1072</v>
      </c>
      <c r="D26" s="1346" t="s">
        <v>895</v>
      </c>
      <c r="E26" s="1345">
        <v>2340</v>
      </c>
      <c r="F26" s="1345" t="s">
        <v>178</v>
      </c>
      <c r="G26" s="1348" t="s">
        <v>1426</v>
      </c>
    </row>
    <row r="27" spans="1:7" x14ac:dyDescent="0.25">
      <c r="A27" s="1345" t="s">
        <v>1075</v>
      </c>
      <c r="B27" s="1348" t="s">
        <v>1426</v>
      </c>
      <c r="C27" s="1346" t="s">
        <v>198</v>
      </c>
      <c r="D27" s="1346" t="s">
        <v>1076</v>
      </c>
      <c r="E27" s="1345">
        <v>2365</v>
      </c>
      <c r="F27" s="1345" t="s">
        <v>1075</v>
      </c>
      <c r="G27" s="1348" t="s">
        <v>1426</v>
      </c>
    </row>
    <row r="28" spans="1:7" x14ac:dyDescent="0.25">
      <c r="A28" s="1345" t="s">
        <v>145</v>
      </c>
      <c r="B28" s="1348" t="s">
        <v>1426</v>
      </c>
      <c r="C28" s="1346" t="s">
        <v>384</v>
      </c>
      <c r="D28" s="1346" t="s">
        <v>80</v>
      </c>
      <c r="E28" s="1345">
        <v>3126</v>
      </c>
      <c r="F28" s="1345" t="s">
        <v>145</v>
      </c>
      <c r="G28" s="1348" t="s">
        <v>1426</v>
      </c>
    </row>
    <row r="29" spans="1:7" x14ac:dyDescent="0.25">
      <c r="A29" s="1345" t="s">
        <v>176</v>
      </c>
      <c r="B29" s="1348" t="s">
        <v>13</v>
      </c>
      <c r="C29" s="1346" t="s">
        <v>195</v>
      </c>
      <c r="D29" s="1346" t="s">
        <v>46</v>
      </c>
      <c r="E29" s="1345">
        <v>1054</v>
      </c>
      <c r="F29" s="1345" t="s">
        <v>176</v>
      </c>
      <c r="G29" s="1348" t="s">
        <v>13</v>
      </c>
    </row>
    <row r="30" spans="1:7" x14ac:dyDescent="0.25">
      <c r="A30" s="1345" t="s">
        <v>154</v>
      </c>
      <c r="B30" s="1348" t="s">
        <v>1426</v>
      </c>
      <c r="C30" s="1346" t="s">
        <v>199</v>
      </c>
      <c r="D30" s="1346" t="s">
        <v>77</v>
      </c>
      <c r="E30" s="1345">
        <v>2370</v>
      </c>
      <c r="F30" s="1345" t="s">
        <v>154</v>
      </c>
      <c r="G30" s="1348" t="s">
        <v>1426</v>
      </c>
    </row>
    <row r="31" spans="1:7" x14ac:dyDescent="0.25">
      <c r="A31" s="1345" t="s">
        <v>148</v>
      </c>
      <c r="B31" s="1348" t="s">
        <v>8</v>
      </c>
      <c r="C31" s="1346" t="s">
        <v>382</v>
      </c>
      <c r="D31" s="1346" t="s">
        <v>65</v>
      </c>
      <c r="E31" s="1345">
        <v>3186</v>
      </c>
      <c r="F31" s="1345" t="s">
        <v>148</v>
      </c>
      <c r="G31" s="1348" t="s">
        <v>8</v>
      </c>
    </row>
    <row r="32" spans="1:7" x14ac:dyDescent="0.25">
      <c r="A32" s="1345" t="s">
        <v>151</v>
      </c>
      <c r="B32" s="1348" t="s">
        <v>1426</v>
      </c>
      <c r="C32" s="1346" t="s">
        <v>198</v>
      </c>
      <c r="D32" s="1346" t="s">
        <v>37</v>
      </c>
      <c r="E32" s="1345">
        <v>3230</v>
      </c>
      <c r="F32" s="1345" t="s">
        <v>151</v>
      </c>
      <c r="G32" s="1348" t="s">
        <v>1426</v>
      </c>
    </row>
    <row r="33" spans="1:7" x14ac:dyDescent="0.25">
      <c r="A33" s="1345" t="s">
        <v>152</v>
      </c>
      <c r="B33" s="1348" t="s">
        <v>8</v>
      </c>
      <c r="C33" s="1346" t="s">
        <v>383</v>
      </c>
      <c r="D33" s="1346" t="s">
        <v>2</v>
      </c>
      <c r="E33" s="1345">
        <v>2270</v>
      </c>
      <c r="F33" s="1345" t="s">
        <v>152</v>
      </c>
      <c r="G33" s="1348" t="s">
        <v>8</v>
      </c>
    </row>
    <row r="34" spans="1:7" x14ac:dyDescent="0.25">
      <c r="A34" s="1345" t="s">
        <v>177</v>
      </c>
      <c r="B34" s="1348" t="s">
        <v>18</v>
      </c>
      <c r="C34" s="1346" t="s">
        <v>396</v>
      </c>
      <c r="D34" s="1346" t="s">
        <v>52</v>
      </c>
      <c r="E34" s="1345">
        <v>4100</v>
      </c>
      <c r="F34" s="1345" t="s">
        <v>177</v>
      </c>
      <c r="G34" s="1348" t="s">
        <v>18</v>
      </c>
    </row>
    <row r="35" spans="1:7" x14ac:dyDescent="0.25">
      <c r="A35" s="1345" t="s">
        <v>155</v>
      </c>
      <c r="B35" s="1348" t="s">
        <v>8</v>
      </c>
      <c r="C35" s="1346" t="s">
        <v>1079</v>
      </c>
      <c r="D35" s="1346" t="s">
        <v>76</v>
      </c>
      <c r="E35" s="1345">
        <v>3051</v>
      </c>
      <c r="F35" s="1345" t="s">
        <v>155</v>
      </c>
      <c r="G35" s="1348" t="s">
        <v>8</v>
      </c>
    </row>
    <row r="36" spans="1:7" x14ac:dyDescent="0.25">
      <c r="A36" s="1345" t="s">
        <v>172</v>
      </c>
      <c r="B36" s="1348" t="s">
        <v>18</v>
      </c>
      <c r="C36" s="1346" t="s">
        <v>395</v>
      </c>
      <c r="D36" s="1346" t="s">
        <v>63</v>
      </c>
      <c r="E36" s="1345">
        <v>4120</v>
      </c>
      <c r="F36" s="1345" t="s">
        <v>172</v>
      </c>
      <c r="G36" s="1348" t="s">
        <v>18</v>
      </c>
    </row>
    <row r="37" spans="1:7" x14ac:dyDescent="0.25">
      <c r="A37" s="1345" t="s">
        <v>149</v>
      </c>
      <c r="B37" s="1348" t="s">
        <v>18</v>
      </c>
      <c r="C37" s="1346" t="s">
        <v>1199</v>
      </c>
      <c r="D37" s="1346" t="s">
        <v>68</v>
      </c>
      <c r="E37" s="1345">
        <v>3120</v>
      </c>
      <c r="F37" s="1345" t="s">
        <v>149</v>
      </c>
      <c r="G37" s="1348" t="s">
        <v>18</v>
      </c>
    </row>
    <row r="38" spans="1:7" x14ac:dyDescent="0.25">
      <c r="A38" s="1345" t="s">
        <v>159</v>
      </c>
      <c r="B38" s="1348" t="s">
        <v>13</v>
      </c>
      <c r="C38" s="1346" t="s">
        <v>387</v>
      </c>
      <c r="D38" s="1346" t="s">
        <v>21</v>
      </c>
      <c r="E38" s="1345">
        <v>2125</v>
      </c>
      <c r="F38" s="1345" t="s">
        <v>159</v>
      </c>
      <c r="G38" s="1348" t="s">
        <v>13</v>
      </c>
    </row>
    <row r="39" spans="1:7" x14ac:dyDescent="0.25">
      <c r="A39" s="1345" t="s">
        <v>140</v>
      </c>
      <c r="B39" s="1348" t="s">
        <v>8</v>
      </c>
      <c r="C39" s="1346" t="s">
        <v>1079</v>
      </c>
      <c r="D39" s="1346" t="s">
        <v>51</v>
      </c>
      <c r="E39" s="1345">
        <v>3147</v>
      </c>
      <c r="F39" s="1345" t="s">
        <v>140</v>
      </c>
      <c r="G39" s="1348" t="s">
        <v>8</v>
      </c>
    </row>
    <row r="40" spans="1:7" x14ac:dyDescent="0.25">
      <c r="A40" s="1345" t="s">
        <v>190</v>
      </c>
      <c r="B40" s="1348" t="s">
        <v>13</v>
      </c>
      <c r="C40" s="1346" t="s">
        <v>379</v>
      </c>
      <c r="D40" s="1346" t="s">
        <v>28</v>
      </c>
      <c r="E40" s="1345">
        <v>2160</v>
      </c>
      <c r="F40" s="1345" t="s">
        <v>190</v>
      </c>
      <c r="G40" s="1348" t="s">
        <v>13</v>
      </c>
    </row>
    <row r="41" spans="1:7" x14ac:dyDescent="0.25">
      <c r="A41" s="1345" t="s">
        <v>181</v>
      </c>
      <c r="B41" s="1348" t="s">
        <v>1426</v>
      </c>
      <c r="C41" s="1346" t="s">
        <v>199</v>
      </c>
      <c r="D41" s="1346" t="s">
        <v>39</v>
      </c>
      <c r="E41" s="1345">
        <v>2350</v>
      </c>
      <c r="F41" s="1345" t="s">
        <v>181</v>
      </c>
      <c r="G41" s="1348" t="s">
        <v>1426</v>
      </c>
    </row>
    <row r="42" spans="1:7" x14ac:dyDescent="0.25">
      <c r="A42" s="1345" t="s">
        <v>158</v>
      </c>
      <c r="B42" s="1348" t="s">
        <v>8</v>
      </c>
      <c r="C42" s="1346" t="s">
        <v>382</v>
      </c>
      <c r="D42" s="1346" t="s">
        <v>49</v>
      </c>
      <c r="E42" s="1345">
        <v>2230</v>
      </c>
      <c r="F42" s="1345" t="s">
        <v>158</v>
      </c>
      <c r="G42" s="1348" t="s">
        <v>8</v>
      </c>
    </row>
    <row r="43" spans="1:7" x14ac:dyDescent="0.25">
      <c r="A43" s="1345" t="s">
        <v>1080</v>
      </c>
      <c r="B43" s="1348" t="s">
        <v>8</v>
      </c>
      <c r="C43" s="1346" t="s">
        <v>1840</v>
      </c>
      <c r="D43" s="1346" t="s">
        <v>1391</v>
      </c>
      <c r="E43" s="1345">
        <v>3040</v>
      </c>
      <c r="F43" s="1345" t="s">
        <v>1080</v>
      </c>
      <c r="G43" s="1348" t="s">
        <v>8</v>
      </c>
    </row>
    <row r="44" spans="1:7" x14ac:dyDescent="0.25">
      <c r="A44" s="1345" t="s">
        <v>375</v>
      </c>
      <c r="B44" s="1348" t="s">
        <v>8</v>
      </c>
      <c r="C44" s="1346" t="s">
        <v>383</v>
      </c>
      <c r="D44" s="1346" t="s">
        <v>243</v>
      </c>
      <c r="E44" s="1345">
        <v>3139</v>
      </c>
      <c r="F44" s="1345" t="s">
        <v>375</v>
      </c>
      <c r="G44" s="1348" t="s">
        <v>8</v>
      </c>
    </row>
    <row r="45" spans="1:7" x14ac:dyDescent="0.25">
      <c r="A45" s="1345" t="s">
        <v>150</v>
      </c>
      <c r="B45" s="1348" t="s">
        <v>1426</v>
      </c>
      <c r="C45" s="1346" t="s">
        <v>385</v>
      </c>
      <c r="D45" s="1346" t="s">
        <v>24</v>
      </c>
      <c r="E45" s="1345">
        <v>3170</v>
      </c>
      <c r="F45" s="1345" t="s">
        <v>150</v>
      </c>
      <c r="G45" s="1348" t="s">
        <v>1426</v>
      </c>
    </row>
    <row r="46" spans="1:7" x14ac:dyDescent="0.25">
      <c r="A46" s="1345" t="s">
        <v>135</v>
      </c>
      <c r="B46" s="1348" t="s">
        <v>1426</v>
      </c>
      <c r="C46" s="1346" t="s">
        <v>198</v>
      </c>
      <c r="D46" s="1346" t="s">
        <v>72</v>
      </c>
      <c r="E46" s="1345">
        <v>2360</v>
      </c>
      <c r="F46" s="1345" t="s">
        <v>135</v>
      </c>
      <c r="G46" s="1348" t="s">
        <v>1426</v>
      </c>
    </row>
    <row r="47" spans="1:7" x14ac:dyDescent="0.25">
      <c r="A47" s="1345" t="s">
        <v>164</v>
      </c>
      <c r="B47" s="1348" t="s">
        <v>13</v>
      </c>
      <c r="C47" s="1346" t="s">
        <v>378</v>
      </c>
      <c r="D47" s="1346" t="s">
        <v>27</v>
      </c>
      <c r="E47" s="1345">
        <v>3190</v>
      </c>
      <c r="F47" s="1345" t="s">
        <v>164</v>
      </c>
      <c r="G47" s="1348" t="s">
        <v>13</v>
      </c>
    </row>
    <row r="48" spans="1:7" x14ac:dyDescent="0.25">
      <c r="A48" s="1345" t="s">
        <v>184</v>
      </c>
      <c r="B48" s="1348" t="s">
        <v>13</v>
      </c>
      <c r="C48" s="1346" t="s">
        <v>378</v>
      </c>
      <c r="D48" s="1346" t="s">
        <v>59</v>
      </c>
      <c r="E48" s="1345">
        <v>2116</v>
      </c>
      <c r="F48" s="1345" t="s">
        <v>184</v>
      </c>
      <c r="G48" s="1348" t="s">
        <v>13</v>
      </c>
    </row>
    <row r="49" spans="1:7" x14ac:dyDescent="0.25">
      <c r="A49" s="1345" t="s">
        <v>170</v>
      </c>
      <c r="B49" s="1348" t="s">
        <v>18</v>
      </c>
      <c r="C49" s="1346" t="s">
        <v>396</v>
      </c>
      <c r="D49" s="1346" t="s">
        <v>54</v>
      </c>
      <c r="E49" s="1345">
        <v>4146</v>
      </c>
      <c r="F49" s="1345" t="s">
        <v>170</v>
      </c>
      <c r="G49" s="1348" t="s">
        <v>18</v>
      </c>
    </row>
    <row r="50" spans="1:7" x14ac:dyDescent="0.25">
      <c r="A50" s="1345" t="s">
        <v>1203</v>
      </c>
      <c r="B50" s="1348" t="s">
        <v>1839</v>
      </c>
      <c r="C50" s="1346" t="s">
        <v>1201</v>
      </c>
      <c r="D50" s="1346" t="s">
        <v>1204</v>
      </c>
      <c r="E50" s="1345">
        <v>4135</v>
      </c>
      <c r="F50" s="1345" t="s">
        <v>1203</v>
      </c>
      <c r="G50" s="1348" t="s">
        <v>1839</v>
      </c>
    </row>
    <row r="51" spans="1:7" x14ac:dyDescent="0.25">
      <c r="A51" s="1345" t="s">
        <v>187</v>
      </c>
      <c r="B51" s="1348" t="s">
        <v>13</v>
      </c>
      <c r="C51" s="1346" t="s">
        <v>379</v>
      </c>
      <c r="D51" s="1346" t="s">
        <v>122</v>
      </c>
      <c r="E51" s="1345">
        <v>2170</v>
      </c>
      <c r="F51" s="1345" t="s">
        <v>187</v>
      </c>
      <c r="G51" s="1348" t="s">
        <v>13</v>
      </c>
    </row>
    <row r="52" spans="1:7" x14ac:dyDescent="0.25">
      <c r="A52" s="1345" t="s">
        <v>157</v>
      </c>
      <c r="B52" s="1348" t="s">
        <v>8</v>
      </c>
      <c r="C52" s="1346" t="s">
        <v>388</v>
      </c>
      <c r="D52" s="1346" t="s">
        <v>7</v>
      </c>
      <c r="E52" s="1345">
        <v>3055</v>
      </c>
      <c r="F52" s="1345" t="s">
        <v>157</v>
      </c>
      <c r="G52" s="1348" t="s">
        <v>8</v>
      </c>
    </row>
    <row r="53" spans="1:7" x14ac:dyDescent="0.25">
      <c r="A53" s="1345" t="s">
        <v>1191</v>
      </c>
      <c r="B53" s="1348" t="s">
        <v>18</v>
      </c>
      <c r="C53" s="1346" t="s">
        <v>1192</v>
      </c>
      <c r="D53" s="1346" t="s">
        <v>1193</v>
      </c>
      <c r="E53" s="1345">
        <v>4210</v>
      </c>
      <c r="F53" s="1345" t="s">
        <v>1191</v>
      </c>
      <c r="G53" s="1348" t="s">
        <v>18</v>
      </c>
    </row>
    <row r="54" spans="1:7" x14ac:dyDescent="0.25">
      <c r="A54" s="1345" t="s">
        <v>161</v>
      </c>
      <c r="B54" s="1348" t="s">
        <v>8</v>
      </c>
      <c r="C54" s="1346" t="s">
        <v>386</v>
      </c>
      <c r="D54" s="1346" t="s">
        <v>16</v>
      </c>
      <c r="E54" s="1345">
        <v>2240</v>
      </c>
      <c r="F54" s="1345" t="s">
        <v>161</v>
      </c>
      <c r="G54" s="1348" t="s">
        <v>8</v>
      </c>
    </row>
    <row r="55" spans="1:7" x14ac:dyDescent="0.25">
      <c r="A55" s="1345" t="s">
        <v>166</v>
      </c>
      <c r="B55" s="1348" t="s">
        <v>18</v>
      </c>
      <c r="C55" s="1346" t="s">
        <v>393</v>
      </c>
      <c r="D55" s="1346" t="s">
        <v>73</v>
      </c>
      <c r="E55" s="1345">
        <v>4110</v>
      </c>
      <c r="F55" s="1345" t="s">
        <v>166</v>
      </c>
      <c r="G55" s="1348" t="s">
        <v>18</v>
      </c>
    </row>
    <row r="56" spans="1:7" x14ac:dyDescent="0.25">
      <c r="A56" s="1345" t="s">
        <v>153</v>
      </c>
      <c r="B56" s="1348" t="s">
        <v>8</v>
      </c>
      <c r="C56" s="1346" t="s">
        <v>387</v>
      </c>
      <c r="D56" s="1346" t="s">
        <v>25</v>
      </c>
      <c r="E56" s="1345">
        <v>2135</v>
      </c>
      <c r="F56" s="1345" t="s">
        <v>153</v>
      </c>
      <c r="G56" s="1348" t="s">
        <v>8</v>
      </c>
    </row>
    <row r="57" spans="1:7" x14ac:dyDescent="0.25">
      <c r="A57" s="1345" t="s">
        <v>139</v>
      </c>
      <c r="B57" s="1348" t="s">
        <v>1426</v>
      </c>
      <c r="C57" s="1346" t="s">
        <v>197</v>
      </c>
      <c r="D57" s="1346" t="s">
        <v>47</v>
      </c>
      <c r="E57" s="1345">
        <v>3210</v>
      </c>
      <c r="F57" s="1345" t="s">
        <v>139</v>
      </c>
      <c r="G57" s="1348" t="s">
        <v>1426</v>
      </c>
    </row>
    <row r="58" spans="1:7" x14ac:dyDescent="0.25">
      <c r="A58" s="1345" t="s">
        <v>171</v>
      </c>
      <c r="B58" s="1348" t="s">
        <v>18</v>
      </c>
      <c r="C58" s="1346" t="s">
        <v>392</v>
      </c>
      <c r="D58" s="1346" t="s">
        <v>30</v>
      </c>
      <c r="E58" s="1345">
        <v>4118</v>
      </c>
      <c r="F58" s="1345" t="s">
        <v>171</v>
      </c>
      <c r="G58" s="1348" t="s">
        <v>18</v>
      </c>
    </row>
    <row r="59" spans="1:7" x14ac:dyDescent="0.25">
      <c r="A59" s="1345" t="s">
        <v>169</v>
      </c>
      <c r="B59" s="1348" t="s">
        <v>18</v>
      </c>
      <c r="C59" s="1346" t="s">
        <v>395</v>
      </c>
      <c r="D59" s="1346" t="s">
        <v>40</v>
      </c>
      <c r="E59" s="1345">
        <v>4140</v>
      </c>
      <c r="F59" s="1345" t="s">
        <v>169</v>
      </c>
      <c r="G59" s="1348" t="s">
        <v>18</v>
      </c>
    </row>
    <row r="60" spans="1:7" x14ac:dyDescent="0.25">
      <c r="A60" s="1345" t="s">
        <v>168</v>
      </c>
      <c r="B60" s="1348" t="s">
        <v>18</v>
      </c>
      <c r="C60" s="1346" t="s">
        <v>393</v>
      </c>
      <c r="D60" s="1346" t="s">
        <v>17</v>
      </c>
      <c r="E60" s="1345">
        <v>4117</v>
      </c>
      <c r="F60" s="1345" t="s">
        <v>168</v>
      </c>
      <c r="G60" s="1348" t="s">
        <v>18</v>
      </c>
    </row>
    <row r="61" spans="1:7" x14ac:dyDescent="0.25">
      <c r="A61" s="1345" t="s">
        <v>1194</v>
      </c>
      <c r="B61" s="1348" t="s">
        <v>18</v>
      </c>
      <c r="C61" s="1346" t="s">
        <v>75</v>
      </c>
      <c r="D61" s="1346" t="s">
        <v>1195</v>
      </c>
      <c r="E61" s="1345">
        <v>4170</v>
      </c>
      <c r="F61" s="1345" t="s">
        <v>1194</v>
      </c>
      <c r="G61" s="1348" t="s">
        <v>18</v>
      </c>
    </row>
    <row r="62" spans="1:7" x14ac:dyDescent="0.25">
      <c r="A62" s="1345" t="s">
        <v>167</v>
      </c>
      <c r="B62" s="1348" t="s">
        <v>18</v>
      </c>
      <c r="C62" s="1346" t="s">
        <v>75</v>
      </c>
      <c r="D62" s="1346" t="s">
        <v>1196</v>
      </c>
      <c r="E62" s="1345">
        <v>4147</v>
      </c>
      <c r="F62" s="1345" t="s">
        <v>167</v>
      </c>
      <c r="G62" s="1348" t="s">
        <v>18</v>
      </c>
    </row>
    <row r="63" spans="1:7" x14ac:dyDescent="0.25">
      <c r="A63" s="1345" t="s">
        <v>1197</v>
      </c>
      <c r="B63" s="1348" t="s">
        <v>18</v>
      </c>
      <c r="C63" s="1346" t="s">
        <v>1192</v>
      </c>
      <c r="D63" s="1346" t="s">
        <v>1198</v>
      </c>
      <c r="E63" s="1345">
        <v>4220</v>
      </c>
      <c r="F63" s="1345" t="s">
        <v>1197</v>
      </c>
      <c r="G63" s="1348" t="s">
        <v>18</v>
      </c>
    </row>
    <row r="64" spans="1:7" x14ac:dyDescent="0.25">
      <c r="A64" s="1349" t="s">
        <v>133</v>
      </c>
      <c r="B64" s="1352" t="s">
        <v>1426</v>
      </c>
      <c r="C64" s="30" t="s">
        <v>197</v>
      </c>
      <c r="D64" s="30" t="s">
        <v>44</v>
      </c>
      <c r="E64" s="1349">
        <v>3220</v>
      </c>
      <c r="F64" s="1349" t="s">
        <v>133</v>
      </c>
      <c r="G64" s="1352" t="s">
        <v>1426</v>
      </c>
    </row>
    <row r="65" spans="1:7" x14ac:dyDescent="0.25">
      <c r="A65" s="1345" t="s">
        <v>179</v>
      </c>
      <c r="B65" s="1348" t="s">
        <v>1426</v>
      </c>
      <c r="C65" s="1346" t="s">
        <v>194</v>
      </c>
      <c r="D65" s="1346" t="s">
        <v>31</v>
      </c>
      <c r="E65" s="1345">
        <v>2330</v>
      </c>
      <c r="F65" s="1345" t="s">
        <v>179</v>
      </c>
      <c r="G65" s="1348" t="s">
        <v>1426</v>
      </c>
    </row>
    <row r="66" spans="1:7" x14ac:dyDescent="0.25">
      <c r="A66" s="1345" t="s">
        <v>136</v>
      </c>
      <c r="B66" s="1348" t="s">
        <v>8</v>
      </c>
      <c r="C66" s="1346" t="s">
        <v>390</v>
      </c>
      <c r="D66" s="1346" t="s">
        <v>57</v>
      </c>
      <c r="E66" s="1345">
        <v>3103</v>
      </c>
      <c r="F66" s="1345" t="s">
        <v>136</v>
      </c>
      <c r="G66" s="1348" t="s">
        <v>8</v>
      </c>
    </row>
    <row r="67" spans="1:7" x14ac:dyDescent="0.25">
      <c r="A67" s="1345" t="s">
        <v>1205</v>
      </c>
      <c r="B67" s="1348" t="s">
        <v>1839</v>
      </c>
      <c r="C67" s="1346" t="s">
        <v>1201</v>
      </c>
      <c r="D67" s="1346" t="s">
        <v>1206</v>
      </c>
      <c r="E67" s="1345">
        <v>4125</v>
      </c>
      <c r="F67" s="1345" t="s">
        <v>1205</v>
      </c>
      <c r="G67" s="1348" t="s">
        <v>1839</v>
      </c>
    </row>
    <row r="68" spans="1:7" x14ac:dyDescent="0.25">
      <c r="A68" s="1345" t="s">
        <v>188</v>
      </c>
      <c r="B68" s="1348" t="s">
        <v>8</v>
      </c>
      <c r="C68" s="1346" t="s">
        <v>387</v>
      </c>
      <c r="D68" s="1346" t="s">
        <v>81</v>
      </c>
      <c r="E68" s="1345">
        <v>2165</v>
      </c>
      <c r="F68" s="1345" t="s">
        <v>188</v>
      </c>
      <c r="G68" s="1348" t="s">
        <v>8</v>
      </c>
    </row>
    <row r="69" spans="1:7" x14ac:dyDescent="0.25">
      <c r="A69" s="1345" t="s">
        <v>143</v>
      </c>
      <c r="B69" s="1348" t="s">
        <v>13</v>
      </c>
      <c r="C69" s="1346" t="s">
        <v>1078</v>
      </c>
      <c r="D69" s="1346" t="s">
        <v>53</v>
      </c>
      <c r="E69" s="1345">
        <v>2185</v>
      </c>
      <c r="F69" s="1345" t="s">
        <v>143</v>
      </c>
      <c r="G69" s="1348" t="s">
        <v>13</v>
      </c>
    </row>
    <row r="70" spans="1:7" ht="15.75" thickBot="1" x14ac:dyDescent="0.3">
      <c r="A70" s="31" t="s">
        <v>183</v>
      </c>
      <c r="B70" s="32" t="s">
        <v>1426</v>
      </c>
      <c r="C70" s="1347" t="s">
        <v>194</v>
      </c>
      <c r="D70" s="1347" t="s">
        <v>1060</v>
      </c>
      <c r="E70" s="31">
        <v>248</v>
      </c>
      <c r="F70" s="31" t="s">
        <v>183</v>
      </c>
      <c r="G70" s="32" t="s">
        <v>1426</v>
      </c>
    </row>
    <row r="71" spans="1:7" x14ac:dyDescent="0.25">
      <c r="A71" s="1349" t="s">
        <v>1081</v>
      </c>
      <c r="B71" s="1352" t="s">
        <v>13</v>
      </c>
      <c r="C71" s="30" t="s">
        <v>387</v>
      </c>
      <c r="D71" s="30" t="s">
        <v>1841</v>
      </c>
      <c r="E71" s="1349">
        <v>2010</v>
      </c>
      <c r="F71" s="1349" t="s">
        <v>1081</v>
      </c>
      <c r="G71" s="1352" t="s">
        <v>13</v>
      </c>
    </row>
    <row r="72" spans="1:7" x14ac:dyDescent="0.25">
      <c r="A72" s="1345" t="s">
        <v>380</v>
      </c>
      <c r="B72" s="1348" t="s">
        <v>13</v>
      </c>
      <c r="C72" s="1346" t="s">
        <v>61</v>
      </c>
      <c r="D72" s="1346" t="s">
        <v>1842</v>
      </c>
      <c r="E72" s="1345">
        <v>2030</v>
      </c>
      <c r="F72" s="1345" t="s">
        <v>380</v>
      </c>
      <c r="G72" s="1348" t="s">
        <v>13</v>
      </c>
    </row>
    <row r="73" spans="1:7" x14ac:dyDescent="0.25">
      <c r="A73" s="1345" t="s">
        <v>1073</v>
      </c>
      <c r="B73" s="1348" t="s">
        <v>1426</v>
      </c>
      <c r="C73" s="1346" t="s">
        <v>1072</v>
      </c>
      <c r="D73" s="1346" t="s">
        <v>1843</v>
      </c>
      <c r="E73" s="1345">
        <v>2375</v>
      </c>
      <c r="F73" s="1345" t="s">
        <v>1073</v>
      </c>
      <c r="G73" s="1348" t="s">
        <v>1426</v>
      </c>
    </row>
    <row r="74" spans="1:7" x14ac:dyDescent="0.25">
      <c r="A74" s="1345" t="s">
        <v>1074</v>
      </c>
      <c r="B74" s="1348" t="s">
        <v>1426</v>
      </c>
      <c r="C74" s="1346" t="s">
        <v>1072</v>
      </c>
      <c r="D74" s="1346" t="s">
        <v>1844</v>
      </c>
      <c r="E74" s="1345">
        <v>2355</v>
      </c>
      <c r="F74" s="1345" t="s">
        <v>1074</v>
      </c>
      <c r="G74" s="1348" t="s">
        <v>1426</v>
      </c>
    </row>
    <row r="75" spans="1:7" x14ac:dyDescent="0.25">
      <c r="A75" s="1345" t="s">
        <v>182</v>
      </c>
      <c r="B75" s="1348" t="s">
        <v>23</v>
      </c>
      <c r="C75" s="1346" t="s">
        <v>194</v>
      </c>
      <c r="D75" s="1346" t="s">
        <v>1845</v>
      </c>
      <c r="E75" s="1345">
        <v>2310</v>
      </c>
      <c r="F75" s="1345" t="s">
        <v>182</v>
      </c>
      <c r="G75" s="1348" t="s">
        <v>23</v>
      </c>
    </row>
    <row r="76" spans="1:7" x14ac:dyDescent="0.25">
      <c r="A76" s="1345" t="s">
        <v>191</v>
      </c>
      <c r="B76" s="1348" t="s">
        <v>13</v>
      </c>
      <c r="C76" s="1346" t="s">
        <v>1078</v>
      </c>
      <c r="D76" s="1346" t="s">
        <v>1846</v>
      </c>
      <c r="E76" s="1345">
        <v>2180</v>
      </c>
      <c r="F76" s="1345" t="s">
        <v>191</v>
      </c>
      <c r="G76" s="1348"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Configurable Tab</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2022-02-14T15:23:09Z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f1589ca0-b843-44b2-9dc8-bbc19f7d7498</vt:lpwstr>
  </property>
  <property fmtid="{D5CDD505-2E9C-101B-9397-08002B2CF9AE}" pid="4" name="Classification">
    <vt:lpwstr>LV_R3STR1CT3D</vt:lpwstr>
  </property>
  <property fmtid="{D5CDD505-2E9C-101B-9397-08002B2CF9AE}" pid="5" name="ContainsPII">
    <vt:lpwstr>No</vt:lpwstr>
  </property>
</Properties>
</file>